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1.xml" ContentType="application/vnd.openxmlformats-officedocument.drawing+xml"/>
  <Override PartName="/xl/drawings/vmlDrawing1.vml" ContentType="application/vnd.openxmlformats-officedocument.vmlDrawing"/>
  <Override PartName="/xl/drawings/drawing4.xml" ContentType="application/vnd.openxmlformats-officedocument.drawing+xml"/>
  <Override PartName="/xl/drawings/drawing2.xml" ContentType="application/vnd.openxmlformats-officedocument.drawing+xml"/>
  <Override PartName="/xl/drawings/vmlDrawing2.vml" ContentType="application/vnd.openxmlformats-officedocument.vmlDrawing"/>
  <Override PartName="/xl/drawings/drawing5.xml" ContentType="application/vnd.openxmlformats-officedocument.drawing+xml"/>
  <Override PartName="/xl/drawings/drawing3.xml" ContentType="application/vnd.openxmlformats-officedocument.drawing+xml"/>
  <Override PartName="/xl/drawings/drawing6.xml" ContentType="application/vnd.openxmlformats-officedocument.drawing+xml"/>
  <Override PartName="/xl/drawings/vmlDrawing3.vml" ContentType="application/vnd.openxmlformats-officedocument.vmlDrawing"/>
  <Override PartName="/xl/drawings/drawing7.xml" ContentType="application/vnd.openxmlformats-officedocument.drawing+xml"/>
  <Override PartName="/xl/drawings/vmlDrawing4.vml" ContentType="application/vnd.openxmlformats-officedocument.vmlDrawing"/>
  <Override PartName="/xl/drawings/drawing8.xml" ContentType="application/vnd.openxmlformats-officedocument.drawing+xml"/>
  <Override PartName="/xl/drawings/_rels/drawing1.xml.rels" ContentType="application/vnd.openxmlformats-package.relationships+xml"/>
  <Override PartName="/xl/drawings/_rels/drawing4.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media/image1.png" ContentType="image/png"/>
  <Override PartName="/xl/media/image2.png" ContentType="image/png"/>
  <Override PartName="/xl/media/image3.png" ContentType="image/png"/>
  <Override PartName="/xl/media/image6.jpeg" ContentType="image/jpeg"/>
  <Override PartName="/xl/media/image4.png" ContentType="image/png"/>
  <Override PartName="/xl/media/image5.png" ContentType="image/png"/>
  <Override PartName="/xl/media/image7.png" ContentType="image/png"/>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abilito" sheetId="1" state="visible" r:id="rId3"/>
    <sheet name="Trajecto" sheetId="2" state="visible" r:id="rId4"/>
    <sheet name="Courbes" sheetId="3" state="visible" r:id="rId5"/>
    <sheet name="Propu" sheetId="4" state="visible" r:id="rId6"/>
    <sheet name="Calculs" sheetId="5" state="visible" r:id="rId7"/>
    <sheet name="Abaco" sheetId="6" state="visible" r:id="rId8"/>
    <sheet name="Info" sheetId="7" state="visible" r:id="rId9"/>
    <sheet name="Controle" sheetId="8" state="visible" r:id="rId10"/>
  </sheets>
  <definedNames>
    <definedName function="false" hidden="false" localSheetId="5" name="_xlnm.Print_Area" vbProcedure="false">Abaco!$A$1:$M$35</definedName>
    <definedName function="false" hidden="false" localSheetId="2" name="_xlnm.Print_Area" vbProcedure="false">Courbes!$A$1:$K$78</definedName>
    <definedName function="false" hidden="false" localSheetId="0" name="_xlnm.Print_Area" vbProcedure="false">Stabilito!$A$1:$Q$37</definedName>
    <definedName function="false" hidden="false" localSheetId="1" name="_xlnm.Print_Area" vbProcedure="false">Trajecto!$A$1:$N$35</definedName>
    <definedName function="false" hidden="false" name="Acc_max" vbProcedure="false">Trajecto!$L$24</definedName>
    <definedName function="false" hidden="false" name="acc_x" vbProcedure="false">Calculs!$D$4:$D$1004</definedName>
    <definedName function="false" hidden="false" name="acc_xz" vbProcedure="false">Calculs!$F$4:$F$1004</definedName>
    <definedName function="false" hidden="false" name="acc_z" vbProcedure="false">Calculs!$E$4:$E$1004</definedName>
    <definedName function="false" hidden="false" name="Altitude_culmi" vbProcedure="false">Trajecto!$I$26</definedName>
    <definedName function="false" hidden="false" name="Alt_para" vbProcedure="false">Trajecto!$I$27</definedName>
    <definedName function="false" hidden="false" name="alt_prop" vbProcedure="false">Abaco!$J$41:$J$67</definedName>
    <definedName function="false" hidden="false" name="Alt_rampe" vbProcedure="false">Trajecto!$C$20</definedName>
    <definedName function="false" hidden="false" name="Alt_sat" vbProcedure="false">Trajecto!$I$25</definedName>
    <definedName function="false" hidden="false" name="a_prop" vbProcedure="false">Abaco!$G$41:$G$67</definedName>
    <definedName function="false" hidden="false" name="Beta" vbProcedure="false">Calculs!$M$4:$M$1004</definedName>
    <definedName function="false" hidden="false" name="BetaD" vbProcedure="false">Calculs!$N$4:$N$1004</definedName>
    <definedName function="false" hidden="false" name="Beta_rampe" vbProcedure="false">Trajecto!$C$19</definedName>
    <definedName function="false" hidden="false" name="b_bal" vbProcedure="false">Abaco!$I$41:$I$67</definedName>
    <definedName function="false" hidden="false" name="b_prop" vbProcedure="false">Abaco!$H$41:$H$67</definedName>
    <definedName function="false" hidden="false" name="CdP" vbProcedure="false">Propu!$B$3:$Y$4</definedName>
    <definedName function="false" hidden="false" name="CdP_P" vbProcedure="false">Propu!$B$4:$Y$4</definedName>
    <definedName function="false" hidden="false" name="CdP_t" vbProcedure="false">Propu!$B$3:$Y$3</definedName>
    <definedName function="false" hidden="false" name="Club" vbProcedure="false">Stabilito!$C$9</definedName>
    <definedName function="false" hidden="false" name="Cn" vbProcedure="false">Stabilito!$H$28</definedName>
    <definedName function="false" hidden="false" name="Cn0" vbProcedure="false">Stabilito!$I$28</definedName>
    <definedName function="false" hidden="false" name="Cnai0" vbProcedure="false">Stabilito!$P$19</definedName>
    <definedName function="false" hidden="false" name="Cni0" vbProcedure="false">Stabilito!$P$22</definedName>
    <definedName function="false" hidden="false" name="Combustion" vbProcedure="false">Propu!$X$2</definedName>
    <definedName function="false" hidden="false" name="Cx" vbProcedure="false">Trajecto!$C$15</definedName>
    <definedName function="false" hidden="false" name="Cx_para" vbProcedure="false">Trajecto!$C$28</definedName>
    <definedName function="false" hidden="false" name="Cx_satellite" vbProcedure="false">Trajecto!$D$28</definedName>
    <definedName function="false" hidden="false" name="D1j" vbProcedure="false">Stabilito!$M$7</definedName>
    <definedName function="false" hidden="false" name="D1r" vbProcedure="false">Stabilito!$O$7</definedName>
    <definedName function="false" hidden="false" name="D2j" vbProcedure="false">Stabilito!$M$8</definedName>
    <definedName function="false" hidden="false" name="D2r" vbProcedure="false">Stabilito!$O$8</definedName>
    <definedName function="false" hidden="false" name="Depotage" vbProcedure="false">Propu!$Z$2</definedName>
    <definedName function="false" hidden="false" name="Diam_propu" vbProcedure="false">Propu!$T$2</definedName>
    <definedName function="false" hidden="false" name="Dt_para" vbProcedure="false">Trajecto!$C$31</definedName>
    <definedName function="false" hidden="false" name="Dt_satellite" vbProcedure="false">Trajecto!$D$31</definedName>
    <definedName function="false" hidden="false" name="Dx_para" vbProcedure="false">Trajecto!$C$33</definedName>
    <definedName function="false" hidden="false" name="Dx_sat" vbProcedure="false">Trajecto!$D$33</definedName>
    <definedName function="false" hidden="false" name="D_ail" vbProcedure="false">Stabilito!$C$34</definedName>
    <definedName function="false" hidden="false" name="D_og" vbProcedure="false">Stabilito!$C$23</definedName>
    <definedName function="false" hidden="false" name="D_ref" vbProcedure="false">Stabilito!$C$14</definedName>
    <definedName function="false" hidden="false" name="D_var" vbProcedure="false">Abaco!$B$41:$B$67</definedName>
    <definedName function="false" hidden="false" name="Débit" vbProcedure="false">Calculs!$R$4:$R$1004</definedName>
    <definedName function="false" hidden="false" name="ep_ail" vbProcedure="false">Stabilito!$C$31</definedName>
    <definedName function="false" hidden="false" name="ep_can" vbProcedure="false">Stabilito!$D$31</definedName>
    <definedName function="false" hidden="false" name="Event" vbProcedure="false">Calculs!$Y$4:$Y$1004</definedName>
    <definedName function="false" hidden="false" name="Event_para" vbProcedure="false">Calculs!$Z$4:$Z$1004</definedName>
    <definedName function="false" hidden="false" name="Event_sat" vbProcedure="false">Calculs!$AA$4:$AA$1004</definedName>
    <definedName function="false" hidden="false" name="E_ail" vbProcedure="false">Stabilito!$C$30</definedName>
    <definedName function="false" hidden="false" name="E_can" vbProcedure="false">Stabilito!$D$30</definedName>
    <definedName function="false" hidden="false" name="Finesse" vbProcedure="false">Stabilito!$H$27</definedName>
    <definedName function="false" hidden="false" name="Forme_ogive" vbProcedure="false">Stabilito!$C$21</definedName>
    <definedName function="false" hidden="false" name="g" vbProcedure="false">Info!$E$52</definedName>
    <definedName function="false" hidden="false" name="ISP" vbProcedure="false">Propu!$F$2</definedName>
    <definedName function="false" hidden="false" name="i_P" vbProcedure="false">Calculs!$P$4:$P$1004</definedName>
    <definedName function="false" hidden="false" name="I_total" vbProcedure="false">Propu!$D$2</definedName>
    <definedName function="false" hidden="false" name="Lang" vbProcedure="false">Stabilito!$M$2</definedName>
    <definedName function="false" hidden="false" name="Liste_fusex" vbProcedure="false">Propu!$R$317:$R$346</definedName>
    <definedName function="false" hidden="false" name="Liste_H2O" vbProcedure="false">Propu!$C$317:$D$346</definedName>
    <definedName function="false" hidden="false" name="Liste_minif" vbProcedure="false">Propu!$L$317:$M$346</definedName>
    <definedName function="false" hidden="false" name="Liste_minifT" vbProcedure="false">Propu!$O$317:$O$346</definedName>
    <definedName function="false" hidden="false" name="Liste_propu" vbProcedure="false">Propu!$A$317:$A$330</definedName>
    <definedName function="false" hidden="false" name="Liste_RC" vbProcedure="false">Propu!$I$317:$J$346</definedName>
    <definedName function="false" hidden="false" name="Liste_µfu" vbProcedure="false">Propu!$F$317:$F$346</definedName>
    <definedName function="false" hidden="false" name="Long_ogive" vbProcedure="false">Stabilito!$C$22</definedName>
    <definedName function="false" hidden="false" name="Long_propu" vbProcedure="false">Propu!$R$2</definedName>
    <definedName function="false" hidden="false" name="Long_tot" vbProcedure="false">Stabilito!$C$13</definedName>
    <definedName function="false" hidden="false" name="l_j" vbProcedure="false">Stabilito!$M$6</definedName>
    <definedName function="false" hidden="false" name="l_r" vbProcedure="false">Stabilito!$O$6</definedName>
    <definedName function="false" hidden="false" name="L_rampe" vbProcedure="false">Trajecto!$C$18</definedName>
    <definedName function="false" hidden="false" name="m" vbProcedure="false">Calculs!$S$4:$S$1004</definedName>
    <definedName function="false" hidden="false" name="MassePlein" vbProcedure="false">Stabilito!$M$14</definedName>
    <definedName function="false" hidden="false" name="MasseSans" vbProcedure="false">Stabilito!$P$14</definedName>
    <definedName function="false" hidden="false" name="MasseVide" vbProcedure="false">Stabilito!$N$14</definedName>
    <definedName function="false" hidden="false" name="Masse_ail" vbProcedure="false">Controle!$H$63</definedName>
    <definedName function="false" hidden="false" name="Menu_Empennage" vbProcedure="false">Stabilito!$B$111:$B$112</definedName>
    <definedName function="false" hidden="false" name="Menu_Lang" vbProcedure="false">Stabilito!$B$93:$B$94</definedName>
    <definedName function="false" hidden="false" name="Menu_Ogive" vbProcedure="false">Stabilito!$B$107:$B$109</definedName>
    <definedName function="false" hidden="false" name="Menu_sat" vbProcedure="false">Trajecto!$B$104:$B$105</definedName>
    <definedName function="false" hidden="false" name="Menu_Transitions" vbProcedure="false">Stabilito!$B$114:$B$115</definedName>
    <definedName function="false" hidden="false" name="Menu_Type" vbProcedure="false">Stabilito!$B$96:$B$100</definedName>
    <definedName function="false" hidden="false" name="Menu_with_motor" vbProcedure="false">Stabilito!$B$103:$B$105</definedName>
    <definedName function="false" hidden="false" name="MpropuPlein" vbProcedure="false">Propu!$H$2</definedName>
    <definedName function="false" hidden="false" name="MpropuVide" vbProcedure="false">Propu!$L$2</definedName>
    <definedName function="false" hidden="false" name="MS_Cn_max" vbProcedure="false">Stabilito!$I$30</definedName>
    <definedName function="false" hidden="false" name="MS_Cn_max0" vbProcedure="false">stabilito!#ref!</definedName>
    <definedName function="false" hidden="false" name="MS_Cn_min" vbProcedure="false">Stabilito!$H$30</definedName>
    <definedName function="false" hidden="false" name="MS_Cn_min0" vbProcedure="false">stabilito!#ref!</definedName>
    <definedName function="false" hidden="false" name="MS_max" vbProcedure="false">Stabilito!$I$29</definedName>
    <definedName function="false" hidden="false" name="MS_max0" vbProcedure="false">stabilito!#ref!</definedName>
    <definedName function="false" hidden="false" name="MS_min" vbProcedure="false">Stabilito!$H$29</definedName>
    <definedName function="false" hidden="false" name="MS_min0" vbProcedure="false">stabilito!#ref!</definedName>
    <definedName function="false" hidden="false" name="m_ail" vbProcedure="false">Stabilito!$C$27</definedName>
    <definedName function="false" hidden="false" name="m_bal" vbProcedure="false">Abaco!$F$41:$F$67</definedName>
    <definedName function="false" hidden="false" name="m_can" vbProcedure="false">Stabilito!$D$27</definedName>
    <definedName function="false" hidden="false" name="m_poudre" vbProcedure="false">Propu!$J$2</definedName>
    <definedName function="false" hidden="false" name="m_prop" vbProcedure="false">Abaco!$E$41:$E$67</definedName>
    <definedName function="false" hidden="false" name="m_satellite" vbProcedure="false">Trajecto!$D$24</definedName>
    <definedName function="false" hidden="false" name="m_tot" vbProcedure="false">Trajecto!$C$10</definedName>
    <definedName function="false" hidden="false" name="m_var" vbProcedure="false">Abaco!$D$41:$D$67</definedName>
    <definedName function="false" hidden="false" name="m_vide" vbProcedure="false">Trajecto!$C$24</definedName>
    <definedName function="false" hidden="false" name="Nb_diam" vbProcedure="false">Stabilito!$M$4</definedName>
    <definedName function="false" hidden="false" name="Nb_sat" vbProcedure="false">Trajecto!$D$23</definedName>
    <definedName function="false" hidden="false" name="Nom" vbProcedure="false">Stabilito!$C$8</definedName>
    <definedName function="false" hidden="false" name="n_ail" vbProcedure="false">Stabilito!$C$28</definedName>
    <definedName function="false" hidden="false" name="n_can" vbProcedure="false">Stabilito!$D$28</definedName>
    <definedName function="false" hidden="false" name="pas" vbProcedure="false">Calculs!$A$4:$A$1004</definedName>
    <definedName function="false" hidden="false" name="Poids" vbProcedure="false">Calculs!$T$4:$T$1004</definedName>
    <definedName function="false" hidden="false" name="Portee_balistique" vbProcedure="false">Trajecto!$J$28</definedName>
    <definedName function="false" hidden="false" name="pos_x" vbProcedure="false">Calculs!$J$4:$J$1004</definedName>
    <definedName function="false" hidden="false" name="pos_xz" vbProcedure="false">Calculs!$L$4:$L$1004</definedName>
    <definedName function="false" hidden="false" name="pos_z" vbProcedure="false">Calculs!$K$4:$K$1004</definedName>
    <definedName function="false" hidden="false" name="pos_z_montant" vbProcedure="false">Calculs!$AE$4:$AE$1004</definedName>
    <definedName function="false" hidden="false" name="Poussee" vbProcedure="false">Calculs!$Q$4:$Q$1004</definedName>
    <definedName function="false" hidden="false" name="Propu" vbProcedure="false">Stabilito!$C$17</definedName>
    <definedName function="false" hidden="false" name="p_ail" vbProcedure="false">Stabilito!$C$29</definedName>
    <definedName function="false" hidden="false" name="p_can" vbProcedure="false">Stabilito!$D$29</definedName>
    <definedName function="false" hidden="false" name="Q_ail" vbProcedure="false">Stabilito!$C$32</definedName>
    <definedName function="false" hidden="false" name="Q_can" vbProcedure="false">Stabilito!$D$32</definedName>
    <definedName function="false" hidden="false" name="Q_var" vbProcedure="false">Abaco!$C$41:$C$67</definedName>
    <definedName function="false" hidden="false" name="Rho" vbProcedure="false">Calculs!$V$4:$V$1004</definedName>
    <definedName function="false" hidden="false" name="Rho_moyen" vbProcedure="false">Info!$E$53</definedName>
    <definedName function="false" hidden="false" name="R_rampe" vbProcedure="false">Calculs!$U$4:$U$1004</definedName>
    <definedName function="false" hidden="false" name="Sref" vbProcedure="false">Trajecto!$C$14</definedName>
    <definedName function="false" hidden="false" name="sS" vbProcedure="false">Trajecto!$F$132</definedName>
    <definedName function="false" hidden="false" name="S_ail" vbProcedure="false">Controle!$H$64</definedName>
    <definedName function="false" hidden="false" name="S_para" vbProcedure="false">Trajecto!$C$27</definedName>
    <definedName function="false" hidden="false" name="S_para_croix" vbProcedure="false">Trajecto!$B$47</definedName>
    <definedName function="false" hidden="false" name="S_para_rond" vbProcedure="false">Trajecto!$B$55</definedName>
    <definedName function="false" hidden="false" name="S_satellite" vbProcedure="false">Trajecto!$D$27</definedName>
    <definedName function="false" hidden="false" name="t" vbProcedure="false">Calculs!$B$4:$B$1004</definedName>
    <definedName function="false" hidden="false" name="Temps_culmi" vbProcedure="false">Trajecto!$H$26</definedName>
    <definedName function="false" hidden="false" name="Temps_fin_propu" vbProcedure="false">Propu!$X$3</definedName>
    <definedName function="false" hidden="false" name="Trainee" vbProcedure="false">Calculs!$W$4:$W$1004</definedName>
    <definedName function="false" hidden="false" name="tT_fus" vbProcedure="false">Trajecto!$F$133</definedName>
    <definedName function="false" hidden="false" name="tT_sat" vbProcedure="false">Trajecto!$F$150</definedName>
    <definedName function="false" hidden="false" name="Type_fusee" vbProcedure="false">Stabilito!$C$10</definedName>
    <definedName function="false" hidden="false" name="Type_propu" vbProcedure="false">Propu!$V$2</definedName>
    <definedName function="false" hidden="false" name="T_balistique" vbProcedure="false">Trajecto!$H$28</definedName>
    <definedName function="false" hidden="false" name="T_ini" vbProcedure="false">Trajecto!$H$40</definedName>
    <definedName function="false" hidden="false" name="T_para" vbProcedure="false">Trajecto!$C$113</definedName>
    <definedName function="false" hidden="false" name="T_satellite" vbProcedure="false">Trajecto!$D$26</definedName>
    <definedName function="false" hidden="false" name="Vit_culmi" vbProcedure="false">Trajecto!$K$26</definedName>
    <definedName function="false" hidden="false" name="Vit_max" vbProcedure="false">Trajecto!$K$24</definedName>
    <definedName function="false" hidden="false" name="vit_x" vbProcedure="false">Calculs!$G$4:$G$1004</definedName>
    <definedName function="false" hidden="false" name="vit_xz" vbProcedure="false">Calculs!$I$4:$I$1004</definedName>
    <definedName function="false" hidden="false" name="vit_z" vbProcedure="false">Calculs!$H$4:$H$1004</definedName>
    <definedName function="false" hidden="false" name="Vsortie_de_rampe" vbProcedure="false">Trajecto!$K$23</definedName>
    <definedName function="false" hidden="false" name="V_ini" vbProcedure="false">Trajecto!$K$40</definedName>
    <definedName function="false" hidden="false" name="V_ouverture" vbProcedure="false">Trajecto!$K$27</definedName>
    <definedName function="false" hidden="false" name="V_ouv_sat" vbProcedure="false">Trajecto!$K$25</definedName>
    <definedName function="false" hidden="false" name="V_para" vbProcedure="false">Trajecto!$C$30</definedName>
    <definedName function="false" hidden="false" name="V_prop" vbProcedure="false">Abaco!$K$41:$K$67</definedName>
    <definedName function="false" hidden="false" name="V_satellite" vbProcedure="false">Trajecto!$D$30</definedName>
    <definedName function="false" hidden="false" name="V_vent" vbProcedure="false">Trajecto!$C$29</definedName>
    <definedName function="false" hidden="false" name="V_vent_sat" vbProcedure="false">Trajecto!$D$29</definedName>
    <definedName function="false" hidden="false" name="XcgPlein" vbProcedure="false">Stabilito!$M$15</definedName>
    <definedName function="false" hidden="false" name="XcgSans" vbProcedure="false">Stabilito!$P$15</definedName>
    <definedName function="false" hidden="false" name="XcgVide" vbProcedure="false">Stabilito!$N$15</definedName>
    <definedName function="false" hidden="false" name="XCp0" vbProcedure="false">Stabilito!$I$31</definedName>
    <definedName function="false" hidden="false" name="XCpai0" vbProcedure="false">Stabilito!$N$19</definedName>
    <definedName function="false" hidden="false" name="XCpi0" vbProcedure="false">Stabilito!$N$22</definedName>
    <definedName function="false" hidden="false" name="XpropuPlein" vbProcedure="false">Propu!$N$2</definedName>
    <definedName function="false" hidden="false" name="XpropuRef" vbProcedure="false">Stabilito!$C$18</definedName>
    <definedName function="false" hidden="false" name="XpropuVide" vbProcedure="false">Propu!$P$2</definedName>
    <definedName function="false" hidden="false" name="X_ail" vbProcedure="false">Stabilito!$C$33</definedName>
    <definedName function="false" hidden="false" name="X_can" vbProcedure="false">Stabilito!$D$33</definedName>
    <definedName function="false" hidden="false" name="X_culmi" vbProcedure="false">Trajecto!$J$26</definedName>
    <definedName function="false" hidden="false" name="X_ini" vbProcedure="false">Trajecto!$J$40</definedName>
    <definedName function="false" hidden="false" name="X_j" vbProcedure="false">Stabilito!$M$9</definedName>
    <definedName function="false" hidden="false" name="X_para" vbProcedure="false">Trajecto!$J$27</definedName>
    <definedName function="false" hidden="false" name="X_r" vbProcedure="false">Stabilito!$O$9</definedName>
    <definedName function="false" hidden="false" name="X_satellite" vbProcedure="false">Trajecto!$J$25</definedName>
    <definedName function="false" hidden="false" name="zZ_fus" vbProcedure="false">Trajecto!$F$134</definedName>
    <definedName function="false" hidden="false" name="zZ_sat" vbProcedure="false">Trajecto!$F$151</definedName>
    <definedName function="false" hidden="false" name="Z_ini" vbProcedure="false">Trajecto!$I$40</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12" authorId="0">
      <text>
        <r>
          <rPr>
            <sz val="10"/>
            <rFont val="Arial"/>
            <family val="2"/>
          </rPr>
          <t xml:space="preserve">Position du </t>
        </r>
        <r>
          <rPr>
            <b val="true"/>
            <sz val="8"/>
            <color rgb="FF000000"/>
            <rFont val="Tahoma"/>
            <family val="2"/>
            <charset val="1"/>
          </rPr>
          <t xml:space="preserve">Centre de Masse</t>
        </r>
        <r>
          <rPr>
            <sz val="8"/>
            <color rgb="FF000000"/>
            <rFont val="Tahoma"/>
            <family val="2"/>
            <charset val="1"/>
          </rPr>
          <t xml:space="preserve"> (CdG) par rapport à la pointe de l'ogive,
à mesurer ou estimer sur votre fusée.
</t>
        </r>
        <r>
          <rPr>
            <i val="true"/>
            <sz val="8"/>
            <color rgb="FF000000"/>
            <rFont val="Tahoma"/>
            <family val="2"/>
            <charset val="1"/>
          </rPr>
          <t xml:space="preserve">Position of Center of Mass (CoG) from the top of the nose cone.</t>
        </r>
      </text>
    </comment>
    <comment ref="B13" authorId="0">
      <text>
        <r>
          <rPr>
            <sz val="10"/>
            <rFont val="Arial"/>
            <family val="2"/>
          </rPr>
          <t xml:space="preserve">Longueur totale du fuselage avec l'ogive,
hors propu hors antenne hors ailerons.
</t>
        </r>
        <r>
          <rPr>
            <i val="true"/>
            <sz val="8"/>
            <color rgb="FF000000"/>
            <rFont val="Tahoma"/>
            <family val="2"/>
            <charset val="1"/>
          </rPr>
          <t xml:space="preserve">Total length of the body including nose cone.</t>
        </r>
      </text>
    </comment>
    <comment ref="B14" authorId="0">
      <text>
        <r>
          <rPr>
            <sz val="10"/>
            <rFont val="Arial"/>
            <family val="2"/>
          </rPr>
          <t xml:space="preserve">Diamètre de référence, utilisé pour calculer : Cnα, Finesse, Marge Statique.
Par défaut D_réf = D_ogive ; on peux écraser avec le diamètre "principal".
</t>
        </r>
        <r>
          <rPr>
            <i val="true"/>
            <sz val="8"/>
            <color rgb="FF000000"/>
            <rFont val="Tahoma"/>
            <family val="2"/>
            <charset val="1"/>
          </rPr>
          <t xml:space="preserve">Reference Diameter, used to compute: Cnα, Finesse, Static Margin.
By default D_ref = D_ogive ; one can overwrtie with the "main" diameter.</t>
        </r>
      </text>
    </comment>
    <comment ref="B18" authorId="0">
      <text>
        <r>
          <rPr>
            <sz val="10"/>
            <rFont val="Arial"/>
            <family val="2"/>
          </rPr>
          <t xml:space="preserve">Distance entre la pointe de l'ogive et le </t>
        </r>
        <r>
          <rPr>
            <b val="true"/>
            <sz val="8"/>
            <color rgb="FF000000"/>
            <rFont val="Tahoma"/>
            <family val="2"/>
            <charset val="1"/>
          </rPr>
          <t xml:space="preserve">bas</t>
        </r>
        <r>
          <rPr>
            <sz val="8"/>
            <color rgb="FF000000"/>
            <rFont val="Tahoma"/>
            <family val="2"/>
            <charset val="1"/>
          </rPr>
          <t xml:space="preserve"> du propulseur (hors tuyère).
</t>
        </r>
        <r>
          <rPr>
            <i val="true"/>
            <sz val="8"/>
            <color rgb="FF000000"/>
            <rFont val="Tahoma"/>
            <family val="2"/>
            <charset val="1"/>
          </rPr>
          <t xml:space="preserve">Distance between the tip of the nose cone and the </t>
        </r>
        <r>
          <rPr>
            <b val="true"/>
            <i val="true"/>
            <sz val="8"/>
            <color rgb="FF000000"/>
            <rFont val="Tahoma"/>
            <family val="2"/>
            <charset val="1"/>
          </rPr>
          <t xml:space="preserve">bottom</t>
        </r>
        <r>
          <rPr>
            <i val="true"/>
            <sz val="8"/>
            <color rgb="FF000000"/>
            <rFont val="Tahoma"/>
            <family val="2"/>
            <charset val="1"/>
          </rPr>
          <t xml:space="preserve"> of the motor.</t>
        </r>
      </text>
    </comment>
    <comment ref="B23" authorId="0">
      <text>
        <r>
          <rPr>
            <sz val="10"/>
            <rFont val="Arial"/>
            <family val="2"/>
          </rPr>
          <t xml:space="preserve">Diamètre à la base de l'ogive.
</t>
        </r>
        <r>
          <rPr>
            <i val="true"/>
            <sz val="8"/>
            <color rgb="FF000000"/>
            <rFont val="Tahoma"/>
            <family val="2"/>
            <charset val="1"/>
          </rPr>
          <t xml:space="preserve">Diameter at the basement of the nose cone.</t>
        </r>
      </text>
    </comment>
    <comment ref="B27" authorId="0">
      <text>
        <r>
          <rPr>
            <sz val="10"/>
            <rFont val="Arial"/>
            <family val="2"/>
          </rPr>
          <t xml:space="preserve">Longueur de l'</t>
        </r>
        <r>
          <rPr>
            <b val="true"/>
            <sz val="8"/>
            <color rgb="FF000000"/>
            <rFont val="Tahoma"/>
            <family val="2"/>
            <charset val="1"/>
          </rPr>
          <t xml:space="preserve">e</t>
        </r>
        <r>
          <rPr>
            <b val="true"/>
            <u val="single"/>
            <sz val="8"/>
            <color rgb="FF000000"/>
            <rFont val="Tahoma"/>
            <family val="2"/>
            <charset val="1"/>
          </rPr>
          <t xml:space="preserve">m</t>
        </r>
        <r>
          <rPr>
            <b val="true"/>
            <sz val="8"/>
            <color rgb="FF000000"/>
            <rFont val="Tahoma"/>
            <family val="2"/>
            <charset val="1"/>
          </rPr>
          <t xml:space="preserve">planture</t>
        </r>
        <r>
          <rPr>
            <sz val="8"/>
            <color rgb="FF000000"/>
            <rFont val="Tahoma"/>
            <family val="2"/>
            <charset val="1"/>
          </rPr>
          <t xml:space="preserve"> d'un aileron.
</t>
        </r>
        <r>
          <rPr>
            <i val="true"/>
            <sz val="8"/>
            <color rgb="FF000000"/>
            <rFont val="Tahoma"/>
            <family val="2"/>
            <charset val="1"/>
          </rPr>
          <t xml:space="preserve">Root edge length of one fin.</t>
        </r>
      </text>
    </comment>
    <comment ref="B28" authorId="0">
      <text>
        <r>
          <rPr>
            <sz val="10"/>
            <rFont val="Arial"/>
            <family val="2"/>
          </rPr>
          <t xml:space="preserve">Longueur du </t>
        </r>
        <r>
          <rPr>
            <b val="true"/>
            <sz val="8"/>
            <color rgb="FF000000"/>
            <rFont val="Tahoma"/>
            <family val="2"/>
            <charset val="1"/>
          </rPr>
          <t xml:space="preserve">saumo</t>
        </r>
        <r>
          <rPr>
            <b val="true"/>
            <u val="single"/>
            <sz val="8"/>
            <color rgb="FF000000"/>
            <rFont val="Tahoma"/>
            <family val="2"/>
            <charset val="1"/>
          </rPr>
          <t xml:space="preserve">n</t>
        </r>
        <r>
          <rPr>
            <sz val="8"/>
            <color rgb="FF000000"/>
            <rFont val="Tahoma"/>
            <family val="2"/>
            <charset val="1"/>
          </rPr>
          <t xml:space="preserve"> d'un aileron.
</t>
        </r>
        <r>
          <rPr>
            <i val="true"/>
            <sz val="8"/>
            <color rgb="FF000000"/>
            <rFont val="Tahoma"/>
            <family val="2"/>
            <charset val="1"/>
          </rPr>
          <t xml:space="preserve">Tip edge length of one fin.</t>
        </r>
      </text>
    </comment>
    <comment ref="B29" authorId="0">
      <text>
        <r>
          <rPr>
            <sz val="10"/>
            <rFont val="Arial"/>
            <family val="2"/>
          </rPr>
          <t xml:space="preserve">Flèche</t>
        </r>
        <r>
          <rPr>
            <sz val="8"/>
            <color rgb="FF000000"/>
            <rFont val="Tahoma"/>
            <family val="2"/>
            <charset val="1"/>
          </rPr>
          <t xml:space="preserve"> du bord d'attaque (négatif si besoin).
</t>
        </r>
        <r>
          <rPr>
            <i val="true"/>
            <sz val="8"/>
            <color rgb="FF000000"/>
            <rFont val="Tahoma"/>
            <family val="2"/>
            <charset val="1"/>
          </rPr>
          <t xml:space="preserve">Offset of the Leading edge.</t>
        </r>
      </text>
    </comment>
    <comment ref="B30" authorId="0">
      <text>
        <r>
          <rPr>
            <sz val="10"/>
            <rFont val="Arial"/>
            <family val="2"/>
          </rPr>
          <t xml:space="preserve">E</t>
        </r>
        <r>
          <rPr>
            <b val="true"/>
            <sz val="8"/>
            <color rgb="FF000000"/>
            <rFont val="Tahoma"/>
            <family val="2"/>
            <charset val="1"/>
          </rPr>
          <t xml:space="preserve">nvergure</t>
        </r>
        <r>
          <rPr>
            <sz val="8"/>
            <color rgb="FF000000"/>
            <rFont val="Tahoma"/>
            <family val="2"/>
            <charset val="1"/>
          </rPr>
          <t xml:space="preserve"> d'un aileron.
</t>
        </r>
        <r>
          <rPr>
            <i val="true"/>
            <sz val="8"/>
            <color rgb="FF000000"/>
            <rFont val="Tahoma"/>
            <family val="2"/>
            <charset val="1"/>
          </rPr>
          <t xml:space="preserve">Span of one fin.</t>
        </r>
      </text>
    </comment>
    <comment ref="B33" authorId="0">
      <text>
        <r>
          <rPr>
            <sz val="10"/>
            <rFont val="Arial"/>
            <family val="2"/>
          </rPr>
          <t xml:space="preserve">Distance entre la pointe de l'ogive et le point </t>
        </r>
        <r>
          <rPr>
            <b val="true"/>
            <sz val="8"/>
            <color rgb="FF000000"/>
            <rFont val="Tahoma"/>
            <family val="2"/>
            <charset val="1"/>
          </rPr>
          <t xml:space="preserve">inférieur</t>
        </r>
        <r>
          <rPr>
            <sz val="8"/>
            <color rgb="FF000000"/>
            <rFont val="Tahoma"/>
            <family val="2"/>
            <charset val="1"/>
          </rPr>
          <t xml:space="preserve"> de l'encastrement des ailerons.
</t>
        </r>
        <r>
          <rPr>
            <i val="true"/>
            <sz val="8"/>
            <color rgb="FF000000"/>
            <rFont val="Tahoma"/>
            <family val="2"/>
            <charset val="1"/>
          </rPr>
          <t xml:space="preserve">Distance between the tip of the nose and the </t>
        </r>
        <r>
          <rPr>
            <b val="true"/>
            <i val="true"/>
            <sz val="8"/>
            <color rgb="FF000000"/>
            <rFont val="Tahoma"/>
            <family val="2"/>
            <charset val="1"/>
          </rPr>
          <t xml:space="preserve">lower</t>
        </r>
        <r>
          <rPr>
            <i val="true"/>
            <sz val="8"/>
            <color rgb="FF000000"/>
            <rFont val="Tahoma"/>
            <family val="2"/>
            <charset val="1"/>
          </rPr>
          <t xml:space="preserve"> point of fins attachment on the rocket.</t>
        </r>
      </text>
    </comment>
    <comment ref="B34" authorId="0">
      <text>
        <r>
          <rPr>
            <sz val="10"/>
            <rFont val="Arial"/>
            <family val="2"/>
          </rPr>
          <t xml:space="preserve">Diamètre du fuselage au niveau des ailerons.
</t>
        </r>
        <r>
          <rPr>
            <i val="true"/>
            <sz val="8"/>
            <color rgb="FF000000"/>
            <rFont val="Tahoma"/>
            <family val="2"/>
            <charset val="1"/>
          </rPr>
          <t xml:space="preserve">Diameter of the body at the level of the fins.</t>
        </r>
      </text>
    </comment>
    <comment ref="E25" authorId="0">
      <text>
        <r>
          <rPr>
            <sz val="10"/>
            <rFont val="Arial"/>
            <family val="2"/>
          </rPr>
          <t xml:space="preserve">Les parties masquées des ailerons du bas sont représentées 
sur le schéma de la fusée par des </t>
        </r>
        <r>
          <rPr>
            <sz val="8"/>
            <color rgb="FFFF0000"/>
            <rFont val="Tahoma"/>
            <family val="2"/>
            <charset val="1"/>
          </rPr>
          <t xml:space="preserve">zones en rouge</t>
        </r>
        <r>
          <rPr>
            <sz val="8"/>
            <color rgb="FF000000"/>
            <rFont val="Tahoma"/>
            <family val="2"/>
            <charset val="1"/>
          </rPr>
          <t xml:space="preserve">.
Ce sont les parties situées juste en dessous des ailerons du haut.
</t>
        </r>
        <r>
          <rPr>
            <i val="true"/>
            <sz val="8"/>
            <color rgb="FF000000"/>
            <rFont val="Tahoma"/>
            <family val="2"/>
            <charset val="1"/>
          </rPr>
          <t xml:space="preserve">The fin-fin interaction zone is located just below the upper fins,
shown in </t>
        </r>
        <r>
          <rPr>
            <i val="true"/>
            <sz val="8"/>
            <color rgb="FFFF0000"/>
            <rFont val="Tahoma"/>
            <family val="2"/>
            <charset val="1"/>
          </rPr>
          <t xml:space="preserve">red</t>
        </r>
        <r>
          <rPr>
            <i val="true"/>
            <sz val="8"/>
            <color rgb="FF000000"/>
            <rFont val="Tahoma"/>
            <family val="2"/>
            <charset val="1"/>
          </rPr>
          <t xml:space="preserve"> in the Rocket schematic.</t>
        </r>
      </text>
    </comment>
    <comment ref="F27" authorId="0">
      <text>
        <r>
          <rPr>
            <sz val="10"/>
            <rFont val="Arial"/>
            <family val="2"/>
          </rPr>
          <t xml:space="preserve">La </t>
        </r>
        <r>
          <rPr>
            <b val="true"/>
            <sz val="8"/>
            <color rgb="FF000000"/>
            <rFont val="Tahoma"/>
            <family val="2"/>
            <charset val="1"/>
          </rPr>
          <t xml:space="preserve">Finesse</t>
        </r>
        <r>
          <rPr>
            <sz val="8"/>
            <color rgb="FF000000"/>
            <rFont val="Tahoma"/>
            <family val="2"/>
            <charset val="1"/>
          </rPr>
          <t xml:space="preserve"> représente l'allongement de la fusée, rapport Longueur/Diamètre.
</t>
        </r>
        <r>
          <rPr>
            <i val="true"/>
            <sz val="8"/>
            <color rgb="FF000000"/>
            <rFont val="Tahoma"/>
            <family val="2"/>
            <charset val="1"/>
          </rPr>
          <t xml:space="preserve">Finesse represents the relative length of the rocket. Finesse = L/D</t>
        </r>
      </text>
    </comment>
    <comment ref="F28" authorId="0">
      <text>
        <r>
          <rPr>
            <sz val="10"/>
            <rFont val="Arial"/>
            <family val="2"/>
          </rPr>
          <t xml:space="preserve">Le gradient de </t>
        </r>
        <r>
          <rPr>
            <b val="true"/>
            <sz val="8"/>
            <color rgb="FF800000"/>
            <rFont val="Tahoma"/>
            <family val="2"/>
            <charset val="1"/>
          </rPr>
          <t xml:space="preserve">Portance</t>
        </r>
        <r>
          <rPr>
            <sz val="8"/>
            <color rgb="FF000000"/>
            <rFont val="Tahoma"/>
            <family val="2"/>
            <charset val="1"/>
          </rPr>
          <t xml:space="preserve"> Cnα indique l'efficacité des ailerons.
Pour l'augmenter, il faut augmenter la taille des ailerons, et inversement.
</t>
        </r>
        <r>
          <rPr>
            <i val="true"/>
            <sz val="8"/>
            <color rgb="FF800000"/>
            <rFont val="Tahoma"/>
            <family val="2"/>
            <charset val="1"/>
          </rPr>
          <t xml:space="preserve">Lift</t>
        </r>
        <r>
          <rPr>
            <i val="true"/>
            <sz val="8"/>
            <color rgb="FF000000"/>
            <rFont val="Tahoma"/>
            <family val="2"/>
            <charset val="1"/>
          </rPr>
          <t xml:space="preserve"> gradient, Cnα, represents the fins efficiency. 
To increase it, one must increase the size of the fins, and conversely.</t>
        </r>
      </text>
    </comment>
    <comment ref="F29" authorId="0">
      <text>
        <r>
          <rPr>
            <sz val="10"/>
            <rFont val="Arial"/>
            <family val="2"/>
          </rPr>
          <t xml:space="preserve">La </t>
        </r>
        <r>
          <rPr>
            <b val="true"/>
            <sz val="8"/>
            <color rgb="FF000000"/>
            <rFont val="Tahoma"/>
            <family val="2"/>
            <charset val="1"/>
          </rPr>
          <t xml:space="preserve">Marge Statique</t>
        </r>
        <r>
          <rPr>
            <sz val="8"/>
            <color rgb="FF000000"/>
            <rFont val="Tahoma"/>
            <family val="2"/>
            <charset val="1"/>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val="true"/>
            <sz val="8"/>
            <color rgb="FF000000"/>
            <rFont val="Tahoma"/>
            <family val="2"/>
            <charset val="1"/>
          </rPr>
          <t xml:space="preserve">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F30" authorId="0">
      <text>
        <r>
          <rPr>
            <sz val="10"/>
            <rFont val="Arial"/>
            <family val="2"/>
          </rPr>
          <t xml:space="preserve">Le </t>
        </r>
        <r>
          <rPr>
            <b val="true"/>
            <sz val="8"/>
            <color rgb="FF000000"/>
            <rFont val="Tahoma"/>
            <family val="2"/>
            <charset val="1"/>
          </rPr>
          <t xml:space="preserve">produit</t>
        </r>
        <r>
          <rPr>
            <sz val="8"/>
            <color rgb="FF000000"/>
            <rFont val="Tahoma"/>
            <family val="2"/>
            <charset val="1"/>
          </rPr>
          <t xml:space="preserve"> MS*Cnα représente le </t>
        </r>
        <r>
          <rPr>
            <b val="true"/>
            <sz val="8"/>
            <color rgb="FF000000"/>
            <rFont val="Tahoma"/>
            <family val="2"/>
            <charset val="1"/>
          </rPr>
          <t xml:space="preserve">couple</t>
        </r>
        <r>
          <rPr>
            <sz val="8"/>
            <color rgb="FF000000"/>
            <rFont val="Tahoma"/>
            <family val="2"/>
            <charset val="1"/>
          </rPr>
          <t xml:space="preserve"> de rappel de la Portance.
Pour augmenter le produit, il faut augmenter la MS et/ou le Cnα, et inversement.
</t>
        </r>
        <r>
          <rPr>
            <i val="true"/>
            <sz val="8"/>
            <color rgb="FF000000"/>
            <rFont val="Tahoma"/>
            <family val="2"/>
            <charset val="1"/>
          </rPr>
          <t xml:space="preserve">The product MS*Cnα represents the lift torque.
To increase it, one must increase the Static Margin and/or the Cnα, and conversely.</t>
        </r>
      </text>
    </comment>
    <comment ref="F31" authorId="0">
      <text>
        <r>
          <rPr>
            <sz val="10"/>
            <rFont val="Arial"/>
            <family val="2"/>
          </rPr>
          <t xml:space="preserve">Le Xcp est la </t>
        </r>
        <r>
          <rPr>
            <b val="true"/>
            <sz val="8"/>
            <color rgb="FF800000"/>
            <rFont val="Tahoma"/>
            <family val="2"/>
            <charset val="1"/>
          </rPr>
          <t xml:space="preserve">position du Centre de Poussée Aérodynamique</t>
        </r>
        <r>
          <rPr>
            <sz val="8"/>
            <color rgb="FF000000"/>
            <rFont val="Tahoma"/>
            <family val="2"/>
            <charset val="1"/>
          </rPr>
          <t xml:space="preserve"> (CPA), 
aussi appelé Centre de Pression (CP), Centre Latéral de Poussée (CLP), 
ou Foyer, exprimée par rapport à la pointe de l'ogive.
</t>
        </r>
        <r>
          <rPr>
            <i val="true"/>
            <sz val="8"/>
            <color rgb="FF000000"/>
            <rFont val="Tahoma"/>
            <family val="2"/>
            <charset val="1"/>
          </rPr>
          <t xml:space="preserve">Xcp is the location of the Aerodynamics Center of Pressure, 
measured from the tip of the nose cone.</t>
        </r>
      </text>
    </comment>
    <comment ref="F32" authorId="0">
      <text>
        <r>
          <rPr>
            <sz val="10"/>
            <rFont val="Arial"/>
            <family val="2"/>
          </rPr>
          <t xml:space="preserve">Cette Marge Statique est la distance entre le Centre de Masse et le Centre de Pression, 
exprimée en </t>
        </r>
        <r>
          <rPr>
            <b val="true"/>
            <sz val="8"/>
            <color rgb="FF000000"/>
            <rFont val="Tahoma"/>
            <family val="2"/>
            <charset val="1"/>
          </rPr>
          <t xml:space="preserve">% de la Longueur</t>
        </r>
        <r>
          <rPr>
            <sz val="8"/>
            <color rgb="FF000000"/>
            <rFont val="Tahoma"/>
            <family val="2"/>
            <charset val="1"/>
          </rPr>
          <t xml:space="preserve"> de la fusée, pour une fusée avec propulseur plein puis vide.
</t>
        </r>
        <r>
          <rPr>
            <i val="true"/>
            <sz val="8"/>
            <color rgb="FF000000"/>
            <rFont val="Tahoma"/>
            <family val="2"/>
            <charset val="1"/>
          </rPr>
          <t xml:space="preserve">This Static Margin is the distance between the Center of Mass and the Center of Pressure, 
measured in % of rocket length, for a rocket with loaded motor, then empty motor.</t>
        </r>
      </text>
    </comment>
    <comment ref="L6" authorId="0">
      <text>
        <r>
          <rPr>
            <sz val="10"/>
            <rFont val="Arial"/>
            <family val="2"/>
          </rPr>
          <t xml:space="preserve">Hauteur</t>
        </r>
        <r>
          <rPr>
            <sz val="8"/>
            <color rgb="FF000000"/>
            <rFont val="Tahoma"/>
            <family val="2"/>
            <charset val="1"/>
          </rPr>
          <t xml:space="preserve"> du changement de diamètre (cf. schéma sur fond bleu).
</t>
        </r>
        <r>
          <rPr>
            <i val="true"/>
            <sz val="8"/>
            <color rgb="FF000000"/>
            <rFont val="Tahoma"/>
            <family val="2"/>
            <charset val="1"/>
          </rPr>
          <t xml:space="preserve">Height of the tronconical transition (cf. blue schematic).</t>
        </r>
      </text>
    </comment>
    <comment ref="L7" authorId="0">
      <text>
        <r>
          <rPr>
            <sz val="10"/>
            <rFont val="Arial"/>
            <family val="2"/>
          </rPr>
          <t xml:space="preserve">Diamètre de la partie située </t>
        </r>
        <r>
          <rPr>
            <b val="true"/>
            <sz val="8"/>
            <color rgb="FF000000"/>
            <rFont val="Tahoma"/>
            <family val="2"/>
            <charset val="1"/>
          </rPr>
          <t xml:space="preserve">au dessus</t>
        </r>
        <r>
          <rPr>
            <sz val="8"/>
            <color rgb="FF000000"/>
            <rFont val="Tahoma"/>
            <family val="2"/>
            <charset val="1"/>
          </rPr>
          <t xml:space="preserve"> du changement de diamètre.
</t>
        </r>
        <r>
          <rPr>
            <i val="true"/>
            <sz val="8"/>
            <color rgb="FF000000"/>
            <rFont val="Tahoma"/>
            <family val="2"/>
            <charset val="1"/>
          </rPr>
          <t xml:space="preserve">Upper Diameter (cf. blue schematic).</t>
        </r>
      </text>
    </comment>
    <comment ref="L8" authorId="0">
      <text>
        <r>
          <rPr>
            <sz val="10"/>
            <rFont val="Arial"/>
            <family val="2"/>
          </rPr>
          <t xml:space="preserve">Diamètre de la partie située </t>
        </r>
        <r>
          <rPr>
            <b val="true"/>
            <sz val="8"/>
            <color rgb="FF000000"/>
            <rFont val="Tahoma"/>
            <family val="2"/>
            <charset val="1"/>
          </rPr>
          <t xml:space="preserve">en dessous</t>
        </r>
        <r>
          <rPr>
            <sz val="8"/>
            <color rgb="FF000000"/>
            <rFont val="Tahoma"/>
            <family val="2"/>
            <charset val="1"/>
          </rPr>
          <t xml:space="preserve"> du changement de diamètre.
</t>
        </r>
        <r>
          <rPr>
            <i val="true"/>
            <sz val="8"/>
            <color rgb="FF000000"/>
            <rFont val="Tahoma"/>
            <family val="2"/>
            <charset val="1"/>
          </rPr>
          <t xml:space="preserve">Lower Diameter (cf. blue schematic).</t>
        </r>
      </text>
    </comment>
    <comment ref="L9" authorId="0">
      <text>
        <r>
          <rPr>
            <sz val="10"/>
            <rFont val="Arial"/>
            <family val="2"/>
          </rPr>
          <t xml:space="preserve">Distance entre la pointe de l'ogive et le haut du changement de diamètre.
</t>
        </r>
        <r>
          <rPr>
            <i val="true"/>
            <sz val="8"/>
            <color rgb="FF000000"/>
            <rFont val="Tahoma"/>
            <family val="2"/>
            <charset val="1"/>
          </rPr>
          <t xml:space="preserve">Distance betwenn the tip of the nose cone and the top of the skirt/shrink.</t>
        </r>
      </text>
    </comment>
    <comment ref="L13" authorId="0">
      <text>
        <r>
          <rPr>
            <sz val="10"/>
            <rFont val="Arial"/>
            <family val="2"/>
          </rPr>
          <t xml:space="preserve">Centre de Masse du propulseur par rapport au haut du propulseur.
</t>
        </r>
        <r>
          <rPr>
            <i val="true"/>
            <sz val="8"/>
            <color rgb="FF000000"/>
            <rFont val="Tahoma"/>
            <family val="2"/>
            <charset val="1"/>
          </rPr>
          <t xml:space="preserve">Motor Center of Mass, mesured from top of motor.</t>
        </r>
      </text>
    </comment>
    <comment ref="L15" authorId="0">
      <text>
        <r>
          <rPr>
            <sz val="10"/>
            <rFont val="Arial"/>
            <family val="2"/>
          </rPr>
          <t xml:space="preserve">Les positions des </t>
        </r>
        <r>
          <rPr>
            <sz val="8"/>
            <color rgb="FF0000FF"/>
            <rFont val="Tahoma"/>
            <family val="2"/>
            <charset val="1"/>
          </rPr>
          <t xml:space="preserve">Centres de Masse</t>
        </r>
        <r>
          <rPr>
            <sz val="8"/>
            <color rgb="FF000000"/>
            <rFont val="Tahoma"/>
            <family val="2"/>
            <charset val="1"/>
          </rPr>
          <t xml:space="preserve"> de la fusée avec propulseur plein et vide
sont représentées sur le schéma de la fusée par un </t>
        </r>
        <r>
          <rPr>
            <sz val="8"/>
            <color rgb="FF0000FF"/>
            <rFont val="Tahoma"/>
            <family val="2"/>
            <charset val="1"/>
          </rPr>
          <t xml:space="preserve">segment vertical bleu</t>
        </r>
        <r>
          <rPr>
            <sz val="8"/>
            <color rgb="FF000000"/>
            <rFont val="Tahoma"/>
            <family val="2"/>
            <charset val="1"/>
          </rPr>
          <t xml:space="preserve">.
</t>
        </r>
        <r>
          <rPr>
            <i val="true"/>
            <sz val="8"/>
            <color rgb="FF000000"/>
            <rFont val="Tahoma"/>
            <family val="2"/>
            <charset val="1"/>
          </rPr>
          <t xml:space="preserve">Rocket Center of Mass are shown whith a </t>
        </r>
        <r>
          <rPr>
            <i val="true"/>
            <sz val="8"/>
            <color rgb="FF0000FF"/>
            <rFont val="Tahoma"/>
            <family val="2"/>
            <charset val="1"/>
          </rPr>
          <t xml:space="preserve">blue segment</t>
        </r>
        <r>
          <rPr>
            <i val="true"/>
            <sz val="8"/>
            <color rgb="FF000000"/>
            <rFont val="Tahoma"/>
            <family val="2"/>
            <charset val="1"/>
          </rPr>
          <t xml:space="preserve"> in Rocket schematic.</t>
        </r>
      </text>
    </comment>
    <comment ref="M5" authorId="0">
      <text>
        <r>
          <rPr>
            <sz val="10"/>
            <rFont val="Arial"/>
            <family val="2"/>
          </rPr>
          <t xml:space="preserve">Définir les propriétés du 1er changement de diamètre.
Laisser cette colonne vide si la fusée n'a pas de Jupe ou Rétreint.
</t>
        </r>
        <r>
          <rPr>
            <i val="true"/>
            <sz val="8"/>
            <color rgb="FF000000"/>
            <rFont val="Tahoma"/>
            <family val="2"/>
            <charset val="1"/>
          </rPr>
          <t xml:space="preserve">Set properties of the 1st diameter transition.
Leave this column blank if no skirt/shrink on the rocket.</t>
        </r>
      </text>
    </comment>
    <comment ref="O5" authorId="0">
      <text>
        <r>
          <rPr>
            <sz val="10"/>
            <rFont val="Arial"/>
            <family val="2"/>
          </rPr>
          <t xml:space="preserve">Définir les propriétés du 2e changement de diamètre.
Laisser cette colonne vide si la fusée n'a pas de 2e Jupe ou Rétreint.
</t>
        </r>
        <r>
          <rPr>
            <i val="true"/>
            <sz val="8"/>
            <color rgb="FF000000"/>
            <rFont val="Tahoma"/>
            <family val="2"/>
            <charset val="1"/>
          </rPr>
          <t xml:space="preserve">Set properties of the 2nd diameter transition.
Leave this column blank if no 2nd skirt/shrink on the rocket.</t>
        </r>
      </text>
    </comment>
    <comment ref="S12" authorId="0">
      <text>
        <r>
          <rPr>
            <sz val="10"/>
            <rFont val="Arial"/>
            <family val="2"/>
          </rPr>
          <t xml:space="preserve">Distance entre la pointe de l'ogive et le </t>
        </r>
        <r>
          <rPr>
            <b val="true"/>
            <sz val="8"/>
            <color rgb="FF000000"/>
            <rFont val="Tahoma"/>
            <family val="2"/>
            <charset val="1"/>
          </rPr>
          <t xml:space="preserve">haut</t>
        </r>
        <r>
          <rPr>
            <sz val="8"/>
            <color rgb="FF000000"/>
            <rFont val="Tahoma"/>
            <family val="2"/>
            <charset val="1"/>
          </rPr>
          <t xml:space="preserve"> du propulseur (hors ergot).
</t>
        </r>
        <r>
          <rPr>
            <i val="true"/>
            <sz val="8"/>
            <color rgb="FF000000"/>
            <rFont val="Tahoma"/>
            <family val="2"/>
            <charset val="1"/>
          </rPr>
          <t xml:space="preserve">Distance between the tip of the nose cone and the </t>
        </r>
        <r>
          <rPr>
            <b val="true"/>
            <i val="true"/>
            <sz val="8"/>
            <color rgb="FF000000"/>
            <rFont val="Tahoma"/>
            <family val="2"/>
            <charset val="1"/>
          </rPr>
          <t xml:space="preserve">top </t>
        </r>
        <r>
          <rPr>
            <i val="true"/>
            <sz val="8"/>
            <color rgb="FF000000"/>
            <rFont val="Tahoma"/>
            <family val="2"/>
            <charset val="1"/>
          </rPr>
          <t xml:space="preserve">of the motor.</t>
        </r>
      </text>
    </comment>
    <comment ref="S14" authorId="0">
      <text>
        <r>
          <rPr>
            <sz val="10"/>
            <rFont val="Arial"/>
            <family val="2"/>
          </rPr>
          <t xml:space="preserve">Distance entre la pointe de l'ogive et le </t>
        </r>
        <r>
          <rPr>
            <b val="true"/>
            <sz val="8"/>
            <color rgb="FF000000"/>
            <rFont val="Tahoma"/>
            <family val="2"/>
            <charset val="1"/>
          </rPr>
          <t xml:space="preserve">bas</t>
        </r>
        <r>
          <rPr>
            <sz val="8"/>
            <color rgb="FF000000"/>
            <rFont val="Tahoma"/>
            <family val="2"/>
            <charset val="1"/>
          </rPr>
          <t xml:space="preserve"> du propulseur (hors tuyère).
</t>
        </r>
        <r>
          <rPr>
            <i val="true"/>
            <sz val="8"/>
            <color rgb="FF000000"/>
            <rFont val="Tahoma"/>
            <family val="2"/>
            <charset val="1"/>
          </rPr>
          <t xml:space="preserve">Distance between the tip of the nose cone and the </t>
        </r>
        <r>
          <rPr>
            <b val="true"/>
            <i val="true"/>
            <sz val="8"/>
            <color rgb="FF000000"/>
            <rFont val="Tahoma"/>
            <family val="2"/>
            <charset val="1"/>
          </rPr>
          <t xml:space="preserve">bottom</t>
        </r>
        <r>
          <rPr>
            <i val="true"/>
            <sz val="8"/>
            <color rgb="FF000000"/>
            <rFont val="Tahoma"/>
            <family val="2"/>
            <charset val="1"/>
          </rPr>
          <t xml:space="preserve"> of the motor.</t>
        </r>
      </text>
    </comment>
    <comment ref="S17" authorId="0">
      <text>
        <r>
          <rPr>
            <sz val="10"/>
            <rFont val="Arial"/>
            <family val="2"/>
          </rPr>
          <t xml:space="preserve">Distance entre la pointe de l'ogive et le point </t>
        </r>
        <r>
          <rPr>
            <b val="true"/>
            <sz val="8"/>
            <color rgb="FF000000"/>
            <rFont val="Tahoma"/>
            <family val="2"/>
            <charset val="1"/>
          </rPr>
          <t xml:space="preserve">supérieur</t>
        </r>
        <r>
          <rPr>
            <sz val="8"/>
            <color rgb="FF000000"/>
            <rFont val="Tahoma"/>
            <family val="2"/>
            <charset val="1"/>
          </rPr>
          <t xml:space="preserve"> de l'encastrement des ailerons.
</t>
        </r>
        <r>
          <rPr>
            <i val="true"/>
            <sz val="8"/>
            <color rgb="FF000000"/>
            <rFont val="Tahoma"/>
            <family val="2"/>
            <charset val="1"/>
          </rPr>
          <t xml:space="preserve">Distance between the tip of the nose and the </t>
        </r>
        <r>
          <rPr>
            <b val="true"/>
            <i val="true"/>
            <sz val="8"/>
            <color rgb="FF000000"/>
            <rFont val="Tahoma"/>
            <family val="2"/>
            <charset val="1"/>
          </rPr>
          <t xml:space="preserve">upper</t>
        </r>
        <r>
          <rPr>
            <i val="true"/>
            <sz val="8"/>
            <color rgb="FF000000"/>
            <rFont val="Tahoma"/>
            <family val="2"/>
            <charset val="1"/>
          </rPr>
          <t xml:space="preserve"> point of fins attachment on the rocket.</t>
        </r>
      </text>
    </comment>
    <comment ref="S18" authorId="0">
      <text>
        <r>
          <rPr>
            <sz val="10"/>
            <rFont val="Arial"/>
            <family val="2"/>
          </rPr>
          <t xml:space="preserve">Longueur de l'</t>
        </r>
        <r>
          <rPr>
            <b val="true"/>
            <sz val="8"/>
            <color rgb="FF000000"/>
            <rFont val="Tahoma"/>
            <family val="2"/>
            <charset val="1"/>
          </rPr>
          <t xml:space="preserve">e</t>
        </r>
        <r>
          <rPr>
            <b val="true"/>
            <u val="single"/>
            <sz val="8"/>
            <color rgb="FF000000"/>
            <rFont val="Tahoma"/>
            <family val="2"/>
            <charset val="1"/>
          </rPr>
          <t xml:space="preserve">m</t>
        </r>
        <r>
          <rPr>
            <b val="true"/>
            <sz val="8"/>
            <color rgb="FF000000"/>
            <rFont val="Tahoma"/>
            <family val="2"/>
            <charset val="1"/>
          </rPr>
          <t xml:space="preserve">planture</t>
        </r>
        <r>
          <rPr>
            <sz val="8"/>
            <color rgb="FF000000"/>
            <rFont val="Tahoma"/>
            <family val="2"/>
            <charset val="1"/>
          </rPr>
          <t xml:space="preserve"> d'un aileron.
</t>
        </r>
        <r>
          <rPr>
            <i val="true"/>
            <sz val="8"/>
            <color rgb="FF000000"/>
            <rFont val="Tahoma"/>
            <family val="2"/>
            <charset val="1"/>
          </rPr>
          <t xml:space="preserve">Root edge length of one fin.</t>
        </r>
      </text>
    </comment>
    <comment ref="S19" authorId="0">
      <text>
        <r>
          <rPr>
            <sz val="10"/>
            <rFont val="Arial"/>
            <family val="2"/>
          </rPr>
          <t xml:space="preserve">Distance entre la pointe de l'ogive et le point </t>
        </r>
        <r>
          <rPr>
            <b val="true"/>
            <sz val="8"/>
            <color rgb="FF000000"/>
            <rFont val="Tahoma"/>
            <family val="2"/>
            <charset val="1"/>
          </rPr>
          <t xml:space="preserve">inférieur</t>
        </r>
        <r>
          <rPr>
            <sz val="8"/>
            <color rgb="FF000000"/>
            <rFont val="Tahoma"/>
            <family val="2"/>
            <charset val="1"/>
          </rPr>
          <t xml:space="preserve"> de l'encastrement des ailerons.
</t>
        </r>
        <r>
          <rPr>
            <i val="true"/>
            <sz val="8"/>
            <color rgb="FF000000"/>
            <rFont val="Tahoma"/>
            <family val="2"/>
            <charset val="1"/>
          </rPr>
          <t xml:space="preserve">Distance between the tip of the nose and the </t>
        </r>
        <r>
          <rPr>
            <b val="true"/>
            <i val="true"/>
            <sz val="8"/>
            <color rgb="FF000000"/>
            <rFont val="Tahoma"/>
            <family val="2"/>
            <charset val="1"/>
          </rPr>
          <t xml:space="preserve">lower</t>
        </r>
        <r>
          <rPr>
            <i val="true"/>
            <sz val="8"/>
            <color rgb="FF000000"/>
            <rFont val="Tahoma"/>
            <family val="2"/>
            <charset val="1"/>
          </rPr>
          <t xml:space="preserve"> point of fins attachment on the rocket.</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B10" authorId="0">
      <text>
        <r>
          <rPr>
            <sz val="10"/>
            <rFont val="Arial"/>
            <family val="2"/>
          </rPr>
          <t xml:space="preserve">Masse au décollage, à changer dans la feuille Stabilito,
ou à l'aide des boutons (revérifiez alors la stabilité).
</t>
        </r>
        <r>
          <rPr>
            <i val="true"/>
            <sz val="8"/>
            <color rgb="FF000000"/>
            <rFont val="Tahoma"/>
            <family val="2"/>
            <charset val="1"/>
          </rPr>
          <t xml:space="preserve">Lift-Off mass, to be changed in Stabilito sheet,
or with the buttons (then recheck stability).</t>
        </r>
      </text>
    </comment>
    <comment ref="B11" authorId="0">
      <text>
        <r>
          <rPr>
            <sz val="10"/>
            <rFont val="Arial"/>
            <family val="2"/>
          </rPr>
          <t xml:space="preserve">Le propulseur doit être sélectionné dans l'onglet Stabilito.
</t>
        </r>
        <r>
          <rPr>
            <i val="true"/>
            <sz val="8"/>
            <color rgb="FF000000"/>
            <rFont val="Tahoma"/>
            <family val="2"/>
            <charset val="1"/>
          </rPr>
          <t xml:space="preserve">Motor must be selected in Stabilito sheet.</t>
        </r>
      </text>
    </comment>
    <comment ref="B14" authorId="0">
      <text>
        <r>
          <rPr>
            <sz val="10"/>
            <rFont val="Arial"/>
            <family val="2"/>
          </rPr>
          <t xml:space="preserve">La Surface de Référence utilisée pour le calcul de la Traînée est la surface projetée dans l'axe de la fusée. Ce </t>
        </r>
        <r>
          <rPr>
            <b val="true"/>
            <sz val="8"/>
            <color rgb="FF000000"/>
            <rFont val="Tahoma"/>
            <family val="2"/>
            <charset val="1"/>
          </rPr>
          <t xml:space="preserve">Maître Couple</t>
        </r>
        <r>
          <rPr>
            <sz val="8"/>
            <color rgb="FF000000"/>
            <rFont val="Tahoma"/>
            <family val="2"/>
            <charset val="1"/>
          </rPr>
          <t xml:space="preserve"> inclut donc l'épaisseur des ailerons.
</t>
        </r>
        <r>
          <rPr>
            <i val="true"/>
            <sz val="8"/>
            <color rgb="FF000000"/>
            <rFont val="Tahoma"/>
            <family val="2"/>
            <charset val="1"/>
          </rPr>
          <t xml:space="preserve">Reference Surface used to compute the Drag. It includes Fin thickness.</t>
        </r>
      </text>
    </comment>
    <comment ref="B15" authorId="0">
      <text>
        <r>
          <rPr>
            <sz val="10"/>
            <rFont val="Arial"/>
            <family val="2"/>
          </rPr>
          <t xml:space="preserve">Coefficient de Traînée de la fusée. Par défaut, le </t>
        </r>
        <r>
          <rPr>
            <b val="true"/>
            <sz val="8"/>
            <color rgb="FF000000"/>
            <rFont val="Tahoma"/>
            <family val="2"/>
            <charset val="1"/>
          </rPr>
          <t xml:space="preserve">Cx</t>
        </r>
        <r>
          <rPr>
            <sz val="8"/>
            <color rgb="FF000000"/>
            <rFont val="Tahoma"/>
            <family val="2"/>
            <charset val="1"/>
          </rPr>
          <t xml:space="preserve"> vaut 0.6. On peut ajouter ou retrancher 0.2 en fonction des aspérités de la fusée, du profilage des ailerons…
</t>
        </r>
        <r>
          <rPr>
            <i val="true"/>
            <sz val="8"/>
            <color rgb="FF000000"/>
            <rFont val="Tahoma"/>
            <family val="2"/>
            <charset val="1"/>
          </rPr>
          <t xml:space="preserve">Rocket Drag Coefficient is generally between 0.4 and 0.8, with a default value of 0.6.</t>
        </r>
      </text>
    </comment>
    <comment ref="B18" authorId="0">
      <text>
        <r>
          <rPr>
            <sz val="10"/>
            <rFont val="Arial"/>
            <family val="2"/>
          </rPr>
          <t xml:space="preserve">Longueur de la rampe de lancement.
</t>
        </r>
        <r>
          <rPr>
            <i val="true"/>
            <sz val="8"/>
            <color rgb="FF000000"/>
            <rFont val="Tahoma"/>
            <family val="2"/>
            <charset val="1"/>
          </rPr>
          <t xml:space="preserve">                                          Length of the launch pad.
</t>
        </r>
        <r>
          <rPr>
            <sz val="8"/>
            <color rgb="FF000000"/>
            <rFont val="Tahoma"/>
            <family val="2"/>
            <charset val="1"/>
          </rPr>
          <t xml:space="preserve">Valeurs courantes :                  </t>
        </r>
        <r>
          <rPr>
            <i val="true"/>
            <sz val="8"/>
            <color rgb="FF000000"/>
            <rFont val="Tahoma"/>
            <family val="2"/>
            <charset val="1"/>
          </rPr>
          <t xml:space="preserve">Average values :
</t>
        </r>
        <r>
          <rPr>
            <sz val="8"/>
            <color rgb="FF000000"/>
            <rFont val="Tahoma"/>
            <family val="2"/>
            <charset val="1"/>
          </rPr>
          <t xml:space="preserve">MicroFusée                  : 1m  :    </t>
        </r>
        <r>
          <rPr>
            <i val="true"/>
            <sz val="8"/>
            <color rgb="FF000000"/>
            <rFont val="Tahoma"/>
            <family val="2"/>
            <charset val="1"/>
          </rPr>
          <t xml:space="preserve">Micro-rocket
</t>
        </r>
        <r>
          <rPr>
            <sz val="8"/>
            <color rgb="FF000000"/>
            <rFont val="Tahoma"/>
            <family val="2"/>
            <charset val="1"/>
          </rPr>
          <t xml:space="preserve">MiniFusée                    : 2m5:   </t>
        </r>
        <r>
          <rPr>
            <i val="true"/>
            <sz val="8"/>
            <color rgb="FF000000"/>
            <rFont val="Tahoma"/>
            <family val="2"/>
            <charset val="1"/>
          </rPr>
          <t xml:space="preserve"> Mini-rocket
Rocketry Challenge    </t>
        </r>
        <r>
          <rPr>
            <sz val="8"/>
            <color rgb="FF000000"/>
            <rFont val="Tahoma"/>
            <family val="2"/>
            <charset val="1"/>
          </rPr>
          <t xml:space="preserve">: 3m
Fusée Expérimentale  : 4m  :   </t>
        </r>
        <r>
          <rPr>
            <i val="true"/>
            <sz val="8"/>
            <color rgb="FF000000"/>
            <rFont val="Tahoma"/>
            <family val="2"/>
            <charset val="1"/>
          </rPr>
          <t xml:space="preserve">Experimental Rocket</t>
        </r>
      </text>
    </comment>
    <comment ref="B19" authorId="0">
      <text>
        <r>
          <rPr>
            <sz val="10"/>
            <rFont val="Arial"/>
            <family val="2"/>
          </rPr>
          <t xml:space="preserve">Elévation de la rampe, angle par rapport à l'horizontale, "site" de la rampe, par défaut cet angle est à 80°.
</t>
        </r>
        <r>
          <rPr>
            <i val="true"/>
            <sz val="8"/>
            <color rgb="FF000000"/>
            <rFont val="Tahoma"/>
            <family val="2"/>
            <charset val="1"/>
          </rPr>
          <t xml:space="preserve">Angle of the lauch pad versus horizontal.</t>
        </r>
      </text>
    </comment>
    <comment ref="B20" authorId="0">
      <text>
        <r>
          <rPr>
            <sz val="10"/>
            <rFont val="Arial"/>
            <family val="2"/>
          </rPr>
          <t xml:space="preserve">L'Altitude de la rampe est utilisée pour calculer la densité de l'air.
</t>
        </r>
        <r>
          <rPr>
            <i val="true"/>
            <sz val="8"/>
            <color rgb="FF000000"/>
            <rFont val="Tahoma"/>
            <family val="2"/>
            <charset val="1"/>
          </rPr>
          <t xml:space="preserve">Launch Pad Altitude is used to compute the air density.</t>
        </r>
      </text>
    </comment>
    <comment ref="B28" authorId="0">
      <text>
        <r>
          <rPr>
            <sz val="10"/>
            <rFont val="Arial"/>
            <family val="2"/>
          </rPr>
          <t xml:space="preserve">Le Coefficient de Traînée </t>
        </r>
        <r>
          <rPr>
            <b val="true"/>
            <sz val="8"/>
            <color rgb="FF000000"/>
            <rFont val="Tahoma"/>
            <family val="2"/>
            <charset val="1"/>
          </rPr>
          <t xml:space="preserve">Cx</t>
        </r>
        <r>
          <rPr>
            <sz val="8"/>
            <color rgb="FF000000"/>
            <rFont val="Tahoma"/>
            <family val="2"/>
            <charset val="1"/>
          </rPr>
          <t xml:space="preserve"> (ou Cd) d'un parachute est généralement compris entre 0.7 et 1.4 (1 par défaut).
</t>
        </r>
        <r>
          <rPr>
            <i val="true"/>
            <sz val="8"/>
            <color rgb="FF000000"/>
            <rFont val="Tahoma"/>
            <family val="2"/>
            <charset val="1"/>
          </rPr>
          <t xml:space="preserve">Parachute Drag Coefficient </t>
        </r>
        <r>
          <rPr>
            <b val="true"/>
            <i val="true"/>
            <sz val="8"/>
            <color rgb="FF000000"/>
            <rFont val="Tahoma"/>
            <family val="2"/>
            <charset val="1"/>
          </rPr>
          <t xml:space="preserve">Cx</t>
        </r>
        <r>
          <rPr>
            <i val="true"/>
            <sz val="8"/>
            <color rgb="FF000000"/>
            <rFont val="Tahoma"/>
            <family val="2"/>
            <charset val="1"/>
          </rPr>
          <t xml:space="preserve"> (or Cd) should be between 0.7 and 1.4, with a default value of 1.</t>
        </r>
      </text>
    </comment>
    <comment ref="B30" authorId="0">
      <text>
        <r>
          <rPr>
            <sz val="10"/>
            <rFont val="Arial"/>
            <family val="2"/>
          </rPr>
          <t xml:space="preserve">La Vitesse de descente sous parachute doit être comprise entre 5 &amp; 15m/s.
</t>
        </r>
        <r>
          <rPr>
            <i val="true"/>
            <sz val="8"/>
            <color rgb="FF000000"/>
            <rFont val="Tahoma"/>
            <family val="2"/>
            <charset val="1"/>
          </rPr>
          <t xml:space="preserve">Fall Velocity with parachute must be between 5 &amp; 15 m/s.</t>
        </r>
      </text>
    </comment>
    <comment ref="B33" authorId="0">
      <text>
        <r>
          <rPr>
            <sz val="10"/>
            <rFont val="Arial"/>
            <family val="2"/>
          </rPr>
          <t xml:space="preserve">Déviation due au vent lors de la descente sous parachute.
</t>
        </r>
        <r>
          <rPr>
            <i val="true"/>
            <sz val="8"/>
            <color rgb="FF000000"/>
            <rFont val="Tahoma"/>
            <family val="2"/>
            <charset val="1"/>
          </rPr>
          <t xml:space="preserve">Deviation due to wind during the fall over parachute.</t>
        </r>
      </text>
    </comment>
    <comment ref="C24" authorId="0">
      <text>
        <r>
          <rPr>
            <sz val="10"/>
            <rFont val="Arial"/>
            <family val="2"/>
          </rPr>
          <t xml:space="preserve">Masse de la fusée (sans satellite) sous parachute.
</t>
        </r>
        <r>
          <rPr>
            <i val="true"/>
            <sz val="8"/>
            <color rgb="FF000000"/>
            <rFont val="Tahoma"/>
            <family val="2"/>
            <charset val="1"/>
          </rPr>
          <t xml:space="preserve">Mass of the rocket (w/o sat) when it fall with a parachute.</t>
        </r>
      </text>
    </comment>
    <comment ref="D23" authorId="0">
      <text>
        <r>
          <rPr>
            <sz val="10"/>
            <rFont val="Arial"/>
            <family val="2"/>
          </rPr>
          <t xml:space="preserve">Objet largué</t>
        </r>
        <r>
          <rPr>
            <sz val="8"/>
            <color rgb="FF000000"/>
            <rFont val="Tahoma"/>
            <family val="2"/>
            <charset val="1"/>
          </rPr>
          <t xml:space="preserve"> (CanSat, quasi-satellite, partie contenant l'œuf...)
</t>
        </r>
        <r>
          <rPr>
            <i val="true"/>
            <sz val="8"/>
            <color rgb="FF000000"/>
            <rFont val="Tahoma"/>
            <family val="2"/>
            <charset val="1"/>
          </rPr>
          <t xml:space="preserve">Separated object (CanSat, quasi-satellite, payload/egg...)</t>
        </r>
      </text>
    </comment>
    <comment ref="F40" authorId="0">
      <text>
        <r>
          <rPr>
            <sz val="10"/>
            <rFont val="Arial"/>
            <family val="2"/>
          </rPr>
          <t xml:space="preserve">Les Conditions Initiales permettent de simuler le 2e boost des fusée bi-étage ou des fusées larguant une masse (CanSat, bi-inerte). Laisser à 0 dans les autres cas.
</t>
        </r>
        <r>
          <rPr>
            <i val="true"/>
            <sz val="8"/>
            <color rgb="FF000000"/>
            <rFont val="Tahoma"/>
            <family val="2"/>
            <charset val="1"/>
          </rPr>
          <t xml:space="preserve">Initial Conditions can be used to simulate the 2nd boost of 2-stages rockets, or rocket releasing mass (Quasi-Satellites). Set them to 0 otherwise.</t>
        </r>
      </text>
    </comment>
    <comment ref="I40" authorId="0">
      <text>
        <r>
          <rPr>
            <sz val="10"/>
            <rFont val="Arial"/>
            <family val="2"/>
          </rPr>
          <t xml:space="preserve">Altitude par rapport à la rampe, par rapport au sol.
</t>
        </r>
        <r>
          <rPr>
            <i val="true"/>
            <sz val="8"/>
            <color rgb="FF000000"/>
            <rFont val="Tahoma"/>
            <family val="2"/>
            <charset val="1"/>
          </rPr>
          <t xml:space="preserve">Altitude with respect to the earth surface.</t>
        </r>
      </text>
    </comment>
    <comment ref="K23" authorId="0">
      <text>
        <r>
          <rPr>
            <sz val="10"/>
            <rFont val="Arial"/>
            <family val="2"/>
          </rPr>
          <t xml:space="preserve">La Vitesse en Sortie de Rampe doit être supérieure à 18m/s (MiniFusée) ou 20m/s (Fusée Exp.).
Alléger la fusée ou choisir un propu plus puissant.
</t>
        </r>
        <r>
          <rPr>
            <i val="true"/>
            <sz val="8"/>
            <color rgb="FF000000"/>
            <rFont val="Tahoma"/>
            <family val="2"/>
            <charset val="1"/>
          </rPr>
          <t xml:space="preserve">Speed at Launch Pad Exit must by higher than 18m/s (mini-rocket) or 20m/s (experimental rocket).
Lighten the rocket or choose a bigger motor.</t>
        </r>
      </text>
    </comment>
    <comment ref="K40" authorId="0">
      <text>
        <r>
          <rPr>
            <sz val="10"/>
            <rFont val="Arial"/>
            <family val="2"/>
          </rPr>
          <t xml:space="preserve">La vitesse initiale doit être non-nulle dans le cas d'un 2e boost (allumage hors de la rampe, Portée et Altitude non-nulles).
</t>
        </r>
        <r>
          <rPr>
            <i val="true"/>
            <sz val="8"/>
            <color rgb="FF000000"/>
            <rFont val="Tahoma"/>
            <family val="2"/>
            <charset val="1"/>
          </rPr>
          <t xml:space="preserve">Initial Velocity must be non-zero in case of 2nd boost (ignition without launch pad, non-zero Range and Altitude).</t>
        </r>
      </text>
    </comment>
    <comment ref="M27" authorId="0">
      <text>
        <r>
          <rPr>
            <sz val="10"/>
            <rFont val="Arial"/>
            <family val="2"/>
          </rPr>
          <t xml:space="preserve">Efforts sur les fixations du parachute lors de sont ouverture.
</t>
        </r>
        <r>
          <rPr>
            <i val="true"/>
            <sz val="8"/>
            <color rgb="FF000000"/>
            <rFont val="Tahoma"/>
            <family val="2"/>
            <charset val="1"/>
          </rPr>
          <t xml:space="preserve">Stress on the parachute's bindings when it opened.</t>
        </r>
      </text>
    </comment>
    <comment ref="M28" authorId="0">
      <text>
        <r>
          <rPr>
            <sz val="10"/>
            <rFont val="Arial"/>
            <family val="2"/>
          </rPr>
          <t xml:space="preserve">Energie libérée lors de l'impact balistique.
</t>
        </r>
        <r>
          <rPr>
            <b val="true"/>
            <sz val="8"/>
            <color rgb="FF000000"/>
            <rFont val="Tahoma"/>
            <family val="2"/>
            <charset val="1"/>
          </rPr>
          <t xml:space="preserve">
</t>
        </r>
        <r>
          <rPr>
            <i val="true"/>
            <sz val="8"/>
            <color rgb="FF000000"/>
            <rFont val="Tahoma"/>
            <family val="2"/>
            <charset val="1"/>
          </rPr>
          <t xml:space="preserve">Balistic impact energy</t>
        </r>
      </text>
    </comment>
  </commentList>
</comments>
</file>

<file path=xl/comments6.xml><?xml version="1.0" encoding="utf-8"?>
<comments xmlns="http://schemas.openxmlformats.org/spreadsheetml/2006/main" xmlns:xdr="http://schemas.openxmlformats.org/drawingml/2006/spreadsheetDrawing">
  <authors>
    <author>Unknown Author</author>
  </authors>
  <commentList>
    <comment ref="B10" authorId="0">
      <text>
        <r>
          <rPr>
            <sz val="10"/>
            <rFont val="Arial"/>
            <family val="2"/>
          </rPr>
          <t xml:space="preserve">Masse sans propu, à changer dans la feuille Stabilito,
ou à l'aide des boutons (revérifiez alors la stabilité).
</t>
        </r>
        <r>
          <rPr>
            <i val="true"/>
            <sz val="8"/>
            <color rgb="FF000000"/>
            <rFont val="Tahoma"/>
            <family val="2"/>
            <charset val="1"/>
          </rPr>
          <t xml:space="preserve">Rocket mass without motor, to be changed in Stabilito sheet,
or with the buttons (then recheck stability).</t>
        </r>
      </text>
    </comment>
    <comment ref="B11" authorId="0">
      <text>
        <r>
          <rPr>
            <sz val="10"/>
            <rFont val="Arial"/>
            <family val="2"/>
          </rPr>
          <t xml:space="preserve">Masse totale, à changer dans la feuille Stabilito,
ou à l'aide des boutons (revérifiez alors la stabilité).
Rocket total mass, to be changed in Stabilito sheet,
or with the buttons (then recheck stability).</t>
        </r>
      </text>
    </comment>
    <comment ref="B12" authorId="0">
      <text>
        <r>
          <rPr>
            <sz val="10"/>
            <rFont val="Arial"/>
            <family val="2"/>
          </rPr>
          <t xml:space="preserve">Le propulseur doit être sélectionné dans l'onglet Stabilito.
</t>
        </r>
        <r>
          <rPr>
            <i val="true"/>
            <sz val="8"/>
            <color rgb="FF000000"/>
            <rFont val="Tahoma"/>
            <family val="2"/>
            <charset val="1"/>
          </rPr>
          <t xml:space="preserve">Motor must be selected in Stabilito sheet.</t>
        </r>
      </text>
    </comment>
    <comment ref="B15" authorId="0">
      <text>
        <r>
          <rPr>
            <sz val="10"/>
            <rFont val="Arial"/>
            <family val="2"/>
          </rPr>
          <t xml:space="preserve">Diamètre de référence. D_réf = D_ogive ou le diamètre "principal".
</t>
        </r>
        <r>
          <rPr>
            <i val="true"/>
            <sz val="8"/>
            <color rgb="FF000000"/>
            <rFont val="Tahoma"/>
            <family val="2"/>
            <charset val="1"/>
          </rPr>
          <t xml:space="preserve">Reference Diameter. D_ref = D_ogive or the "main" diameter.</t>
        </r>
      </text>
    </comment>
    <comment ref="B16" authorId="0">
      <text>
        <r>
          <rPr>
            <sz val="10"/>
            <rFont val="Arial"/>
            <family val="2"/>
          </rPr>
          <t xml:space="preserve">Coefficient de Traînée de la fusée. Par défaut, le </t>
        </r>
        <r>
          <rPr>
            <b val="true"/>
            <sz val="8"/>
            <color rgb="FF000000"/>
            <rFont val="Tahoma"/>
            <family val="2"/>
            <charset val="1"/>
          </rPr>
          <t xml:space="preserve">Cx</t>
        </r>
        <r>
          <rPr>
            <sz val="8"/>
            <color rgb="FF000000"/>
            <rFont val="Tahoma"/>
            <family val="2"/>
            <charset val="1"/>
          </rPr>
          <t xml:space="preserve"> vaut 0.6. On peut ajouter ou retrancher 0.2 en fonction des aspérités de la fusée, du profilage des ailerons…
</t>
        </r>
        <r>
          <rPr>
            <i val="true"/>
            <sz val="8"/>
            <color rgb="FF000000"/>
            <rFont val="Tahoma"/>
            <family val="2"/>
            <charset val="1"/>
          </rPr>
          <t xml:space="preserve">Rocket Drag Coefficient is generally between 0.4 and 0.8, with a default value of 0.6.</t>
        </r>
      </text>
    </comment>
  </commentList>
</comments>
</file>

<file path=xl/comments7.xml><?xml version="1.0" encoding="utf-8"?>
<comments xmlns="http://schemas.openxmlformats.org/spreadsheetml/2006/main" xmlns:xdr="http://schemas.openxmlformats.org/drawingml/2006/spreadsheetDrawing">
  <authors>
    <author>Unknown Author</author>
  </authors>
  <commentList>
    <comment ref="E53" authorId="0">
      <text>
        <r>
          <rPr>
            <sz val="10"/>
            <rFont val="Arial"/>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val="true"/>
            <sz val="8"/>
            <color rgb="FF000000"/>
            <rFont val="Tahoma"/>
            <family val="2"/>
            <charset val="1"/>
          </rPr>
          <t xml:space="preserve">Air density (ρ) at P=1013,25hPa &amp; T=15°C.</t>
        </r>
      </text>
    </comment>
  </commentList>
</comments>
</file>

<file path=xl/sharedStrings.xml><?xml version="1.0" encoding="utf-8"?>
<sst xmlns="http://schemas.openxmlformats.org/spreadsheetml/2006/main" count="1716" uniqueCount="561">
  <si>
    <t xml:space="preserve">STABILITO</t>
  </si>
  <si>
    <t xml:space="preserve">Français</t>
  </si>
  <si>
    <t xml:space="preserve">Fusée mono-diamètre,</t>
  </si>
  <si>
    <t xml:space="preserve">Transition A</t>
  </si>
  <si>
    <t xml:space="preserve">Transition B</t>
  </si>
  <si>
    <t xml:space="preserve">EAGLE</t>
  </si>
  <si>
    <t xml:space="preserve">Club</t>
  </si>
  <si>
    <t xml:space="preserve">Dominus</t>
  </si>
  <si>
    <t xml:space="preserve">Type</t>
  </si>
  <si>
    <t xml:space="preserve">Fusée expérimentale.</t>
  </si>
  <si>
    <t xml:space="preserve">avec propu vide</t>
  </si>
  <si>
    <t xml:space="preserve">sans propu</t>
  </si>
  <si>
    <t xml:space="preserve">-</t>
  </si>
  <si>
    <t xml:space="preserve">Barasinga (Pro54-5G C)</t>
  </si>
  <si>
    <t xml:space="preserve">XCp</t>
  </si>
  <si>
    <t xml:space="preserve">Cnα</t>
  </si>
  <si>
    <t xml:space="preserve">Ogivale (pointue)</t>
  </si>
  <si>
    <t xml:space="preserve">M</t>
  </si>
  <si>
    <t xml:space="preserve">Mono-empennage</t>
  </si>
  <si>
    <t xml:space="preserve">Min</t>
  </si>
  <si>
    <t xml:space="preserve">Max</t>
  </si>
  <si>
    <t xml:space="preserve">Finesse</t>
  </si>
  <si>
    <t xml:space="preserve">MS /L</t>
  </si>
  <si>
    <t xml:space="preserve">Checksum :</t>
  </si>
  <si>
    <t xml:space="preserve">v3.4.2</t>
  </si>
  <si>
    <t xml:space="preserve">Trajecto</t>
  </si>
  <si>
    <t xml:space="preserve">English</t>
  </si>
  <si>
    <t xml:space="preserve">Rocketry Challenge</t>
  </si>
  <si>
    <t xml:space="preserve">,Minif Tests</t>
  </si>
  <si>
    <t xml:space="preserve">Bi-empennage</t>
  </si>
  <si>
    <t xml:space="preserve">X longi</t>
  </si>
  <si>
    <t xml:space="preserve">Y latéral</t>
  </si>
  <si>
    <t xml:space="preserve">- Y latéral</t>
  </si>
  <si>
    <t xml:space="preserve">Ogive</t>
  </si>
  <si>
    <t xml:space="preserve">chmt1 pt1</t>
  </si>
  <si>
    <t xml:space="preserve">chmt1 pt2</t>
  </si>
  <si>
    <t xml:space="preserve">chmt2 pt1</t>
  </si>
  <si>
    <t xml:space="preserve">chmt2 pt2</t>
  </si>
  <si>
    <t xml:space="preserve">culot</t>
  </si>
  <si>
    <t xml:space="preserve">aileron pt1</t>
  </si>
  <si>
    <t xml:space="preserve">aileron pt2</t>
  </si>
  <si>
    <t xml:space="preserve">aileron pt3</t>
  </si>
  <si>
    <t xml:space="preserve">aileron pt4</t>
  </si>
  <si>
    <t xml:space="preserve">env milieu</t>
  </si>
  <si>
    <t xml:space="preserve">env pt4</t>
  </si>
  <si>
    <t xml:space="preserve">empl milieu</t>
  </si>
  <si>
    <t xml:space="preserve">empl pt4</t>
  </si>
  <si>
    <t xml:space="preserve">flèche milieu</t>
  </si>
  <si>
    <t xml:space="preserve">flèche pt2</t>
  </si>
  <si>
    <t xml:space="preserve">saumon milieu</t>
  </si>
  <si>
    <t xml:space="preserve">saumon pt3</t>
  </si>
  <si>
    <t xml:space="preserve">Xcg plein</t>
  </si>
  <si>
    <t xml:space="preserve">Xcg vide</t>
  </si>
  <si>
    <t xml:space="preserve">Xcp</t>
  </si>
  <si>
    <t xml:space="preserve">Xcp0</t>
  </si>
  <si>
    <t xml:space="preserve">MS milieu</t>
  </si>
  <si>
    <t xml:space="preserve">MS Xcp</t>
  </si>
  <si>
    <t xml:space="preserve">canard pt1</t>
  </si>
  <si>
    <t xml:space="preserve">canard pt2</t>
  </si>
  <si>
    <t xml:space="preserve">canard pt3</t>
  </si>
  <si>
    <t xml:space="preserve">canard pt4</t>
  </si>
  <si>
    <t xml:space="preserve">masquage pt1</t>
  </si>
  <si>
    <t xml:space="preserve">masquage pt2</t>
  </si>
  <si>
    <t xml:space="preserve">masquage pt3</t>
  </si>
  <si>
    <t xml:space="preserve">masquage pt4</t>
  </si>
  <si>
    <t xml:space="preserve">cadre</t>
  </si>
  <si>
    <t xml:space="preserve">propu pt1</t>
  </si>
  <si>
    <t xml:space="preserve">propu pt2</t>
  </si>
  <si>
    <t xml:space="preserve">propu pt3</t>
  </si>
  <si>
    <t xml:space="preserve">propu pt4</t>
  </si>
  <si>
    <t xml:space="preserve">propu pt5</t>
  </si>
  <si>
    <t xml:space="preserve">conique</t>
  </si>
  <si>
    <t xml:space="preserve">ogive</t>
  </si>
  <si>
    <t xml:space="preserve">parabole</t>
  </si>
  <si>
    <t xml:space="preserve">Pointe</t>
  </si>
  <si>
    <t xml:space="preserve">MS (X)</t>
  </si>
  <si>
    <t xml:space="preserve">Cna (Y)</t>
  </si>
  <si>
    <t xml:space="preserve">Verification moteur</t>
  </si>
  <si>
    <t xml:space="preserve">H20</t>
  </si>
  <si>
    <t xml:space="preserve">Fusex</t>
  </si>
  <si>
    <t xml:space="preserve">micro</t>
  </si>
  <si>
    <t xml:space="preserve">minif N</t>
  </si>
  <si>
    <t xml:space="preserve">Minif RC</t>
  </si>
  <si>
    <t xml:space="preserve">Minif Test</t>
  </si>
  <si>
    <t xml:space="preserve">module 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</si>
  <si>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</si>
  <si>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</si>
  <si>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</si>
  <si>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</si>
  <si>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</si>
  <si>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</si>
  <si>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</si>
  <si>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</si>
  <si>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</si>
  <si>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</si>
  <si>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</si>
  <si>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</si>
  <si>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</si>
  <si>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</si>
  <si>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</si>
  <si>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</si>
  <si>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</si>
  <si>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</si>
  <si>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</si>
  <si>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</si>
  <si>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</si>
  <si>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</si>
  <si>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</si>
  <si>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</si>
  <si>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</si>
  <si>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</si>
  <si>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</si>
  <si>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</si>
  <si>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</si>
  <si>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</si>
  <si>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</si>
  <si>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//--------------------------------coiffe</t>
  </si>
  <si>
    <t xml:space="preserve">if (coiffe_type   == "conique"){</t>
  </si>
  <si>
    <t xml:space="preserve">	cylinder(coiffe_hauteur, 0, coiffe_diametre, false);</t>
  </si>
  <si>
    <t xml:space="preserve">//--------------------------------corps</t>
  </si>
  <si>
    <t xml:space="preserve">if (plusieur_diametres == false){</t>
  </si>
  <si>
    <t xml:space="preserve">	translate ([0, 0, coiffe_hauteur]) {</t>
  </si>
  <si>
    <t xml:space="preserve">		cylinder(longeur_total-coiffe_hauteur, coiffe_diametre, coiffe_diametre, false);</t>
  </si>
  <si>
    <t xml:space="preserve">} else {</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</si>
  <si>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</si>
  <si>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</si>
  <si>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</si>
  <si>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</si>
  <si>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</si>
  <si>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</si>
  <si>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</si>
  <si>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</si>
  <si>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</si>
  <si>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</si>
  <si>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</si>
  <si>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</si>
  <si>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</si>
  <si>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</si>
  <si>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</si>
  <si>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t>
  </si>
  <si>
    <t xml:space="preserve">//--------------------------------ailerons</t>
  </si>
  <si>
    <t xml:space="preserve">aileron(coiffe_diametre, aileron_m_emplature,</t>
  </si>
  <si>
    <t xml:space="preserve">	 aileron_n_saumon, </t>
  </si>
  <si>
    <t xml:space="preserve">	 aileron_p_fleche,</t>
  </si>
  <si>
    <t xml:space="preserve">	 aileron_e_envergure,</t>
  </si>
  <si>
    <t xml:space="preserve">	 aileron_epaisseur,</t>
  </si>
  <si>
    <t xml:space="preserve">	 aileron_nombre,</t>
  </si>
  <si>
    <t xml:space="preserve"> aileron_position_bas);</t>
  </si>
  <si>
    <t xml:space="preserve">if (bi_empennage == true){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</si>
  <si>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</si>
  <si>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</si>
  <si>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</si>
  <si>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</si>
  <si>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</si>
  <si>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aileron_sup_nombre,</t>
  </si>
  <si>
    <t xml:space="preserve">	 aileron_sup_position_bas,</t>
  </si>
  <si>
    <t xml:space="preserve">	 aileron_sup_masque);</t>
  </si>
  <si>
    <t xml:space="preserve">rocket();</t>
  </si>
  <si>
    <t xml:space="preserve">TRAJECTO</t>
  </si>
  <si>
    <t xml:space="preserve">Surface Réf.</t>
  </si>
  <si>
    <t xml:space="preserve">Cx</t>
  </si>
  <si>
    <t xml:space="preserve">Altitude</t>
  </si>
  <si>
    <t xml:space="preserve">Altitude z</t>
  </si>
  <si>
    <t xml:space="preserve">Accélération</t>
  </si>
  <si>
    <t xml:space="preserve">Efforts</t>
  </si>
  <si>
    <t xml:space="preserve">0 satellite</t>
  </si>
  <si>
    <t xml:space="preserve">N/A</t>
  </si>
  <si>
    <t xml:space="preserve">Culmination, Apogée</t>
  </si>
  <si>
    <t xml:space="preserve">Surface para</t>
  </si>
  <si>
    <t xml:space="preserve">Cx parachute</t>
  </si>
  <si>
    <t xml:space="preserve">~0 m</t>
  </si>
  <si>
    <t xml:space="preserve">Brun/Orange…</t>
  </si>
  <si>
    <t xml:space="preserve">Rouge…</t>
  </si>
  <si>
    <t xml:space="preserve">Jaune</t>
  </si>
  <si>
    <t xml:space="preserve">Angle</t>
  </si>
  <si>
    <t xml:space="preserve">s</t>
  </si>
  <si>
    <t xml:space="preserve">m</t>
  </si>
  <si>
    <t xml:space="preserve">m/s</t>
  </si>
  <si>
    <t xml:space="preserve">m/s²</t>
  </si>
  <si>
    <t xml:space="preserve">°</t>
  </si>
  <si>
    <t xml:space="preserve">~0</t>
  </si>
  <si>
    <t xml:space="preserve">Délais dépotage</t>
  </si>
  <si>
    <t xml:space="preserve">-9</t>
  </si>
  <si>
    <t xml:space="preserve">-7</t>
  </si>
  <si>
    <t xml:space="preserve">1 satellite</t>
  </si>
  <si>
    <t xml:space="preserve">-5</t>
  </si>
  <si>
    <t xml:space="preserve">-3</t>
  </si>
  <si>
    <t xml:space="preserve">-0</t>
  </si>
  <si>
    <t xml:space="preserve">T_para =</t>
  </si>
  <si>
    <t xml:space="preserve">xz max</t>
  </si>
  <si>
    <t xml:space="preserve">z para</t>
  </si>
  <si>
    <t xml:space="preserve">x para</t>
  </si>
  <si>
    <t xml:space="preserve">vertical</t>
  </si>
  <si>
    <t xml:space="preserve">t para</t>
  </si>
  <si>
    <t xml:space="preserve">horizontal</t>
  </si>
  <si>
    <t xml:space="preserve">flèches</t>
  </si>
  <si>
    <t xml:space="preserve">1s</t>
  </si>
  <si>
    <t xml:space="preserve">t/T</t>
  </si>
  <si>
    <t xml:space="preserve">z/Z</t>
  </si>
  <si>
    <t xml:space="preserve">z sat</t>
  </si>
  <si>
    <t xml:space="preserve">x sat</t>
  </si>
  <si>
    <t xml:space="preserve">t sat</t>
  </si>
  <si>
    <t xml:space="preserve">z</t>
  </si>
  <si>
    <t xml:space="preserve">x</t>
  </si>
  <si>
    <t xml:space="preserve">t</t>
  </si>
  <si>
    <t xml:space="preserve">x_triomphe</t>
  </si>
  <si>
    <t xml:space="preserve">Arc de triomphe</t>
  </si>
  <si>
    <t xml:space="preserve">z_triomphe</t>
  </si>
  <si>
    <t xml:space="preserve">x_Eiffel</t>
  </si>
  <si>
    <t xml:space="preserve">Tour Eiffel</t>
  </si>
  <si>
    <t xml:space="preserve">z_Eiffel</t>
  </si>
  <si>
    <t xml:space="preserve">Notes :</t>
  </si>
  <si>
    <t xml:space="preserve">Ligne</t>
  </si>
  <si>
    <t xml:space="preserve">I_total</t>
  </si>
  <si>
    <t xml:space="preserve">ISP</t>
  </si>
  <si>
    <t xml:space="preserve">MpropuPlein</t>
  </si>
  <si>
    <t xml:space="preserve">m_poudre</t>
  </si>
  <si>
    <t xml:space="preserve">MpropuVide</t>
  </si>
  <si>
    <t xml:space="preserve">XpropuPlein</t>
  </si>
  <si>
    <t xml:space="preserve">XpropuVide</t>
  </si>
  <si>
    <t xml:space="preserve">Longueur</t>
  </si>
  <si>
    <t xml:space="preserve">Diamètre</t>
  </si>
  <si>
    <t xml:space="preserve">Combustion</t>
  </si>
  <si>
    <t xml:space="preserve">Dépotage</t>
  </si>
  <si>
    <t xml:space="preserve">H2O</t>
  </si>
  <si>
    <t xml:space="preserve">H2O 1.5L 300g 6bar</t>
  </si>
  <si>
    <t xml:space="preserve">M_éjecté</t>
  </si>
  <si>
    <t xml:space="preserve">M_burnout</t>
  </si>
  <si>
    <t xml:space="preserve">Temps (en s)</t>
  </si>
  <si>
    <t xml:space="preserve">Poussée (en N)</t>
  </si>
  <si>
    <t xml:space="preserve">I_total_i (en N.s)</t>
  </si>
  <si>
    <t xml:space="preserve">H2O 1.5L 450g 6bar</t>
  </si>
  <si>
    <t xml:space="preserve">H2O 1.5L 600g 6bar</t>
  </si>
  <si>
    <t xml:space="preserve">H2O 1.5L 750g 6bar</t>
  </si>
  <si>
    <t xml:space="preserve">H2O 2.0L 400g 6bar</t>
  </si>
  <si>
    <t xml:space="preserve">H2O 2.0L 600g 6bar</t>
  </si>
  <si>
    <t xml:space="preserve">H2O 2.0L 800g 6bar</t>
  </si>
  <si>
    <t xml:space="preserve">H2O 2.0L 1000g 6bar</t>
  </si>
  <si>
    <t xml:space="preserve">µ-propu</t>
  </si>
  <si>
    <t xml:space="preserve">µ-propu A8-3</t>
  </si>
  <si>
    <t xml:space="preserve">Micro</t>
  </si>
  <si>
    <t xml:space="preserve">µ-propu B4-4</t>
  </si>
  <si>
    <t xml:space="preserve">µ-propu C6-3</t>
  </si>
  <si>
    <t xml:space="preserve">µ-propu C6-3 x2</t>
  </si>
  <si>
    <t xml:space="preserve">µ-propu C6-3 x3</t>
  </si>
  <si>
    <t xml:space="preserve">Klima D9-7</t>
  </si>
  <si>
    <t xml:space="preserve">MiniN</t>
  </si>
  <si>
    <t xml:space="preserve">Klima D9-7 x2</t>
  </si>
  <si>
    <t xml:space="preserve">Klima D9-7 x3</t>
  </si>
  <si>
    <t xml:space="preserve">MINIF PRO24-1G</t>
  </si>
  <si>
    <t xml:space="preserve">p24-1G 24E22</t>
  </si>
  <si>
    <t xml:space="preserve">MiniR</t>
  </si>
  <si>
    <t xml:space="preserve">p24-1G 25E75 (Rufina)</t>
  </si>
  <si>
    <t xml:space="preserve">MiniRN</t>
  </si>
  <si>
    <t xml:space="preserve">p24-1G 26E31</t>
  </si>
  <si>
    <t xml:space="preserve">MINIF PRO24-2G</t>
  </si>
  <si>
    <t xml:space="preserve">p24-2G 50E51</t>
  </si>
  <si>
    <t xml:space="preserve">Mini</t>
  </si>
  <si>
    <t xml:space="preserve">p24-1G 53E70</t>
  </si>
  <si>
    <t xml:space="preserve">MINIF PRO29-1G</t>
  </si>
  <si>
    <t xml:space="preserve">p29-1G 41F36</t>
  </si>
  <si>
    <t xml:space="preserve">p29-1G 51F36</t>
  </si>
  <si>
    <t xml:space="preserve">p29-1G 55F29</t>
  </si>
  <si>
    <t xml:space="preserve">p29-1G 56F31</t>
  </si>
  <si>
    <t xml:space="preserve">p29-1G 56F120</t>
  </si>
  <si>
    <t xml:space="preserve">p29-1G 57F59</t>
  </si>
  <si>
    <t xml:space="preserve">MINIF PRO24-3G</t>
  </si>
  <si>
    <t xml:space="preserve">p24-3G 60F50</t>
  </si>
  <si>
    <t xml:space="preserve">p24-3G 68F79</t>
  </si>
  <si>
    <t xml:space="preserve">p24-3G 68F240</t>
  </si>
  <si>
    <t xml:space="preserve">p24-3G 73F30</t>
  </si>
  <si>
    <t xml:space="preserve">p24-3G 74F85</t>
  </si>
  <si>
    <t xml:space="preserve">p24-3G 75F51</t>
  </si>
  <si>
    <t xml:space="preserve">MINIF PRO24-6G</t>
  </si>
  <si>
    <t xml:space="preserve">p24-6G 140G145 PK</t>
  </si>
  <si>
    <t xml:space="preserve"> 143G150 BS</t>
  </si>
  <si>
    <t xml:space="preserve">Pandora (Pro24-6G BS)</t>
  </si>
  <si>
    <t xml:space="preserve">p24-6G 142G117 WT</t>
  </si>
  <si>
    <t xml:space="preserve">p24-6G 139G107 DT</t>
  </si>
  <si>
    <t xml:space="preserve">MINIF PRO29-2G</t>
  </si>
  <si>
    <t xml:space="preserve">p29-2G 84G88</t>
  </si>
  <si>
    <t xml:space="preserve">p29-2G 93G80</t>
  </si>
  <si>
    <t xml:space="preserve">p29-2G 110G250</t>
  </si>
  <si>
    <t xml:space="preserve">p29-2G 116G126</t>
  </si>
  <si>
    <t xml:space="preserve">MINIF PRO29-3G</t>
  </si>
  <si>
    <t xml:space="preserve">p29-3G 125G131</t>
  </si>
  <si>
    <t xml:space="preserve">p29-3G 159G125</t>
  </si>
  <si>
    <t xml:space="preserve">MINIF PRO38-1G</t>
  </si>
  <si>
    <t xml:space="preserve">p38-1G 137G58</t>
  </si>
  <si>
    <t xml:space="preserve">p38-1G 128G185</t>
  </si>
  <si>
    <t xml:space="preserve">p38-1G 141G78</t>
  </si>
  <si>
    <t xml:space="preserve">Wapiti</t>
  </si>
  <si>
    <t xml:space="preserve">Cariacou</t>
  </si>
  <si>
    <t xml:space="preserve">FUSEX</t>
  </si>
  <si>
    <t xml:space="preserve">Isard</t>
  </si>
  <si>
    <t xml:space="preserve">Chamois</t>
  </si>
  <si>
    <t xml:space="preserve">Pro75-2G</t>
  </si>
  <si>
    <t xml:space="preserve">Orignal (Pro75-3G C)</t>
  </si>
  <si>
    <t xml:space="preserve">Pro98-2G WT</t>
  </si>
  <si>
    <t xml:space="preserve">Pro98-3G WT</t>
  </si>
  <si>
    <t xml:space="preserve">Blastocerus (Pro98-6GXL RL)</t>
  </si>
  <si>
    <t xml:space="preserve">Aucun (2e ét. inerte)</t>
  </si>
  <si>
    <t xml:space="preserve">Minif</t>
  </si>
  <si>
    <t xml:space="preserve">Dynamique de la fusée (repère sol)</t>
  </si>
  <si>
    <t xml:space="preserve">Forces</t>
  </si>
  <si>
    <t xml:space="preserve">Sous-échantillon 1Hz</t>
  </si>
  <si>
    <t xml:space="preserve">Accélération longitudinale</t>
  </si>
  <si>
    <t xml:space="preserve">pas</t>
  </si>
  <si>
    <t xml:space="preserve">acc_x</t>
  </si>
  <si>
    <t xml:space="preserve">acc_z</t>
  </si>
  <si>
    <t xml:space="preserve">acc_xz</t>
  </si>
  <si>
    <t xml:space="preserve">vit_x</t>
  </si>
  <si>
    <t xml:space="preserve">vit_z</t>
  </si>
  <si>
    <t xml:space="preserve">vit_xz</t>
  </si>
  <si>
    <t xml:space="preserve">pos_x</t>
  </si>
  <si>
    <t xml:space="preserve">pos_z</t>
  </si>
  <si>
    <t xml:space="preserve">pos_xz</t>
  </si>
  <si>
    <t xml:space="preserve">Beta</t>
  </si>
  <si>
    <t xml:space="preserve">BetaD</t>
  </si>
  <si>
    <t xml:space="preserve">i_P</t>
  </si>
  <si>
    <t xml:space="preserve">Poussée</t>
  </si>
  <si>
    <t xml:space="preserve">Débit</t>
  </si>
  <si>
    <t xml:space="preserve">Poids</t>
  </si>
  <si>
    <t xml:space="preserve">R_rampe</t>
  </si>
  <si>
    <t xml:space="preserve">Rho</t>
  </si>
  <si>
    <t xml:space="preserve">Trainée</t>
  </si>
  <si>
    <t xml:space="preserve">Événements</t>
  </si>
  <si>
    <t xml:space="preserve">Temps</t>
  </si>
  <si>
    <t xml:space="preserve">gravitationnelle</t>
  </si>
  <si>
    <t xml:space="preserve">non-gravit.</t>
  </si>
  <si>
    <t xml:space="preserve">rad</t>
  </si>
  <si>
    <t xml:space="preserve">N</t>
  </si>
  <si>
    <t xml:space="preserve">kg/s</t>
  </si>
  <si>
    <t xml:space="preserve">kg</t>
  </si>
  <si>
    <t xml:space="preserve">kg/m3</t>
  </si>
  <si>
    <t xml:space="preserve">Méthodes d'intégration explicites officielles</t>
  </si>
  <si>
    <t xml:space="preserve">Wikipedia</t>
  </si>
  <si>
    <t xml:space="preserve">Méthodes d'intégration maison</t>
  </si>
  <si>
    <t xml:space="preserve">Le Vol de la Fusée</t>
  </si>
  <si>
    <t xml:space="preserve">Explicit Euler (1st order, non-symplectic) [RK1]</t>
  </si>
  <si>
    <t xml:space="preserve">Spécificités de notre problème (2nd order mechanical ODE) :</t>
  </si>
  <si>
    <t xml:space="preserve">On peut anticiper la Poussée (force qui varie le +) et la masse.</t>
  </si>
  <si>
    <t xml:space="preserve">L'Acc dépend de la vitesse (et peu de la position).</t>
  </si>
  <si>
    <t xml:space="preserve">Les méthodes symplectic (conserve l'énergie) gardent-elles leur avantage quand la masse varie (ph propu) ?</t>
  </si>
  <si>
    <t xml:space="preserve">Semi-implicit Euler (1st order, symplectic) [§ "Euler modifié" dans Le Vol de La Fusée]</t>
  </si>
  <si>
    <t xml:space="preserve">Pour se limiter à 1000 lignes, pas variable (les transitions sont-elles rigoureuses ?).</t>
  </si>
  <si>
    <t xml:space="preserve">Sous Excel, on a les pas précédent (linear multistep possible), mais ordre élevé ou implicite sont à exclure.</t>
  </si>
  <si>
    <t xml:space="preserve">Midpoint, Modified Euler (2nd order, explicit) [§ "RK2" dans Le Vol de La Fusée]</t>
  </si>
  <si>
    <t xml:space="preserve">Trajec 2.x utililse un mélange douteux de différentes méthodes :</t>
  </si>
  <si>
    <t xml:space="preserve">Heun, Improved Euler (2-stage 2nd-order, explicit, predictor-corrector) [Trapezoidal] [RK2]</t>
  </si>
  <si>
    <t xml:space="preserve">Trajecto/StabTraj corrige l'erreur de Trajec sur Xn+1 en utilisant la vitesse moyenne :</t>
  </si>
  <si>
    <t xml:space="preserve">Newmark-beta (with γ=1/2 &amp; β=1/4) (2nd order)</t>
  </si>
  <si>
    <t xml:space="preserve">Idéalement, il serait préférable de tout calculer à n+0.5 (m, V, β, ρ).</t>
  </si>
  <si>
    <t xml:space="preserve">Velocity Verlet, Leapfrog variant (2nd order, symplectic, explicit)</t>
  </si>
  <si>
    <t xml:space="preserve">Beeman (2nd order, explicit variant)</t>
  </si>
  <si>
    <t xml:space="preserve">Verlet (2-stage 2nd order, symplectic, explicit)</t>
  </si>
  <si>
    <t xml:space="preserve">Multi{sub}step (RK), linear multi{previous}step (ADAMS), predictor-corrector, implicit …</t>
  </si>
  <si>
    <t xml:space="preserve">ABACO</t>
  </si>
  <si>
    <t xml:space="preserve">1/2.ρ.S.Cx</t>
  </si>
  <si>
    <t xml:space="preserve">Masse totale</t>
  </si>
  <si>
    <t xml:space="preserve">M ph prop</t>
  </si>
  <si>
    <t xml:space="preserve">M ph bal</t>
  </si>
  <si>
    <t xml:space="preserve">Traînée prop</t>
  </si>
  <si>
    <t xml:space="preserve">Traînée bal</t>
  </si>
  <si>
    <t xml:space="preserve">Alt prop</t>
  </si>
  <si>
    <t xml:space="preserve">V max</t>
  </si>
  <si>
    <t xml:space="preserve">alt_culmi</t>
  </si>
  <si>
    <t xml:space="preserve">t_culmi</t>
  </si>
  <si>
    <t xml:space="preserve">D_var</t>
  </si>
  <si>
    <t xml:space="preserve">Q_var</t>
  </si>
  <si>
    <t xml:space="preserve">m_var</t>
  </si>
  <si>
    <t xml:space="preserve">m_prop</t>
  </si>
  <si>
    <t xml:space="preserve">m_bal</t>
  </si>
  <si>
    <t xml:space="preserve">a_prop</t>
  </si>
  <si>
    <t xml:space="preserve">b_prop</t>
  </si>
  <si>
    <t xml:space="preserve">b_bal</t>
  </si>
  <si>
    <t xml:space="preserve">alt_prop</t>
  </si>
  <si>
    <t xml:space="preserve">V_prop</t>
  </si>
  <si>
    <t xml:space="preserve">StabTraj</t>
  </si>
  <si>
    <t xml:space="preserve">http://www.planete-sciences.org/espace/basedoc/</t>
  </si>
  <si>
    <t xml:space="preserve">Pour prendre en compte plsu de moteurs, il faut changer les variables "menu_type" et "liste"propu" dans le gestionnaire de noms.</t>
  </si>
  <si>
    <t xml:space="preserve">espace@planete-sciences.org</t>
  </si>
  <si>
    <t xml:space="preserve">http://creativecommons.org/licenses/by-sa/3.0/</t>
  </si>
  <si>
    <t xml:space="preserve">Microsoft Excel 2003 ou +</t>
  </si>
  <si>
    <t xml:space="preserve">LibreOffice Calc 3.4 ou +</t>
  </si>
  <si>
    <t xml:space="preserve">OpenOffice Calc</t>
  </si>
  <si>
    <t xml:space="preserve">Stabilito V1.x</t>
  </si>
  <si>
    <t xml:space="preserve">Léo Côme</t>
  </si>
  <si>
    <t xml:space="preserve">2002-2007</t>
  </si>
  <si>
    <t xml:space="preserve">Stabilito V2.0</t>
  </si>
  <si>
    <t xml:space="preserve">Stabilito V2.1</t>
  </si>
  <si>
    <t xml:space="preserve">Stabilito V2.2</t>
  </si>
  <si>
    <t xml:space="preserve">Trajecto V1.x</t>
  </si>
  <si>
    <t xml:space="preserve">Trajecto V2.x</t>
  </si>
  <si>
    <t xml:space="preserve">Trajecto V2.4</t>
  </si>
  <si>
    <t xml:space="preserve">Trajecto V2.5</t>
  </si>
  <si>
    <t xml:space="preserve">Moteurs Rocketry-Challenge, bug Surface_parachute, Satellite, bug Ooo</t>
  </si>
  <si>
    <t xml:space="preserve">StabTraj V3.0</t>
  </si>
  <si>
    <t xml:space="preserve">StabTraj V3.1</t>
  </si>
  <si>
    <t xml:space="preserve">Propu : +RC &amp; +Tintin 2013 : 3 p24-1G, p24-3G 75F51 &amp; 60F50, Pro98-2G &amp; 3G WT</t>
  </si>
  <si>
    <t xml:space="preserve">StabTraj V3.2</t>
  </si>
  <si>
    <t xml:space="preserve">Propu : +multi-µ-fu, -Wapiti, warning Cariacou, "Rufina"</t>
  </si>
  <si>
    <t xml:space="preserve">StabTraj V3.3a</t>
  </si>
  <si>
    <t xml:space="preserve">Sylvain Besson</t>
  </si>
  <si>
    <t xml:space="preserve">Propu : +ProX, Stabilito : séparation minif/RC, Trajecto : dépotage +rampe RC 3m</t>
  </si>
  <si>
    <t xml:space="preserve">StabTraj V3.3e</t>
  </si>
  <si>
    <t xml:space="preserve">Modification des alertes, +Effort subit par les parachutes</t>
  </si>
  <si>
    <t xml:space="preserve">StabTraj V3.4.1</t>
  </si>
  <si>
    <t xml:space="preserve">Propu : +Klima D9</t>
  </si>
  <si>
    <t xml:space="preserve">StabTraj V3.4.2</t>
  </si>
  <si>
    <t xml:space="preserve">Ajout propu</t>
  </si>
  <si>
    <t xml:space="preserve">Données au format des fiches de contrôles minif :</t>
  </si>
  <si>
    <t xml:space="preserve">l = </t>
  </si>
  <si>
    <t xml:space="preserve">Propulseur</t>
  </si>
  <si>
    <t xml:space="preserve">Masse sans prop. (kg)</t>
  </si>
  <si>
    <t xml:space="preserve">Couleur de la fusée</t>
  </si>
  <si>
    <t xml:space="preserve">Diamètre max (mm)</t>
  </si>
  <si>
    <t xml:space="preserve">Couleur du ralentisseur</t>
  </si>
  <si>
    <t xml:space="preserve">Surface ralentisseur (m²)</t>
  </si>
  <si>
    <t xml:space="preserve">Longeur de la rampe (m)</t>
  </si>
  <si>
    <t xml:space="preserve">Type d'éjection du para.</t>
  </si>
  <si>
    <t xml:space="preserve">Type d'ogive</t>
  </si>
  <si>
    <t xml:space="preserve">Masse sans propu (kg)</t>
  </si>
  <si>
    <t xml:space="preserve">VL4</t>
  </si>
  <si>
    <t xml:space="preserve">10 &lt; finesse &lt; 20</t>
  </si>
  <si>
    <t xml:space="preserve">15 &lt; Cn &lt; 30</t>
  </si>
  <si>
    <t xml:space="preserve">D = </t>
  </si>
  <si>
    <t xml:space="preserve">1,5.D &lt; Ms &lt; 6.D</t>
  </si>
  <si>
    <t xml:space="preserve">Longueur rampe</t>
  </si>
  <si>
    <t xml:space="preserve">30 &lt; Ms x Cn &lt; 100</t>
  </si>
  <si>
    <t xml:space="preserve">Epaisseur ailerons</t>
  </si>
  <si>
    <t xml:space="preserve">Vsortie de rampe (&gt; 18 m/s)</t>
  </si>
  <si>
    <t xml:space="preserve">Nombre ailerons</t>
  </si>
  <si>
    <t xml:space="preserve">RC1</t>
  </si>
  <si>
    <t xml:space="preserve">5 &lt; Vc &lt; 15 m/s</t>
  </si>
  <si>
    <t xml:space="preserve">RC2</t>
  </si>
  <si>
    <t xml:space="preserve">Temps de retard ralentisseur</t>
  </si>
  <si>
    <t xml:space="preserve">Dj =</t>
  </si>
  <si>
    <t xml:space="preserve">Haut du propu "Prop"</t>
  </si>
  <si>
    <t xml:space="preserve">Indication dépotage lanceur</t>
  </si>
  <si>
    <t xml:space="preserve">RC5</t>
  </si>
  <si>
    <t xml:space="preserve">Portée balistique &lt; 200 m</t>
  </si>
  <si>
    <t xml:space="preserve">(mm)</t>
  </si>
  <si>
    <t xml:space="preserve">Fusée</t>
  </si>
  <si>
    <t xml:space="preserve">Ailerons</t>
  </si>
  <si>
    <t xml:space="preserve">Bi empennage</t>
  </si>
  <si>
    <t xml:space="preserve">X cg (sans)</t>
  </si>
  <si>
    <t xml:space="preserve">L</t>
  </si>
  <si>
    <t xml:space="preserve">L tot</t>
  </si>
  <si>
    <t xml:space="preserve">n</t>
  </si>
  <si>
    <t xml:space="preserve">D 1</t>
  </si>
  <si>
    <t xml:space="preserve">X prop</t>
  </si>
  <si>
    <t xml:space="preserve">p</t>
  </si>
  <si>
    <t xml:space="preserve">D 2</t>
  </si>
  <si>
    <t xml:space="preserve">D</t>
  </si>
  <si>
    <t xml:space="preserve">E</t>
  </si>
  <si>
    <t xml:space="preserve">X</t>
  </si>
  <si>
    <t xml:space="preserve">L ogive</t>
  </si>
  <si>
    <t xml:space="preserve">X ail</t>
  </si>
  <si>
    <t xml:space="preserve">Inclinaison</t>
  </si>
  <si>
    <t xml:space="preserve">Portée balistique (m)</t>
  </si>
  <si>
    <t xml:space="preserve">Temps de vol avec parachute (s)</t>
  </si>
  <si>
    <t xml:space="preserve">Culmination</t>
  </si>
  <si>
    <t xml:space="preserve">Accélération max (m/s²)</t>
  </si>
  <si>
    <t xml:space="preserve">Vmax (m/s)</t>
  </si>
  <si>
    <t xml:space="preserve">n = </t>
  </si>
  <si>
    <t xml:space="preserve">ailrons haut </t>
  </si>
  <si>
    <t xml:space="preserve">Altitude (m)</t>
  </si>
  <si>
    <t xml:space="preserve">Temps (s)</t>
  </si>
  <si>
    <t xml:space="preserve">Vitesse (m/s)</t>
  </si>
  <si>
    <t xml:space="preserve">p = </t>
  </si>
  <si>
    <t xml:space="preserve">ep = </t>
  </si>
  <si>
    <t xml:space="preserve">m = </t>
  </si>
  <si>
    <t xml:space="preserve">nombre</t>
  </si>
  <si>
    <t xml:space="preserve">E = </t>
  </si>
  <si>
    <t xml:space="preserve">Donneés au format des fiches de contrôles Fusex :</t>
  </si>
  <si>
    <t xml:space="preserve">Diamètre "D"</t>
  </si>
  <si>
    <t xml:space="preserve">sans</t>
  </si>
  <si>
    <t xml:space="preserve">vide</t>
  </si>
  <si>
    <t xml:space="preserve">plein</t>
  </si>
  <si>
    <t xml:space="preserve">Longueur ogive "l"</t>
  </si>
  <si>
    <t xml:space="preserve">Masse</t>
  </si>
  <si>
    <t xml:space="preserve">Position ailerons "L"</t>
  </si>
  <si>
    <t xml:space="preserve">CdG</t>
  </si>
  <si>
    <t xml:space="preserve">STAB 1</t>
  </si>
  <si>
    <t xml:space="preserve">Vsortie de rampe (&gt; 20 m/s)</t>
  </si>
  <si>
    <t xml:space="preserve">STAB 2</t>
  </si>
  <si>
    <t xml:space="preserve">10 &lt; finesse &lt; 35</t>
  </si>
  <si>
    <t xml:space="preserve">STAB 3</t>
  </si>
  <si>
    <t xml:space="preserve">15 &lt; Portance &lt; 40</t>
  </si>
  <si>
    <t xml:space="preserve">STAB 4</t>
  </si>
  <si>
    <t xml:space="preserve">2*D &lt; Ms &lt; 6*D</t>
  </si>
  <si>
    <t xml:space="preserve">STAB 5</t>
  </si>
  <si>
    <t xml:space="preserve">40 &lt; Ms x Cn &lt; 100</t>
  </si>
  <si>
    <t xml:space="preserve">Longueur totale</t>
  </si>
  <si>
    <t xml:space="preserve">Maître couple (m²)</t>
  </si>
  <si>
    <t xml:space="preserve">Diamètre max</t>
  </si>
  <si>
    <t xml:space="preserve">Site</t>
  </si>
  <si>
    <t xml:space="preserve">Envergure totale</t>
  </si>
  <si>
    <t xml:space="preserve">Temps culmi (s)</t>
  </si>
  <si>
    <t xml:space="preserve">Altitude culmi (m)</t>
  </si>
  <si>
    <t xml:space="preserve">CR 1</t>
  </si>
  <si>
    <t xml:space="preserve">Vitesse culmi (m/s)</t>
  </si>
  <si>
    <t xml:space="preserve">Diamètre max (40à200)</t>
  </si>
  <si>
    <t xml:space="preserve">Envergure totale &lt;720</t>
  </si>
  <si>
    <t xml:space="preserve">Temps balistique (s)</t>
  </si>
  <si>
    <t xml:space="preserve">Masse &lt;15</t>
  </si>
  <si>
    <t xml:space="preserve">CR 2</t>
  </si>
  <si>
    <t xml:space="preserve">Pensez à modifier l'inclinaison pour avoir les 2 valeurs.</t>
  </si>
  <si>
    <t xml:space="preserve">MEC 3</t>
  </si>
  <si>
    <t xml:space="preserve">Compression 2.Acc.M</t>
  </si>
  <si>
    <t xml:space="preserve">Resist long aileron</t>
  </si>
  <si>
    <t xml:space="preserve">Masse aileron (kg)</t>
  </si>
  <si>
    <t xml:space="preserve">Resist transv aileron</t>
  </si>
  <si>
    <t xml:space="preserve">Surface aileron (m²)</t>
  </si>
  <si>
    <t xml:space="preserve">REC 8</t>
  </si>
  <si>
    <t xml:space="preserve">Compression porte</t>
  </si>
  <si>
    <t xml:space="preserve">Masse au-dessus porte</t>
  </si>
  <si>
    <t xml:space="preserve">SEQ 5</t>
  </si>
  <si>
    <t xml:space="preserve">T dépotage +/-2s /appogée</t>
  </si>
  <si>
    <t xml:space="preserve">REC 2</t>
  </si>
  <si>
    <t xml:space="preserve">Surface parachute m²</t>
  </si>
  <si>
    <t xml:space="preserve">Vitesse à l'ouverture m/s</t>
  </si>
  <si>
    <t xml:space="preserve">Choc à l'ouverture   N </t>
  </si>
  <si>
    <t xml:space="preserve">Choc à l'ouverture   kg</t>
  </si>
  <si>
    <t xml:space="preserve">Donneés au format des fiches de lancement Fusex :</t>
  </si>
  <si>
    <t xml:space="preserve">MECANIQUE</t>
  </si>
  <si>
    <t xml:space="preserve">Projet</t>
  </si>
  <si>
    <t xml:space="preserve">Chef de projet</t>
  </si>
  <si>
    <t xml:space="preserve">Date</t>
  </si>
  <si>
    <t xml:space="preserve">Moteur</t>
  </si>
  <si>
    <t xml:space="preserve">Virole</t>
  </si>
  <si>
    <t xml:space="preserve">Dr = </t>
  </si>
  <si>
    <t xml:space="preserve">Nb Aileron</t>
  </si>
  <si>
    <t xml:space="preserve">X_plaque de poussée</t>
  </si>
  <si>
    <t xml:space="preserve">Type ogive</t>
  </si>
  <si>
    <t xml:space="preserve">ogivale</t>
  </si>
  <si>
    <t xml:space="preserve">parabolique</t>
  </si>
  <si>
    <t xml:space="preserve">Epaisseur :</t>
  </si>
  <si>
    <t xml:space="preserve">Sans propu</t>
  </si>
  <si>
    <t xml:space="preserve">Propu plein</t>
  </si>
  <si>
    <t xml:space="preserve">Masse fusée</t>
  </si>
  <si>
    <t xml:space="preserve">X_CdG</t>
  </si>
  <si>
    <t xml:space="preserve">Masse avec propu vide</t>
  </si>
  <si>
    <t xml:space="preserve">Simulation de vol</t>
  </si>
  <si>
    <t xml:space="preserve">Tenue mécanique</t>
  </si>
  <si>
    <t xml:space="preserve">masse d'un aileron</t>
  </si>
  <si>
    <t xml:space="preserve">superficie d'un aileron</t>
  </si>
  <si>
    <t xml:space="preserve">fleche acceptable(mm)</t>
  </si>
  <si>
    <t xml:space="preserve">compression</t>
  </si>
  <si>
    <t xml:space="preserve">Resistance longitudinale d'un aileron</t>
  </si>
  <si>
    <t xml:space="preserve">Resistance transversale d'un aileron</t>
  </si>
  <si>
    <t xml:space="preserve">Récupération</t>
  </si>
  <si>
    <t xml:space="preserve">Ralentisseur</t>
  </si>
  <si>
    <t xml:space="preserve">nombre de suspentes</t>
  </si>
  <si>
    <t xml:space="preserve">surface parachute</t>
  </si>
  <si>
    <t xml:space="preserve">force à tester totale</t>
  </si>
  <si>
    <t xml:space="preserve">force sur suspente</t>
  </si>
  <si>
    <t xml:space="preserve">Séparation latérale</t>
  </si>
  <si>
    <t xml:space="preserve">masse au dessus case para</t>
  </si>
  <si>
    <t xml:space="preserve">Force de compression</t>
  </si>
</sst>
</file>

<file path=xl/styles.xml><?xml version="1.0" encoding="utf-8"?>
<styleSheet xmlns="http://schemas.openxmlformats.org/spreadsheetml/2006/main">
  <numFmts count="49">
    <numFmt numFmtId="164" formatCode="General"/>
    <numFmt numFmtId="165" formatCode="General"/>
    <numFmt numFmtId="166" formatCode="General&quot; mm&quot;"/>
    <numFmt numFmtId="167" formatCode="General&quot; g&quot;"/>
    <numFmt numFmtId="168" formatCode="General&quot; kg&quot;"/>
    <numFmt numFmtId="169" formatCode="0&quot; mm&quot;"/>
    <numFmt numFmtId="170" formatCode="0.0"/>
    <numFmt numFmtId="171" formatCode="hh:mm"/>
    <numFmt numFmtId="172" formatCode="dd/mm/yyyy"/>
    <numFmt numFmtId="173" formatCode="0"/>
    <numFmt numFmtId="174" formatCode="General&quot; D&quot;"/>
    <numFmt numFmtId="175" formatCode="0.00&quot; D&quot;"/>
    <numFmt numFmtId="176" formatCode="0&quot;% L&quot;"/>
    <numFmt numFmtId="177" formatCode="0&quot; G&quot;"/>
    <numFmt numFmtId="178" formatCode="0&quot; m&quot;"/>
    <numFmt numFmtId="179" formatCode="0.00"/>
    <numFmt numFmtId="180" formatCode="0.000000&quot; m²&quot;"/>
    <numFmt numFmtId="181" formatCode="General&quot; m&quot;"/>
    <numFmt numFmtId="182" formatCode="General&quot; °&quot;"/>
    <numFmt numFmtId="183" formatCode="0.0&quot; m/s&quot;"/>
    <numFmt numFmtId="184" formatCode="0&quot; m/s&quot;"/>
    <numFmt numFmtId="185" formatCode="0&quot; m/s²&quot;"/>
    <numFmt numFmtId="186" formatCode="0.0&quot; s&quot;"/>
    <numFmt numFmtId="187" formatCode="0.0&quot; N&quot;"/>
    <numFmt numFmtId="188" formatCode="General&quot; s&quot;"/>
    <numFmt numFmtId="189" formatCode="0.00&quot; m²&quot;"/>
    <numFmt numFmtId="190" formatCode="General&quot; m²&quot;"/>
    <numFmt numFmtId="191" formatCode="0&quot; J&quot;"/>
    <numFmt numFmtId="192" formatCode="General&quot; m/s&quot;"/>
    <numFmt numFmtId="193" formatCode="0&quot; s&quot;"/>
    <numFmt numFmtId="194" formatCode="&quot;± &quot;0&quot; m&quot;"/>
    <numFmt numFmtId="195" formatCode="0.0&quot; N.s&quot;"/>
    <numFmt numFmtId="196" formatCode="0.#"/>
    <numFmt numFmtId="197" formatCode="0.00&quot; s&quot;"/>
    <numFmt numFmtId="198" formatCode="0.0&quot; mm&quot;"/>
    <numFmt numFmtId="199" formatCode="0.000"/>
    <numFmt numFmtId="200" formatCode="General&quot; kg ±100%&quot;"/>
    <numFmt numFmtId="201" formatCode="0&quot; mm ±50%&quot;"/>
    <numFmt numFmtId="202" formatCode="&quot;Ø = &quot;0&quot; mm&quot;"/>
    <numFmt numFmtId="203" formatCode="General&quot; m/s²&quot;"/>
    <numFmt numFmtId="204" formatCode="General\°"/>
    <numFmt numFmtId="205" formatCode="#,##0.000\ [$KG]"/>
    <numFmt numFmtId="206" formatCode="#,##0\ [$ mm²]"/>
    <numFmt numFmtId="207" formatCode="#,#00\ [$ mm]"/>
    <numFmt numFmtId="208" formatCode="#,##0\ [$mm]"/>
    <numFmt numFmtId="209" formatCode="#,##0.0\ [$ N]"/>
    <numFmt numFmtId="210" formatCode="#,##0"/>
    <numFmt numFmtId="211" formatCode="#,##0.00000\ [$ m²]"/>
    <numFmt numFmtId="212" formatCode="#,##0.0\ [$ kg]"/>
  </numFmts>
  <fonts count="57">
    <font>
      <sz val="10"/>
      <name val="Arial"/>
      <family val="2"/>
      <charset val="1"/>
    </font>
    <font>
      <sz val="10"/>
      <name val="Arial"/>
      <family val="0"/>
    </font>
    <font>
      <sz val="10"/>
      <name val="Arial"/>
      <family val="0"/>
    </font>
    <font>
      <sz val="10"/>
      <name val="Arial"/>
      <family val="0"/>
    </font>
    <font>
      <b val="true"/>
      <sz val="10"/>
      <name val="Arial"/>
      <family val="2"/>
      <charset val="1"/>
    </font>
    <font>
      <sz val="8"/>
      <name val="Arial"/>
      <family val="2"/>
      <charset val="1"/>
    </font>
    <font>
      <b val="true"/>
      <sz val="20"/>
      <color rgb="FFFFFFFF"/>
      <name val="Arial"/>
      <family val="2"/>
      <charset val="1"/>
    </font>
    <font>
      <b val="true"/>
      <sz val="12"/>
      <name val="Times New Roman"/>
      <family val="1"/>
      <charset val="1"/>
    </font>
    <font>
      <b val="true"/>
      <sz val="10"/>
      <color rgb="FFFF0000"/>
      <name val="Arial"/>
      <family val="2"/>
      <charset val="1"/>
    </font>
    <font>
      <b val="true"/>
      <sz val="12"/>
      <name val="Arial"/>
      <family val="2"/>
      <charset val="1"/>
    </font>
    <font>
      <sz val="10"/>
      <color rgb="FF808080"/>
      <name val="Arial"/>
      <family val="2"/>
      <charset val="1"/>
    </font>
    <font>
      <sz val="8"/>
      <color rgb="FF808080"/>
      <name val="Arial"/>
      <family val="2"/>
      <charset val="1"/>
    </font>
    <font>
      <b val="true"/>
      <sz val="10"/>
      <color rgb="FF808080"/>
      <name val="Arial"/>
      <family val="2"/>
      <charset val="1"/>
    </font>
    <font>
      <sz val="10"/>
      <color rgb="FF0000FF"/>
      <name val="Arial"/>
      <family val="2"/>
      <charset val="1"/>
    </font>
    <font>
      <b val="true"/>
      <sz val="8"/>
      <name val="Arial"/>
      <family val="2"/>
      <charset val="1"/>
    </font>
    <font>
      <b val="true"/>
      <sz val="14"/>
      <color rgb="FFFF0000"/>
      <name val="Arial"/>
      <family val="2"/>
      <charset val="1"/>
    </font>
    <font>
      <sz val="8"/>
      <color theme="0"/>
      <name val="Arial"/>
      <family val="2"/>
      <charset val="1"/>
    </font>
    <font>
      <u val="single"/>
      <sz val="10"/>
      <color rgb="FF0000FF"/>
      <name val="Arial"/>
      <family val="2"/>
      <charset val="1"/>
    </font>
    <font>
      <sz val="10"/>
      <name val="Arial"/>
      <family val="2"/>
    </font>
    <font>
      <b val="true"/>
      <sz val="8"/>
      <color rgb="FF000000"/>
      <name val="Tahoma"/>
      <family val="2"/>
      <charset val="1"/>
    </font>
    <font>
      <sz val="8"/>
      <color rgb="FF000000"/>
      <name val="Tahoma"/>
      <family val="2"/>
      <charset val="1"/>
    </font>
    <font>
      <i val="true"/>
      <sz val="8"/>
      <color rgb="FF000000"/>
      <name val="Tahoma"/>
      <family val="2"/>
      <charset val="1"/>
    </font>
    <font>
      <b val="true"/>
      <i val="true"/>
      <sz val="8"/>
      <color rgb="FF000000"/>
      <name val="Tahoma"/>
      <family val="2"/>
      <charset val="1"/>
    </font>
    <font>
      <b val="true"/>
      <u val="single"/>
      <sz val="8"/>
      <color rgb="FF000000"/>
      <name val="Tahoma"/>
      <family val="2"/>
      <charset val="1"/>
    </font>
    <font>
      <sz val="8"/>
      <color rgb="FFFF0000"/>
      <name val="Tahoma"/>
      <family val="2"/>
      <charset val="1"/>
    </font>
    <font>
      <i val="true"/>
      <sz val="8"/>
      <color rgb="FFFF0000"/>
      <name val="Tahoma"/>
      <family val="2"/>
      <charset val="1"/>
    </font>
    <font>
      <b val="true"/>
      <sz val="8"/>
      <color rgb="FF800000"/>
      <name val="Tahoma"/>
      <family val="2"/>
      <charset val="1"/>
    </font>
    <font>
      <i val="true"/>
      <sz val="8"/>
      <color rgb="FF800000"/>
      <name val="Tahoma"/>
      <family val="2"/>
      <charset val="1"/>
    </font>
    <font>
      <sz val="8"/>
      <color rgb="FF0000FF"/>
      <name val="Tahoma"/>
      <family val="2"/>
      <charset val="1"/>
    </font>
    <font>
      <i val="true"/>
      <sz val="8"/>
      <color rgb="FF0000FF"/>
      <name val="Tahoma"/>
      <family val="2"/>
      <charset val="1"/>
    </font>
    <font>
      <sz val="5"/>
      <color rgb="FF000000"/>
      <name val="Arial"/>
      <family val="2"/>
    </font>
    <font>
      <sz val="10"/>
      <color rgb="FF000000"/>
      <name val="Calibri"/>
      <family val="2"/>
    </font>
    <font>
      <sz val="6"/>
      <color rgb="FF000000"/>
      <name val="Arial"/>
      <family val="2"/>
    </font>
    <font>
      <b val="true"/>
      <sz val="9"/>
      <name val="Arial"/>
      <family val="2"/>
      <charset val="1"/>
    </font>
    <font>
      <b val="true"/>
      <sz val="10"/>
      <color rgb="FF008000"/>
      <name val="Arial"/>
      <family val="2"/>
      <charset val="1"/>
    </font>
    <font>
      <b val="true"/>
      <sz val="10"/>
      <color rgb="FF000080"/>
      <name val="Arial"/>
      <family val="2"/>
      <charset val="1"/>
    </font>
    <font>
      <b val="true"/>
      <sz val="10"/>
      <color rgb="FFFF6600"/>
      <name val="Arial"/>
      <family val="2"/>
      <charset val="1"/>
    </font>
    <font>
      <b val="true"/>
      <sz val="10"/>
      <color rgb="FF003300"/>
      <name val="Arial"/>
      <family val="2"/>
      <charset val="1"/>
    </font>
    <font>
      <sz val="10"/>
      <color rgb="FFFF0000"/>
      <name val="Arial"/>
      <family val="2"/>
      <charset val="1"/>
    </font>
    <font>
      <b val="true"/>
      <sz val="8"/>
      <color rgb="FF0000FF"/>
      <name val="Arial"/>
      <family val="2"/>
    </font>
    <font>
      <b val="true"/>
      <sz val="12"/>
      <color rgb="FF000000"/>
      <name val="Arial"/>
      <family val="2"/>
    </font>
    <font>
      <sz val="12"/>
      <color rgb="FF000000"/>
      <name val="Arial"/>
      <family val="2"/>
    </font>
    <font>
      <b val="true"/>
      <sz val="10"/>
      <color rgb="FF000000"/>
      <name val="Arial"/>
      <family val="2"/>
    </font>
    <font>
      <sz val="9.7"/>
      <color rgb="FF000000"/>
      <name val="Arial"/>
      <family val="2"/>
    </font>
    <font>
      <sz val="11.75"/>
      <color rgb="FF000000"/>
      <name val="Arial"/>
      <family val="2"/>
    </font>
    <font>
      <sz val="10"/>
      <color rgb="FF000000"/>
      <name val="Arial"/>
      <family val="2"/>
    </font>
    <font>
      <b val="true"/>
      <sz val="11.75"/>
      <color rgb="FF000000"/>
      <name val="Arial"/>
      <family val="2"/>
    </font>
    <font>
      <sz val="10"/>
      <color rgb="FFFFFFFF"/>
      <name val="Arial"/>
      <family val="2"/>
      <charset val="1"/>
    </font>
    <font>
      <u val="single"/>
      <sz val="10"/>
      <name val="Arial"/>
      <family val="2"/>
      <charset val="1"/>
    </font>
    <font>
      <b val="true"/>
      <sz val="18"/>
      <color rgb="FF000000"/>
      <name val="Calibri"/>
      <family val="2"/>
    </font>
    <font>
      <b val="true"/>
      <sz val="10"/>
      <color rgb="FF000000"/>
      <name val="Calibri"/>
      <family val="2"/>
    </font>
    <font>
      <sz val="9.2"/>
      <color rgb="FF000000"/>
      <name val="Calibri"/>
      <family val="2"/>
    </font>
    <font>
      <b val="true"/>
      <u val="single"/>
      <sz val="10"/>
      <name val="Arial"/>
      <family val="2"/>
      <charset val="1"/>
    </font>
    <font>
      <strike val="true"/>
      <sz val="10"/>
      <name val="Arial"/>
      <family val="2"/>
      <charset val="1"/>
    </font>
    <font>
      <b val="true"/>
      <sz val="6"/>
      <name val="Arial"/>
      <family val="2"/>
      <charset val="1"/>
    </font>
    <font>
      <b val="true"/>
      <u val="single"/>
      <sz val="12"/>
      <name val="Arial"/>
      <family val="2"/>
      <charset val="1"/>
    </font>
    <font>
      <b val="true"/>
      <i val="true"/>
      <sz val="10"/>
      <name val="Arial"/>
      <family val="2"/>
      <charset val="1"/>
    </font>
  </fonts>
  <fills count="10">
    <fill>
      <patternFill patternType="none"/>
    </fill>
    <fill>
      <patternFill patternType="gray125"/>
    </fill>
    <fill>
      <patternFill patternType="solid">
        <fgColor rgb="FF000000"/>
        <bgColor rgb="FF003300"/>
      </patternFill>
    </fill>
    <fill>
      <patternFill patternType="solid">
        <fgColor rgb="FFFFCC99"/>
        <bgColor rgb="FFD9D9D9"/>
      </patternFill>
    </fill>
    <fill>
      <patternFill patternType="solid">
        <fgColor rgb="FFFFFF99"/>
        <bgColor rgb="FFFFFFCC"/>
      </patternFill>
    </fill>
    <fill>
      <patternFill patternType="solid">
        <fgColor rgb="FF99CCFF"/>
        <bgColor rgb="FFC0C0C0"/>
      </patternFill>
    </fill>
    <fill>
      <patternFill patternType="solid">
        <fgColor rgb="FFCCFFFF"/>
        <bgColor rgb="FFCCFFCC"/>
      </patternFill>
    </fill>
    <fill>
      <patternFill patternType="solid">
        <fgColor rgb="FFCCFFCC"/>
        <bgColor rgb="FFCCFFFF"/>
      </patternFill>
    </fill>
    <fill>
      <patternFill patternType="solid">
        <fgColor rgb="FFFFFFFF"/>
        <bgColor rgb="FFFFFFCC"/>
      </patternFill>
    </fill>
    <fill>
      <patternFill patternType="solid">
        <fgColor rgb="FFE6E6E6"/>
        <bgColor rgb="FFD9D9D9"/>
      </patternFill>
    </fill>
  </fills>
  <borders count="57">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style="thin"/>
      <right style="thin"/>
      <top style="thin"/>
      <bottom style="thin"/>
      <diagonal/>
    </border>
    <border diagonalUp="false" diagonalDown="false">
      <left style="thin"/>
      <right style="double"/>
      <top style="thin"/>
      <bottom style="thin"/>
      <diagonal/>
    </border>
    <border diagonalUp="false" diagonalDown="false">
      <left/>
      <right style="medium"/>
      <top/>
      <bottom/>
      <diagonal/>
    </border>
    <border diagonalUp="false" diagonalDown="false">
      <left style="thick">
        <color rgb="FF000080"/>
      </left>
      <right style="thick">
        <color rgb="FF000080"/>
      </right>
      <top style="thick">
        <color rgb="FF000080"/>
      </top>
      <bottom style="thick">
        <color rgb="FF000080"/>
      </bottom>
      <diagonal/>
    </border>
    <border diagonalUp="false" diagonalDown="false">
      <left style="thin"/>
      <right style="thin"/>
      <top/>
      <bottom style="thin"/>
      <diagonal/>
    </border>
    <border diagonalUp="false" diagonalDown="false">
      <left style="thick">
        <color rgb="FFFF00FF"/>
      </left>
      <right style="thick">
        <color rgb="FFFF00FF"/>
      </right>
      <top style="thick">
        <color rgb="FFFF00FF"/>
      </top>
      <bottom style="thick">
        <color rgb="FFFF00FF"/>
      </bottom>
      <diagonal/>
    </border>
    <border diagonalUp="false" diagonalDown="false">
      <left style="thin"/>
      <right style="double"/>
      <top/>
      <bottom style="thin"/>
      <diagonal/>
    </border>
    <border diagonalUp="false" diagonalDown="false">
      <left/>
      <right/>
      <top style="thin"/>
      <bottom style="thick">
        <color rgb="FF800080"/>
      </bottom>
      <diagonal/>
    </border>
    <border diagonalUp="false" diagonalDown="false">
      <left style="thick">
        <color rgb="FF800080"/>
      </left>
      <right style="thick">
        <color rgb="FF800080"/>
      </right>
      <top style="thick">
        <color rgb="FF800080"/>
      </top>
      <bottom style="thick">
        <color rgb="FF800080"/>
      </bottom>
      <diagonal/>
    </border>
    <border diagonalUp="false" diagonalDown="false">
      <left style="thick">
        <color rgb="FF00FF00"/>
      </left>
      <right style="thick">
        <color rgb="FF00FF00"/>
      </right>
      <top style="thick">
        <color rgb="FF00FF00"/>
      </top>
      <bottom style="thick">
        <color rgb="FF00FF00"/>
      </bottom>
      <diagonal/>
    </border>
    <border diagonalUp="false" diagonalDown="false">
      <left style="thick">
        <color rgb="FF00FF00"/>
      </left>
      <right style="thick">
        <color rgb="FF339966"/>
      </right>
      <top style="thick">
        <color rgb="FF339966"/>
      </top>
      <bottom style="thick">
        <color rgb="FF339966"/>
      </bottom>
      <diagonal/>
    </border>
    <border diagonalUp="false" diagonalDown="false">
      <left style="thick">
        <color rgb="FF339966"/>
      </left>
      <right style="mediumDashed">
        <color rgb="FFFF0000"/>
      </right>
      <top style="mediumDashed">
        <color rgb="FFFF0000"/>
      </top>
      <bottom style="mediumDashed">
        <color rgb="FFFF0000"/>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color rgb="FF808080"/>
      </bottom>
      <diagonal/>
    </border>
    <border diagonalUp="false" diagonalDown="false">
      <left style="thin"/>
      <right style="thin"/>
      <top style="thin">
        <color rgb="FF808080"/>
      </top>
      <bottom style="thin"/>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right/>
      <top style="medium"/>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style="medium"/>
      <bottom style="thin"/>
      <diagonal/>
    </border>
    <border diagonalUp="false" diagonalDown="false">
      <left style="medium"/>
      <right style="medium"/>
      <top/>
      <bottom style="thin"/>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medium"/>
      <top style="thin"/>
      <bottom/>
      <diagonal/>
    </border>
    <border diagonalUp="false" diagonalDown="false">
      <left style="medium"/>
      <right/>
      <top style="thin"/>
      <bottom/>
      <diagonal/>
    </border>
    <border diagonalUp="false" diagonalDown="false">
      <left/>
      <right style="medium"/>
      <top style="thin"/>
      <bottom/>
      <diagonal/>
    </border>
    <border diagonalUp="false" diagonalDown="false">
      <left style="hair"/>
      <right style="hair"/>
      <top style="hair"/>
      <bottom/>
      <diagonal/>
    </border>
    <border diagonalUp="false" diagonalDown="false">
      <left style="hair"/>
      <right style="hair"/>
      <top style="hair"/>
      <bottom style="hair"/>
      <diagonal/>
    </border>
    <border diagonalUp="false" diagonalDown="false">
      <left/>
      <right/>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60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true" applyProtection="true">
      <alignment horizontal="general" vertical="bottom" textRotation="0" wrapText="false" indent="0" shrinkToFit="false"/>
      <protection locked="true" hidden="false"/>
    </xf>
    <xf numFmtId="164" fontId="4" fillId="0" borderId="0" xfId="21" applyFont="true" applyBorder="false" applyAlignment="true" applyProtection="true">
      <alignment horizontal="center" vertical="bottom" textRotation="0" wrapText="false" indent="0" shrinkToFit="false"/>
      <protection locked="true" hidden="false"/>
    </xf>
    <xf numFmtId="164" fontId="5" fillId="0" borderId="0" xfId="21" applyFont="true" applyBorder="false" applyAlignment="true" applyProtection="true">
      <alignment horizontal="general" vertical="bottom" textRotation="0" wrapText="false" indent="0" shrinkToFit="false"/>
      <protection locked="true" hidden="false"/>
    </xf>
    <xf numFmtId="164" fontId="0" fillId="0" borderId="0" xfId="21" applyFont="true" applyBorder="false" applyAlignment="true" applyProtection="true">
      <alignment horizontal="general" vertical="bottom" textRotation="0" wrapText="false" indent="0" shrinkToFit="false"/>
      <protection locked="true" hidden="true"/>
    </xf>
    <xf numFmtId="164" fontId="4" fillId="0" borderId="1" xfId="21" applyFont="true" applyBorder="true" applyAlignment="true" applyProtection="true">
      <alignment horizontal="general" vertical="bottom" textRotation="0" wrapText="false" indent="0" shrinkToFit="false"/>
      <protection locked="true" hidden="false"/>
    </xf>
    <xf numFmtId="164" fontId="4" fillId="0" borderId="2" xfId="21" applyFont="true" applyBorder="true" applyAlignment="true" applyProtection="true">
      <alignment horizontal="general" vertical="bottom" textRotation="0" wrapText="false" indent="0" shrinkToFit="false"/>
      <protection locked="true" hidden="false"/>
    </xf>
    <xf numFmtId="164" fontId="4" fillId="0" borderId="2" xfId="21" applyFont="true" applyBorder="true" applyAlignment="true" applyProtection="true">
      <alignment horizontal="center" vertical="bottom" textRotation="0" wrapText="false" indent="0" shrinkToFit="false"/>
      <protection locked="true" hidden="false"/>
    </xf>
    <xf numFmtId="164" fontId="5" fillId="0" borderId="2" xfId="21" applyFont="true" applyBorder="true" applyAlignment="true" applyProtection="true">
      <alignment horizontal="general" vertical="bottom" textRotation="0" wrapText="false" indent="0" shrinkToFit="false"/>
      <protection locked="true" hidden="false"/>
    </xf>
    <xf numFmtId="164" fontId="0" fillId="0" borderId="2" xfId="21" applyFont="true" applyBorder="true" applyAlignment="true" applyProtection="true">
      <alignment horizontal="general" vertical="bottom" textRotation="0" wrapText="false" indent="0" shrinkToFit="false"/>
      <protection locked="true" hidden="true"/>
    </xf>
    <xf numFmtId="164" fontId="0" fillId="0" borderId="3" xfId="21" applyFont="true" applyBorder="true" applyAlignment="true" applyProtection="true">
      <alignment horizontal="general" vertical="bottom" textRotation="0" wrapText="false" indent="0" shrinkToFit="false"/>
      <protection locked="true" hidden="false"/>
    </xf>
    <xf numFmtId="164" fontId="4" fillId="0" borderId="0" xfId="21" applyFont="true" applyBorder="true" applyAlignment="true" applyProtection="true">
      <alignment horizontal="general" vertical="bottom" textRotation="0" wrapText="false" indent="0" shrinkToFit="false"/>
      <protection locked="true" hidden="false"/>
    </xf>
    <xf numFmtId="164" fontId="4" fillId="0" borderId="4" xfId="21" applyFont="true" applyBorder="true" applyAlignment="true" applyProtection="true">
      <alignment horizontal="general" vertical="bottom" textRotation="0" wrapText="false" indent="0" shrinkToFit="false"/>
      <protection locked="true" hidden="false"/>
    </xf>
    <xf numFmtId="164" fontId="6" fillId="2" borderId="0" xfId="21" applyFont="true" applyBorder="true" applyAlignment="true" applyProtection="true">
      <alignment horizontal="center" vertical="bottom" textRotation="0" wrapText="false" indent="0" shrinkToFit="false"/>
      <protection locked="true" hidden="false"/>
    </xf>
    <xf numFmtId="164" fontId="5" fillId="0" borderId="0" xfId="21" applyFont="true" applyBorder="true" applyAlignment="true" applyProtection="true">
      <alignment horizontal="general" vertical="bottom" textRotation="0" wrapText="false" indent="0" shrinkToFit="false"/>
      <protection locked="true" hidden="false"/>
    </xf>
    <xf numFmtId="164" fontId="0" fillId="0" borderId="0" xfId="21" applyFont="true" applyBorder="true" applyAlignment="true" applyProtection="true">
      <alignment horizontal="general" vertical="bottom" textRotation="0" wrapText="false" indent="0" shrinkToFit="false"/>
      <protection locked="true" hidden="true"/>
    </xf>
    <xf numFmtId="165" fontId="4" fillId="3" borderId="5" xfId="21" applyFont="true" applyBorder="true" applyAlignment="true" applyProtection="true">
      <alignment horizontal="center" vertical="bottom" textRotation="0" wrapText="false" indent="0" shrinkToFit="false"/>
      <protection locked="true" hidden="false"/>
    </xf>
    <xf numFmtId="164" fontId="4" fillId="4" borderId="6" xfId="21" applyFont="true" applyBorder="true" applyAlignment="true" applyProtection="true">
      <alignment horizontal="center" vertical="bottom" textRotation="0" wrapText="false" indent="0" shrinkToFit="false"/>
      <protection locked="false" hidden="false"/>
    </xf>
    <xf numFmtId="164" fontId="0" fillId="0" borderId="7" xfId="21" applyFont="true" applyBorder="true" applyAlignment="true" applyProtection="true">
      <alignment horizontal="general" vertical="bottom" textRotation="0" wrapText="false" indent="0" shrinkToFit="false"/>
      <protection locked="true" hidden="false"/>
    </xf>
    <xf numFmtId="164" fontId="0" fillId="0" borderId="0" xfId="21" applyFont="true" applyBorder="true" applyAlignment="true" applyProtection="true">
      <alignment horizontal="center" vertical="bottom" textRotation="0" wrapText="false" indent="0" shrinkToFit="false"/>
      <protection locked="true" hidden="true"/>
    </xf>
    <xf numFmtId="165" fontId="4" fillId="0" borderId="0" xfId="21" applyFont="true" applyBorder="true" applyAlignment="true" applyProtection="true">
      <alignment horizontal="center" vertical="bottom" textRotation="0" wrapText="false" indent="0" shrinkToFit="false"/>
      <protection locked="true" hidden="true"/>
    </xf>
    <xf numFmtId="164" fontId="4" fillId="0" borderId="0" xfId="21" applyFont="true" applyBorder="true" applyAlignment="true" applyProtection="true">
      <alignment horizontal="general" vertical="bottom" textRotation="0" wrapText="false" indent="0" shrinkToFit="false"/>
      <protection locked="true" hidden="true"/>
    </xf>
    <xf numFmtId="164" fontId="7" fillId="0" borderId="0" xfId="21" applyFont="true" applyBorder="true" applyAlignment="true" applyProtection="true">
      <alignment horizontal="general" vertical="bottom" textRotation="0" wrapText="false" indent="0" shrinkToFit="false"/>
      <protection locked="true" hidden="false"/>
    </xf>
    <xf numFmtId="164" fontId="8" fillId="0" borderId="0" xfId="21" applyFont="true" applyBorder="true" applyAlignment="true" applyProtection="true">
      <alignment horizontal="center" vertical="bottom" textRotation="0" wrapText="false" indent="0" shrinkToFit="false"/>
      <protection locked="true" hidden="false"/>
    </xf>
    <xf numFmtId="164" fontId="4" fillId="3" borderId="5" xfId="21" applyFont="true" applyBorder="true" applyAlignment="true" applyProtection="true">
      <alignment horizontal="center" vertical="bottom" textRotation="0" wrapText="false" indent="0" shrinkToFit="false"/>
      <protection locked="true" hidden="true"/>
    </xf>
    <xf numFmtId="164" fontId="4" fillId="0" borderId="7" xfId="21" applyFont="true" applyBorder="true" applyAlignment="true" applyProtection="true">
      <alignment horizontal="general" vertical="bottom" textRotation="0" wrapText="false" indent="0" shrinkToFit="false"/>
      <protection locked="true" hidden="false"/>
    </xf>
    <xf numFmtId="165" fontId="4" fillId="0" borderId="0" xfId="21" applyFont="true" applyBorder="true" applyAlignment="true" applyProtection="true">
      <alignment horizontal="center" vertical="bottom" textRotation="0" wrapText="false" indent="0" shrinkToFit="false"/>
      <protection locked="true" hidden="false"/>
    </xf>
    <xf numFmtId="165" fontId="4" fillId="3" borderId="5" xfId="21" applyFont="true" applyBorder="true" applyAlignment="true" applyProtection="true">
      <alignment horizontal="center" vertical="bottom" textRotation="0" wrapText="false" indent="0" shrinkToFit="false"/>
      <protection locked="true" hidden="true"/>
    </xf>
    <xf numFmtId="166" fontId="4" fillId="4" borderId="5" xfId="21" applyFont="true" applyBorder="true" applyAlignment="true" applyProtection="true">
      <alignment horizontal="center" vertical="bottom" textRotation="0" wrapText="false" indent="0" shrinkToFit="false"/>
      <protection locked="false" hidden="false"/>
    </xf>
    <xf numFmtId="164" fontId="4" fillId="0" borderId="0" xfId="21" applyFont="true" applyBorder="true" applyAlignment="true" applyProtection="true">
      <alignment horizontal="center" vertical="bottom" textRotation="0" wrapText="false" indent="0" shrinkToFit="false"/>
      <protection locked="true" hidden="false"/>
    </xf>
    <xf numFmtId="165" fontId="4" fillId="3" borderId="8" xfId="21" applyFont="true" applyBorder="true" applyAlignment="true" applyProtection="true">
      <alignment horizontal="center" vertical="bottom" textRotation="0" wrapText="false" indent="0" shrinkToFit="false"/>
      <protection locked="true" hidden="true"/>
    </xf>
    <xf numFmtId="165" fontId="4" fillId="3" borderId="5" xfId="21" applyFont="true" applyBorder="true" applyAlignment="true" applyProtection="true">
      <alignment horizontal="center" vertical="center" textRotation="0" wrapText="false" indent="0" shrinkToFit="false"/>
      <protection locked="true" hidden="true"/>
    </xf>
    <xf numFmtId="164" fontId="9" fillId="4" borderId="9" xfId="21" applyFont="true" applyBorder="true" applyAlignment="true" applyProtection="true">
      <alignment horizontal="center" vertical="center" textRotation="0" wrapText="false" indent="0" shrinkToFit="false"/>
      <protection locked="false" hidden="false"/>
    </xf>
    <xf numFmtId="164" fontId="5" fillId="0" borderId="0" xfId="21" applyFont="true" applyBorder="true" applyAlignment="true" applyProtection="true">
      <alignment horizontal="general" vertical="bottom" textRotation="0" wrapText="false" indent="0" shrinkToFit="false"/>
      <protection locked="true" hidden="true"/>
    </xf>
    <xf numFmtId="164" fontId="9" fillId="4" borderId="5" xfId="21" applyFont="true" applyBorder="true" applyAlignment="true" applyProtection="true">
      <alignment horizontal="center" vertical="center" textRotation="0" wrapText="false" indent="0" shrinkToFit="false"/>
      <protection locked="false" hidden="false"/>
    </xf>
    <xf numFmtId="167" fontId="4" fillId="4" borderId="5" xfId="21" applyFont="true" applyBorder="true" applyAlignment="true" applyProtection="true">
      <alignment horizontal="center" vertical="bottom" textRotation="0" wrapText="false" indent="0" shrinkToFit="false"/>
      <protection locked="false" hidden="false"/>
    </xf>
    <xf numFmtId="164" fontId="0" fillId="4" borderId="6" xfId="21" applyFont="true" applyBorder="true" applyAlignment="true" applyProtection="true">
      <alignment horizontal="center" vertical="bottom" textRotation="0" wrapText="false" indent="0" shrinkToFit="false"/>
      <protection locked="false" hidden="false"/>
    </xf>
    <xf numFmtId="164" fontId="10" fillId="0" borderId="0" xfId="21" applyFont="true" applyBorder="true" applyAlignment="true" applyProtection="true">
      <alignment horizontal="general" vertical="bottom" textRotation="0" wrapText="false" indent="0" shrinkToFit="false"/>
      <protection locked="true" hidden="false"/>
    </xf>
    <xf numFmtId="165" fontId="11" fillId="5" borderId="5" xfId="21" applyFont="true" applyBorder="true" applyAlignment="true" applyProtection="true">
      <alignment horizontal="center" vertical="bottom" textRotation="0" wrapText="false" indent="0" shrinkToFit="false"/>
      <protection locked="true" hidden="true"/>
    </xf>
    <xf numFmtId="164" fontId="12" fillId="0" borderId="0" xfId="21" applyFont="true" applyBorder="false" applyAlignment="true" applyProtection="true">
      <alignment horizontal="general" vertical="bottom" textRotation="0" wrapText="false" indent="0" shrinkToFit="false"/>
      <protection locked="true" hidden="false"/>
    </xf>
    <xf numFmtId="165" fontId="12" fillId="5" borderId="5" xfId="21" applyFont="true" applyBorder="true" applyAlignment="true" applyProtection="true">
      <alignment horizontal="center" vertical="bottom" textRotation="0" wrapText="false" indent="0" shrinkToFit="false"/>
      <protection locked="true" hidden="true"/>
    </xf>
    <xf numFmtId="165" fontId="10" fillId="5" borderId="5" xfId="21" applyFont="true" applyBorder="true" applyAlignment="true" applyProtection="true">
      <alignment horizontal="center" vertical="bottom" textRotation="0" wrapText="false" indent="0" shrinkToFit="false"/>
      <protection locked="true" hidden="true"/>
    </xf>
    <xf numFmtId="168" fontId="10" fillId="6" borderId="5" xfId="21" applyFont="true" applyBorder="true" applyAlignment="true" applyProtection="true">
      <alignment horizontal="center" vertical="bottom" textRotation="0" wrapText="false" indent="0" shrinkToFit="false"/>
      <protection locked="true" hidden="true"/>
    </xf>
    <xf numFmtId="164" fontId="10" fillId="6" borderId="5" xfId="21" applyFont="true" applyBorder="true" applyAlignment="true" applyProtection="true">
      <alignment horizontal="center" vertical="bottom" textRotation="0" wrapText="false" indent="0" shrinkToFit="false"/>
      <protection locked="true" hidden="false"/>
    </xf>
    <xf numFmtId="166" fontId="10" fillId="6" borderId="5" xfId="21" applyFont="true" applyBorder="true" applyAlignment="true" applyProtection="true">
      <alignment horizontal="center" vertical="bottom" textRotation="0" wrapText="false" indent="0" shrinkToFit="false"/>
      <protection locked="true" hidden="true"/>
    </xf>
    <xf numFmtId="168" fontId="10" fillId="6" borderId="5" xfId="21" applyFont="true" applyBorder="true" applyAlignment="true" applyProtection="true">
      <alignment horizontal="center" vertical="bottom" textRotation="0" wrapText="false" indent="0" shrinkToFit="false"/>
      <protection locked="true" hidden="false"/>
    </xf>
    <xf numFmtId="165" fontId="13" fillId="5" borderId="5" xfId="21" applyFont="true" applyBorder="true" applyAlignment="true" applyProtection="true">
      <alignment horizontal="center" vertical="bottom" textRotation="0" wrapText="false" indent="0" shrinkToFit="false"/>
      <protection locked="true" hidden="true"/>
    </xf>
    <xf numFmtId="169" fontId="13" fillId="6" borderId="5" xfId="21" applyFont="true" applyBorder="true" applyAlignment="true" applyProtection="true">
      <alignment horizontal="center" vertical="bottom" textRotation="0" wrapText="false" indent="0" shrinkToFit="false"/>
      <protection locked="true" hidden="false"/>
    </xf>
    <xf numFmtId="169" fontId="10" fillId="6" borderId="5" xfId="21" applyFont="true" applyBorder="true" applyAlignment="true" applyProtection="true">
      <alignment horizontal="center" vertical="bottom" textRotation="0" wrapText="false" indent="0" shrinkToFit="false"/>
      <protection locked="true" hidden="true"/>
    </xf>
    <xf numFmtId="165" fontId="4" fillId="3" borderId="10" xfId="21" applyFont="true" applyBorder="true" applyAlignment="true" applyProtection="true">
      <alignment horizontal="center" vertical="bottom" textRotation="0" wrapText="false" indent="0" shrinkToFit="false"/>
      <protection locked="true" hidden="true"/>
    </xf>
    <xf numFmtId="164" fontId="12" fillId="0" borderId="0" xfId="21" applyFont="true" applyBorder="true" applyAlignment="true" applyProtection="true">
      <alignment horizontal="general" vertical="bottom" textRotation="0" wrapText="false" indent="0" shrinkToFit="false"/>
      <protection locked="true" hidden="false"/>
    </xf>
    <xf numFmtId="164" fontId="8" fillId="4" borderId="11" xfId="21" applyFont="true" applyBorder="true" applyAlignment="true" applyProtection="true">
      <alignment horizontal="center" vertical="bottom" textRotation="0" wrapText="false" indent="0" shrinkToFit="false"/>
      <protection locked="false" hidden="false"/>
    </xf>
    <xf numFmtId="164" fontId="10" fillId="0" borderId="0" xfId="21" applyFont="true" applyBorder="true" applyAlignment="true" applyProtection="true">
      <alignment horizontal="general" vertical="bottom" textRotation="0" wrapText="false" indent="0" shrinkToFit="false"/>
      <protection locked="true" hidden="true"/>
    </xf>
    <xf numFmtId="164" fontId="10" fillId="5" borderId="5" xfId="21" applyFont="true" applyBorder="true" applyAlignment="true" applyProtection="true">
      <alignment horizontal="center" vertical="bottom" textRotation="0" wrapText="false" indent="0" shrinkToFit="false"/>
      <protection locked="true" hidden="false"/>
    </xf>
    <xf numFmtId="164" fontId="8" fillId="0" borderId="0" xfId="21" applyFont="true" applyBorder="true" applyAlignment="true" applyProtection="true">
      <alignment horizontal="general" vertical="bottom" textRotation="0" wrapText="false" indent="0" shrinkToFit="false"/>
      <protection locked="true" hidden="true"/>
    </xf>
    <xf numFmtId="169" fontId="10" fillId="6" borderId="5" xfId="21" applyFont="true" applyBorder="true" applyAlignment="true" applyProtection="true">
      <alignment horizontal="center" vertical="bottom" textRotation="0" wrapText="false" indent="0" shrinkToFit="false"/>
      <protection locked="true" hidden="false"/>
    </xf>
    <xf numFmtId="170" fontId="10" fillId="6" borderId="5" xfId="21" applyFont="true" applyBorder="true" applyAlignment="true" applyProtection="true">
      <alignment horizontal="center" vertical="bottom" textRotation="0" wrapText="false" indent="0" shrinkToFit="false"/>
      <protection locked="true" hidden="false"/>
    </xf>
    <xf numFmtId="164" fontId="8" fillId="0" borderId="0" xfId="21" applyFont="true" applyBorder="true" applyAlignment="true" applyProtection="true">
      <alignment horizontal="right" vertical="bottom" textRotation="0" wrapText="false" indent="0" shrinkToFit="false"/>
      <protection locked="true" hidden="true"/>
    </xf>
    <xf numFmtId="164" fontId="8" fillId="0" borderId="12" xfId="21" applyFont="true" applyBorder="true" applyAlignment="true" applyProtection="true">
      <alignment horizontal="center" vertical="bottom" textRotation="0" wrapText="false" indent="0" shrinkToFit="false"/>
      <protection locked="true" hidden="false"/>
    </xf>
    <xf numFmtId="164" fontId="4" fillId="0" borderId="0" xfId="21" applyFont="true" applyBorder="true" applyAlignment="true" applyProtection="true">
      <alignment horizontal="center" vertical="bottom" textRotation="0" wrapText="false" indent="0" shrinkToFit="false"/>
      <protection locked="true" hidden="true"/>
    </xf>
    <xf numFmtId="165" fontId="4" fillId="3" borderId="13" xfId="21" applyFont="true" applyBorder="true" applyAlignment="true" applyProtection="true">
      <alignment horizontal="center" vertical="bottom" textRotation="0" wrapText="false" indent="0" shrinkToFit="false"/>
      <protection locked="true" hidden="true"/>
    </xf>
    <xf numFmtId="164" fontId="4" fillId="4" borderId="11" xfId="21" applyFont="true" applyBorder="true" applyAlignment="true" applyProtection="true">
      <alignment horizontal="center" vertical="bottom" textRotation="0" wrapText="false" indent="0" shrinkToFit="false"/>
      <protection locked="false" hidden="false"/>
    </xf>
    <xf numFmtId="164" fontId="10" fillId="5" borderId="5" xfId="21" applyFont="true" applyBorder="true" applyAlignment="true" applyProtection="true">
      <alignment horizontal="center" vertical="bottom" textRotation="0" wrapText="false" indent="0" shrinkToFit="false"/>
      <protection locked="true" hidden="true"/>
    </xf>
    <xf numFmtId="165" fontId="4" fillId="3" borderId="14" xfId="21" applyFont="true" applyBorder="true" applyAlignment="true" applyProtection="true">
      <alignment horizontal="center" vertical="bottom" textRotation="0" wrapText="false" indent="0" shrinkToFit="false"/>
      <protection locked="true" hidden="true"/>
    </xf>
    <xf numFmtId="165" fontId="4" fillId="3" borderId="15" xfId="21" applyFont="true" applyBorder="true" applyAlignment="true" applyProtection="true">
      <alignment horizontal="center" vertical="bottom" textRotation="0" wrapText="false" indent="0" shrinkToFit="false"/>
      <protection locked="true" hidden="true"/>
    </xf>
    <xf numFmtId="164" fontId="14" fillId="3" borderId="16" xfId="21" applyFont="true" applyBorder="true" applyAlignment="true" applyProtection="true">
      <alignment horizontal="center" vertical="bottom" textRotation="0" wrapText="false" indent="0" shrinkToFit="false"/>
      <protection locked="true" hidden="true"/>
    </xf>
    <xf numFmtId="164" fontId="0" fillId="0" borderId="0" xfId="21" applyFont="true" applyBorder="true" applyAlignment="true" applyProtection="true">
      <alignment horizontal="general" vertical="bottom" textRotation="0" wrapText="false" indent="0" shrinkToFit="false"/>
      <protection locked="true" hidden="false"/>
    </xf>
    <xf numFmtId="165" fontId="8" fillId="0" borderId="0" xfId="21" applyFont="true" applyBorder="false" applyAlignment="true" applyProtection="true">
      <alignment horizontal="general" vertical="bottom" textRotation="0" wrapText="false" indent="0" shrinkToFit="false"/>
      <protection locked="true" hidden="false"/>
    </xf>
    <xf numFmtId="171" fontId="4" fillId="4" borderId="6" xfId="21" applyFont="true" applyBorder="true" applyAlignment="true" applyProtection="true">
      <alignment horizontal="center" vertical="bottom" textRotation="0" wrapText="false" indent="0" shrinkToFit="false"/>
      <protection locked="false" hidden="false"/>
    </xf>
    <xf numFmtId="172" fontId="0" fillId="0" borderId="0" xfId="21" applyFont="true" applyBorder="true" applyAlignment="true" applyProtection="true">
      <alignment horizontal="center" vertical="bottom" textRotation="0" wrapText="false" indent="0" shrinkToFit="false"/>
      <protection locked="true" hidden="true"/>
    </xf>
    <xf numFmtId="164" fontId="4" fillId="5" borderId="5" xfId="21" applyFont="true" applyBorder="true" applyAlignment="true" applyProtection="true">
      <alignment horizontal="center" vertical="bottom" textRotation="0" wrapText="false" indent="0" shrinkToFit="false"/>
      <protection locked="true" hidden="true"/>
    </xf>
    <xf numFmtId="165" fontId="4" fillId="5" borderId="5" xfId="21" applyFont="true" applyBorder="true" applyAlignment="true" applyProtection="true">
      <alignment horizontal="center" vertical="bottom" textRotation="0" wrapText="false" indent="0" shrinkToFit="false"/>
      <protection locked="true" hidden="true"/>
    </xf>
    <xf numFmtId="164" fontId="8" fillId="0" borderId="0" xfId="21" applyFont="true" applyBorder="true" applyAlignment="true" applyProtection="true">
      <alignment horizontal="general" vertical="bottom" textRotation="0" wrapText="false" indent="0" shrinkToFit="false"/>
      <protection locked="true" hidden="false"/>
    </xf>
    <xf numFmtId="165" fontId="4" fillId="3" borderId="5" xfId="21" applyFont="true" applyBorder="true" applyAlignment="true" applyProtection="true">
      <alignment horizontal="left" vertical="bottom" textRotation="0" wrapText="false" indent="0" shrinkToFit="false"/>
      <protection locked="true" hidden="true"/>
    </xf>
    <xf numFmtId="166" fontId="4" fillId="4" borderId="9" xfId="21" applyFont="true" applyBorder="true" applyAlignment="true" applyProtection="true">
      <alignment horizontal="center" vertical="bottom" textRotation="0" wrapText="false" indent="0" shrinkToFit="false"/>
      <protection locked="false" hidden="false"/>
    </xf>
    <xf numFmtId="173" fontId="11" fillId="7" borderId="5" xfId="21" applyFont="true" applyBorder="true" applyAlignment="true" applyProtection="true">
      <alignment horizontal="center" vertical="bottom" textRotation="0" wrapText="false" indent="0" shrinkToFit="false"/>
      <protection locked="true" hidden="false"/>
    </xf>
    <xf numFmtId="164" fontId="4" fillId="5" borderId="5" xfId="21" applyFont="true" applyBorder="true" applyAlignment="true" applyProtection="true">
      <alignment horizontal="center" vertical="bottom" textRotation="0" wrapText="false" indent="0" shrinkToFit="false"/>
      <protection locked="true" hidden="false"/>
    </xf>
    <xf numFmtId="165" fontId="12" fillId="6" borderId="5" xfId="21" applyFont="true" applyBorder="true" applyAlignment="true" applyProtection="true">
      <alignment horizontal="center" vertical="bottom" textRotation="0" wrapText="false" indent="0" shrinkToFit="false"/>
      <protection locked="true" hidden="true"/>
    </xf>
    <xf numFmtId="170" fontId="4" fillId="6" borderId="5" xfId="21" applyFont="true" applyBorder="true" applyAlignment="true" applyProtection="true">
      <alignment horizontal="center" vertical="bottom" textRotation="0" wrapText="false" indent="0" shrinkToFit="false"/>
      <protection locked="true" hidden="false"/>
    </xf>
    <xf numFmtId="170" fontId="4" fillId="6" borderId="17" xfId="21" applyFont="true" applyBorder="true" applyAlignment="true" applyProtection="true">
      <alignment horizontal="center" vertical="bottom" textRotation="0" wrapText="false" indent="0" shrinkToFit="false"/>
      <protection locked="true" hidden="false"/>
    </xf>
    <xf numFmtId="165" fontId="4" fillId="5" borderId="18" xfId="21" applyFont="true" applyBorder="true" applyAlignment="true" applyProtection="true">
      <alignment horizontal="general" vertical="center" textRotation="0" wrapText="false" indent="0" shrinkToFit="false"/>
      <protection locked="true" hidden="false"/>
    </xf>
    <xf numFmtId="174" fontId="12" fillId="6" borderId="18" xfId="21" applyFont="true" applyBorder="true" applyAlignment="true" applyProtection="true">
      <alignment horizontal="center" vertical="center" textRotation="0" wrapText="false" indent="0" shrinkToFit="false"/>
      <protection locked="true" hidden="true"/>
    </xf>
    <xf numFmtId="175" fontId="4" fillId="6" borderId="5" xfId="21" applyFont="true" applyBorder="true" applyAlignment="true" applyProtection="true">
      <alignment horizontal="center" vertical="bottom" textRotation="0" wrapText="false" indent="0" shrinkToFit="false"/>
      <protection locked="true" hidden="false"/>
    </xf>
    <xf numFmtId="175" fontId="4" fillId="6" borderId="19" xfId="21" applyFont="true" applyBorder="true" applyAlignment="true" applyProtection="true">
      <alignment horizontal="center" vertical="bottom" textRotation="0" wrapText="false" indent="0" shrinkToFit="false"/>
      <protection locked="true" hidden="false"/>
    </xf>
    <xf numFmtId="165" fontId="4" fillId="5" borderId="18" xfId="21" applyFont="true" applyBorder="true" applyAlignment="true" applyProtection="true">
      <alignment horizontal="center" vertical="center" textRotation="0" wrapText="false" indent="0" shrinkToFit="false"/>
      <protection locked="true" hidden="false"/>
    </xf>
    <xf numFmtId="165" fontId="12" fillId="6" borderId="18" xfId="21" applyFont="true" applyBorder="true" applyAlignment="true" applyProtection="true">
      <alignment horizontal="center" vertical="center" textRotation="0" wrapText="false" indent="0" shrinkToFit="false"/>
      <protection locked="true" hidden="true"/>
    </xf>
    <xf numFmtId="170" fontId="4" fillId="6" borderId="19" xfId="21" applyFont="true" applyBorder="true" applyAlignment="true" applyProtection="true">
      <alignment horizontal="center" vertical="bottom" textRotation="0" wrapText="false" indent="0" shrinkToFit="false"/>
      <protection locked="true" hidden="false"/>
    </xf>
    <xf numFmtId="165" fontId="4" fillId="3" borderId="20" xfId="21" applyFont="true" applyBorder="true" applyAlignment="true" applyProtection="true">
      <alignment horizontal="left" vertical="bottom" textRotation="0" wrapText="false" indent="0" shrinkToFit="false"/>
      <protection locked="true" hidden="true"/>
    </xf>
    <xf numFmtId="164" fontId="12" fillId="5" borderId="5" xfId="21" applyFont="true" applyBorder="true" applyAlignment="true" applyProtection="true">
      <alignment horizontal="center" vertical="bottom" textRotation="0" wrapText="false" indent="0" shrinkToFit="false"/>
      <protection locked="true" hidden="false"/>
    </xf>
    <xf numFmtId="169" fontId="12" fillId="6" borderId="17" xfId="21" applyFont="true" applyBorder="true" applyAlignment="true" applyProtection="true">
      <alignment horizontal="general" vertical="bottom" textRotation="0" wrapText="false" indent="0" shrinkToFit="false"/>
      <protection locked="true" hidden="false"/>
    </xf>
    <xf numFmtId="164" fontId="4" fillId="6" borderId="5" xfId="21" applyFont="true" applyBorder="true" applyAlignment="true" applyProtection="true">
      <alignment horizontal="center" vertical="bottom" textRotation="0" wrapText="false" indent="0" shrinkToFit="false"/>
      <protection locked="true" hidden="true"/>
    </xf>
    <xf numFmtId="164" fontId="4" fillId="4" borderId="5" xfId="21" applyFont="true" applyBorder="true" applyAlignment="true" applyProtection="true">
      <alignment horizontal="center" vertical="bottom" textRotation="0" wrapText="false" indent="0" shrinkToFit="false"/>
      <protection locked="false" hidden="false"/>
    </xf>
    <xf numFmtId="176" fontId="12" fillId="6" borderId="5" xfId="21" applyFont="true" applyBorder="true" applyAlignment="true" applyProtection="true">
      <alignment horizontal="center" vertical="bottom" textRotation="0" wrapText="false" indent="0" shrinkToFit="false"/>
      <protection locked="true" hidden="false"/>
    </xf>
    <xf numFmtId="176" fontId="12" fillId="6" borderId="19" xfId="21" applyFont="true" applyBorder="true" applyAlignment="true" applyProtection="true">
      <alignment horizontal="center" vertical="bottom" textRotation="0" wrapText="false" indent="0" shrinkToFit="false"/>
      <protection locked="true" hidden="false"/>
    </xf>
    <xf numFmtId="165" fontId="15" fillId="6" borderId="5" xfId="21" applyFont="true" applyBorder="true" applyAlignment="true" applyProtection="true">
      <alignment horizontal="center" vertical="center" textRotation="0" wrapText="false" indent="0" shrinkToFit="false"/>
      <protection locked="true" hidden="false"/>
    </xf>
    <xf numFmtId="169" fontId="12" fillId="7" borderId="5" xfId="21" applyFont="true" applyBorder="true" applyAlignment="true" applyProtection="true">
      <alignment horizontal="center" vertical="bottom" textRotation="0" wrapText="false" indent="0" shrinkToFit="false"/>
      <protection locked="true" hidden="false"/>
    </xf>
    <xf numFmtId="164" fontId="4" fillId="0" borderId="21" xfId="21" applyFont="true" applyBorder="true" applyAlignment="true" applyProtection="true">
      <alignment horizontal="general" vertical="bottom" textRotation="0" wrapText="false" indent="0" shrinkToFit="false"/>
      <protection locked="true" hidden="false"/>
    </xf>
    <xf numFmtId="165" fontId="0" fillId="0" borderId="22" xfId="21" applyFont="true" applyBorder="true" applyAlignment="true" applyProtection="true">
      <alignment horizontal="general" vertical="bottom" textRotation="0" wrapText="false" indent="0" shrinkToFit="false"/>
      <protection locked="true" hidden="false"/>
    </xf>
    <xf numFmtId="164" fontId="4" fillId="0" borderId="22" xfId="21" applyFont="true" applyBorder="true" applyAlignment="true" applyProtection="true">
      <alignment horizontal="center" vertical="bottom" textRotation="0" wrapText="false" indent="0" shrinkToFit="false"/>
      <protection locked="false" hidden="false"/>
    </xf>
    <xf numFmtId="164" fontId="4" fillId="0" borderId="22" xfId="21" applyFont="true" applyBorder="true" applyAlignment="true" applyProtection="true">
      <alignment horizontal="general" vertical="bottom" textRotation="0" wrapText="false" indent="0" shrinkToFit="false"/>
      <protection locked="false" hidden="false"/>
    </xf>
    <xf numFmtId="164" fontId="5" fillId="0" borderId="22" xfId="21" applyFont="true" applyBorder="true" applyAlignment="true" applyProtection="true">
      <alignment horizontal="general" vertical="bottom" textRotation="0" wrapText="false" indent="0" shrinkToFit="false"/>
      <protection locked="false" hidden="false"/>
    </xf>
    <xf numFmtId="164" fontId="0" fillId="0" borderId="22" xfId="21" applyFont="true" applyBorder="true" applyAlignment="true" applyProtection="true">
      <alignment horizontal="general" vertical="bottom" textRotation="0" wrapText="false" indent="0" shrinkToFit="false"/>
      <protection locked="false" hidden="false"/>
    </xf>
    <xf numFmtId="164" fontId="11" fillId="0" borderId="22" xfId="21" applyFont="true" applyBorder="true" applyAlignment="true" applyProtection="true">
      <alignment horizontal="right" vertical="bottom" textRotation="0" wrapText="false" indent="0" shrinkToFit="false"/>
      <protection locked="true" hidden="false"/>
    </xf>
    <xf numFmtId="164" fontId="11" fillId="0" borderId="22" xfId="21" applyFont="true" applyBorder="true" applyAlignment="true" applyProtection="true">
      <alignment horizontal="general" vertical="bottom" textRotation="0" wrapText="false" indent="0" shrinkToFit="false"/>
      <protection locked="true" hidden="false"/>
    </xf>
    <xf numFmtId="165" fontId="16" fillId="0" borderId="22" xfId="21" applyFont="true" applyBorder="true" applyAlignment="true" applyProtection="true">
      <alignment horizontal="left" vertical="bottom" textRotation="0" wrapText="false" indent="0" shrinkToFit="false"/>
      <protection locked="true" hidden="false"/>
    </xf>
    <xf numFmtId="164" fontId="12" fillId="0" borderId="22" xfId="21" applyFont="true" applyBorder="true" applyAlignment="true" applyProtection="true">
      <alignment horizontal="general" vertical="bottom" textRotation="0" wrapText="false" indent="0" shrinkToFit="false"/>
      <protection locked="true" hidden="false"/>
    </xf>
    <xf numFmtId="164" fontId="11" fillId="0" borderId="23" xfId="21" applyFont="true" applyBorder="true" applyAlignment="true" applyProtection="true">
      <alignment horizontal="right" vertical="bottom" textRotation="0" wrapText="false" indent="0" shrinkToFit="false"/>
      <protection locked="true" hidden="false"/>
    </xf>
    <xf numFmtId="164" fontId="4" fillId="0" borderId="0" xfId="21" applyFont="true" applyBorder="true" applyAlignment="true" applyProtection="true">
      <alignment horizontal="general" vertical="bottom" textRotation="0" wrapText="false" indent="0" shrinkToFit="false"/>
      <protection locked="fals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17" fillId="0" borderId="0" xfId="20" applyFont="true" applyBorder="true" applyAlignment="true" applyProtection="true">
      <alignment horizontal="left" vertical="bottom" textRotation="0" wrapText="false" indent="0" shrinkToFit="false"/>
      <protection locked="true" hidden="true"/>
    </xf>
    <xf numFmtId="164" fontId="0" fillId="0" borderId="0" xfId="21" applyFont="true" applyBorder="false" applyAlignment="true" applyProtection="true">
      <alignment horizontal="center" vertical="bottom" textRotation="0" wrapText="false" indent="0" shrinkToFit="false"/>
      <protection locked="true" hidden="true"/>
    </xf>
    <xf numFmtId="164" fontId="4" fillId="0" borderId="0" xfId="21" applyFont="true" applyBorder="true" applyAlignment="true" applyProtection="true">
      <alignment horizontal="center" vertical="bottom" textRotation="0" wrapText="false" indent="0" shrinkToFit="false"/>
      <protection locked="false" hidden="false"/>
    </xf>
    <xf numFmtId="166" fontId="4" fillId="0" borderId="0" xfId="21" applyFont="true" applyBorder="false" applyAlignment="true" applyProtection="true">
      <alignment horizontal="general" vertical="bottom" textRotation="0" wrapText="false" indent="0" shrinkToFit="false"/>
      <protection locked="true" hidden="false"/>
    </xf>
    <xf numFmtId="177" fontId="0" fillId="0" borderId="0" xfId="21" applyFont="true" applyBorder="false" applyAlignment="true" applyProtection="true">
      <alignment horizontal="general" vertical="bottom" textRotation="0" wrapText="false" indent="0" shrinkToFit="false"/>
      <protection locked="true" hidden="true"/>
    </xf>
    <xf numFmtId="178" fontId="4" fillId="0" borderId="0" xfId="21" applyFont="true" applyBorder="true" applyAlignment="true" applyProtection="true">
      <alignment horizontal="general" vertical="bottom" textRotation="0" wrapText="false" indent="0" shrinkToFit="false"/>
      <protection locked="false" hidden="false"/>
    </xf>
    <xf numFmtId="164" fontId="0" fillId="0" borderId="0" xfId="21" applyFont="true" applyBorder="false" applyAlignment="true" applyProtection="true">
      <alignment horizontal="general" vertical="bottom" textRotation="0" wrapText="false" indent="0" shrinkToFit="false"/>
      <protection locked="true" hidden="false"/>
    </xf>
    <xf numFmtId="164" fontId="5" fillId="0" borderId="0" xfId="21" applyFont="true" applyBorder="false" applyAlignment="true" applyProtection="true">
      <alignment horizontal="center" vertical="bottom" textRotation="0" wrapText="false" indent="0" shrinkToFit="false"/>
      <protection locked="true" hidden="true"/>
    </xf>
    <xf numFmtId="173" fontId="0" fillId="0" borderId="0" xfId="21" applyFont="true" applyBorder="false" applyAlignment="true" applyProtection="true">
      <alignment horizontal="center" vertical="bottom" textRotation="0" wrapText="false" indent="0" shrinkToFit="false"/>
      <protection locked="true" hidden="true"/>
    </xf>
    <xf numFmtId="173" fontId="5" fillId="0" borderId="0" xfId="21" applyFont="true" applyBorder="false" applyAlignment="true" applyProtection="true">
      <alignment horizontal="center" vertical="bottom" textRotation="0" wrapText="false" indent="0" shrinkToFit="false"/>
      <protection locked="true" hidden="true"/>
    </xf>
    <xf numFmtId="164" fontId="0" fillId="0" borderId="24" xfId="21" applyFont="true" applyBorder="true" applyAlignment="true" applyProtection="true">
      <alignment horizontal="center" vertical="bottom" textRotation="0" wrapText="false" indent="0" shrinkToFit="false"/>
      <protection locked="true" hidden="true"/>
    </xf>
    <xf numFmtId="173" fontId="0" fillId="0" borderId="25" xfId="21" applyFont="true" applyBorder="true" applyAlignment="true" applyProtection="true">
      <alignment horizontal="center" vertical="bottom" textRotation="0" wrapText="false" indent="0" shrinkToFit="false"/>
      <protection locked="true" hidden="true"/>
    </xf>
    <xf numFmtId="173" fontId="5" fillId="0" borderId="26" xfId="21" applyFont="true" applyBorder="true" applyAlignment="true" applyProtection="true">
      <alignment horizontal="center" vertical="bottom" textRotation="0" wrapText="false" indent="0" shrinkToFit="false"/>
      <protection locked="true" hidden="true"/>
    </xf>
    <xf numFmtId="164" fontId="0" fillId="0" borderId="27" xfId="21" applyFont="true" applyBorder="true" applyAlignment="true" applyProtection="true">
      <alignment horizontal="center" vertical="bottom" textRotation="0" wrapText="false" indent="0" shrinkToFit="false"/>
      <protection locked="true" hidden="true"/>
    </xf>
    <xf numFmtId="173" fontId="0" fillId="0" borderId="0" xfId="21" applyFont="true" applyBorder="true" applyAlignment="true" applyProtection="true">
      <alignment horizontal="center" vertical="bottom" textRotation="0" wrapText="false" indent="0" shrinkToFit="false"/>
      <protection locked="true" hidden="true"/>
    </xf>
    <xf numFmtId="173" fontId="5" fillId="0" borderId="28" xfId="21" applyFont="true" applyBorder="true" applyAlignment="true" applyProtection="true">
      <alignment horizontal="center" vertical="bottom" textRotation="0" wrapText="false" indent="0" shrinkToFit="false"/>
      <protection locked="true" hidden="true"/>
    </xf>
    <xf numFmtId="164" fontId="0" fillId="0" borderId="29" xfId="21" applyFont="true" applyBorder="true" applyAlignment="true" applyProtection="true">
      <alignment horizontal="center" vertical="bottom" textRotation="0" wrapText="false" indent="0" shrinkToFit="false"/>
      <protection locked="true" hidden="true"/>
    </xf>
    <xf numFmtId="173" fontId="0" fillId="0" borderId="30" xfId="21" applyFont="true" applyBorder="true" applyAlignment="true" applyProtection="true">
      <alignment horizontal="center" vertical="bottom" textRotation="0" wrapText="false" indent="0" shrinkToFit="false"/>
      <protection locked="true" hidden="true"/>
    </xf>
    <xf numFmtId="173" fontId="5" fillId="0" borderId="31" xfId="21" applyFont="true" applyBorder="true" applyAlignment="true" applyProtection="true">
      <alignment horizontal="center" vertical="bottom" textRotation="0" wrapText="false" indent="0" shrinkToFit="false"/>
      <protection locked="true" hidden="true"/>
    </xf>
    <xf numFmtId="173" fontId="0" fillId="0" borderId="26" xfId="21" applyFont="true" applyBorder="true" applyAlignment="true" applyProtection="true">
      <alignment horizontal="center" vertical="bottom" textRotation="0" wrapText="false" indent="0" shrinkToFit="false"/>
      <protection locked="true" hidden="true"/>
    </xf>
    <xf numFmtId="173" fontId="5" fillId="0" borderId="0" xfId="21" applyFont="true" applyBorder="true" applyAlignment="true" applyProtection="true">
      <alignment horizontal="center" vertical="bottom" textRotation="0" wrapText="false" indent="0" shrinkToFit="false"/>
      <protection locked="true" hidden="true"/>
    </xf>
    <xf numFmtId="173" fontId="0" fillId="0" borderId="28" xfId="21" applyFont="true" applyBorder="true" applyAlignment="true" applyProtection="true">
      <alignment horizontal="center" vertical="bottom" textRotation="0" wrapText="false" indent="0" shrinkToFit="false"/>
      <protection locked="true" hidden="true"/>
    </xf>
    <xf numFmtId="173" fontId="0" fillId="0" borderId="31" xfId="21" applyFont="true" applyBorder="true" applyAlignment="true" applyProtection="true">
      <alignment horizontal="center" vertical="bottom" textRotation="0" wrapText="false" indent="0" shrinkToFit="false"/>
      <protection locked="true" hidden="true"/>
    </xf>
    <xf numFmtId="164" fontId="0" fillId="0" borderId="25" xfId="21" applyFont="true" applyBorder="true" applyAlignment="true" applyProtection="true">
      <alignment horizontal="center" vertical="bottom" textRotation="0" wrapText="false" indent="0" shrinkToFit="false"/>
      <protection locked="true" hidden="true"/>
    </xf>
    <xf numFmtId="164" fontId="0" fillId="0" borderId="26" xfId="21" applyFont="true" applyBorder="true" applyAlignment="true" applyProtection="true">
      <alignment horizontal="center" vertical="bottom" textRotation="0" wrapText="false" indent="0" shrinkToFit="false"/>
      <protection locked="true" hidden="true"/>
    </xf>
    <xf numFmtId="164" fontId="0" fillId="0" borderId="28" xfId="21" applyFont="true" applyBorder="true" applyAlignment="true" applyProtection="true">
      <alignment horizontal="center" vertical="bottom" textRotation="0" wrapText="false" indent="0" shrinkToFit="false"/>
      <protection locked="true" hidden="true"/>
    </xf>
    <xf numFmtId="165" fontId="0" fillId="0" borderId="30" xfId="21" applyFont="true" applyBorder="true" applyAlignment="true" applyProtection="true">
      <alignment horizontal="center" vertical="bottom" textRotation="0" wrapText="false" indent="0" shrinkToFit="false"/>
      <protection locked="true" hidden="true"/>
    </xf>
    <xf numFmtId="165" fontId="0" fillId="0" borderId="31" xfId="21" applyFont="true" applyBorder="true" applyAlignment="true" applyProtection="true">
      <alignment horizontal="center" vertical="bottom" textRotation="0" wrapText="false" indent="0" shrinkToFit="false"/>
      <protection locked="true" hidden="true"/>
    </xf>
    <xf numFmtId="164" fontId="5" fillId="0" borderId="26" xfId="21" applyFont="true" applyBorder="true" applyAlignment="true" applyProtection="true">
      <alignment horizontal="center" vertical="bottom" textRotation="0" wrapText="false" indent="0" shrinkToFit="false"/>
      <protection locked="true" hidden="true"/>
    </xf>
    <xf numFmtId="165" fontId="5" fillId="0" borderId="28" xfId="21" applyFont="true" applyBorder="true" applyAlignment="true" applyProtection="true">
      <alignment horizontal="center" vertical="bottom" textRotation="0" wrapText="false" indent="0" shrinkToFit="false"/>
      <protection locked="true" hidden="true"/>
    </xf>
    <xf numFmtId="179" fontId="0" fillId="0" borderId="24" xfId="21" applyFont="true" applyBorder="true" applyAlignment="true" applyProtection="true">
      <alignment horizontal="center" vertical="bottom" textRotation="0" wrapText="false" indent="0" shrinkToFit="false"/>
      <protection locked="true" hidden="true"/>
    </xf>
    <xf numFmtId="179" fontId="0" fillId="0" borderId="25" xfId="21" applyFont="true" applyBorder="true" applyAlignment="true" applyProtection="true">
      <alignment horizontal="center" vertical="bottom" textRotation="0" wrapText="false" indent="0" shrinkToFit="false"/>
      <protection locked="true" hidden="true"/>
    </xf>
    <xf numFmtId="179" fontId="0" fillId="0" borderId="27" xfId="21" applyFont="true" applyBorder="true" applyAlignment="true" applyProtection="true">
      <alignment horizontal="center" vertical="bottom" textRotation="0" wrapText="false" indent="0" shrinkToFit="false"/>
      <protection locked="true" hidden="true"/>
    </xf>
    <xf numFmtId="179" fontId="0" fillId="0" borderId="28" xfId="21" applyFont="true" applyBorder="true" applyAlignment="true" applyProtection="true">
      <alignment horizontal="center" vertical="bottom" textRotation="0" wrapText="false" indent="0" shrinkToFit="false"/>
      <protection locked="true" hidden="true"/>
    </xf>
    <xf numFmtId="165" fontId="5" fillId="0" borderId="31" xfId="21" applyFont="true" applyBorder="true" applyAlignment="true" applyProtection="true">
      <alignment horizontal="center" vertical="bottom" textRotation="0" wrapText="false" indent="0" shrinkToFit="false"/>
      <protection locked="true" hidden="true"/>
    </xf>
    <xf numFmtId="179" fontId="0" fillId="0" borderId="0" xfId="21" applyFont="true" applyBorder="true" applyAlignment="true" applyProtection="true">
      <alignment horizontal="center" vertical="bottom" textRotation="0" wrapText="false" indent="0" shrinkToFit="false"/>
      <protection locked="true" hidden="true"/>
    </xf>
    <xf numFmtId="164" fontId="5" fillId="0" borderId="0" xfId="21" applyFont="true" applyBorder="true" applyAlignment="true" applyProtection="true">
      <alignment horizontal="center" vertical="bottom" textRotation="0" wrapText="false" indent="0" shrinkToFit="false"/>
      <protection locked="true" hidden="true"/>
    </xf>
    <xf numFmtId="164" fontId="5" fillId="0" borderId="0" xfId="21" applyFont="true" applyBorder="false" applyAlignment="true" applyProtection="true">
      <alignment horizontal="general" vertical="bottom" textRotation="0" wrapText="false" indent="0" shrinkToFit="false"/>
      <protection locked="true" hidden="true"/>
    </xf>
    <xf numFmtId="164" fontId="0" fillId="0" borderId="26" xfId="21" applyFont="true" applyBorder="true" applyAlignment="true" applyProtection="true">
      <alignment horizontal="center" vertical="bottom" textRotation="0" wrapText="false" indent="0" shrinkToFit="false"/>
      <protection locked="true" hidden="false"/>
    </xf>
    <xf numFmtId="165" fontId="0" fillId="0" borderId="28" xfId="21" applyFont="true" applyBorder="true" applyAlignment="true" applyProtection="true">
      <alignment horizontal="center" vertical="bottom" textRotation="0" wrapText="false" indent="0" shrinkToFit="false"/>
      <protection locked="true" hidden="false"/>
    </xf>
    <xf numFmtId="164" fontId="0" fillId="0" borderId="31" xfId="21" applyFont="true" applyBorder="true" applyAlignment="true" applyProtection="true">
      <alignment horizontal="center" vertical="bottom" textRotation="0" wrapText="false" indent="0" shrinkToFit="false"/>
      <protection locked="true" hidden="false"/>
    </xf>
    <xf numFmtId="164" fontId="0" fillId="0" borderId="0" xfId="21" applyFont="true" applyBorder="true" applyAlignment="true" applyProtection="true">
      <alignment horizontal="general" vertical="bottom" textRotation="0" wrapText="false" indent="0" shrinkToFit="false"/>
      <protection locked="false" hidden="false"/>
    </xf>
    <xf numFmtId="164" fontId="14" fillId="0" borderId="0" xfId="21" applyFont="true" applyBorder="false" applyAlignment="true" applyProtection="true">
      <alignment horizontal="general" vertical="bottom" textRotation="0" wrapText="false" indent="0" shrinkToFit="false"/>
      <protection locked="true" hidden="false"/>
    </xf>
    <xf numFmtId="165" fontId="4" fillId="0" borderId="0" xfId="21" applyFont="true" applyBorder="false" applyAlignment="true" applyProtection="true">
      <alignment horizontal="center" vertical="bottom" textRotation="0" wrapText="false" indent="0" shrinkToFit="false"/>
      <protection locked="true" hidden="false"/>
    </xf>
    <xf numFmtId="165" fontId="0" fillId="0" borderId="0" xfId="21" applyFont="true" applyBorder="tru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false" applyBorder="true" applyAlignment="true" applyProtection="true">
      <alignment horizontal="general" vertical="center" textRotation="0" wrapText="false" indent="0" shrinkToFit="false"/>
      <protection locked="true" hidden="false"/>
    </xf>
    <xf numFmtId="164" fontId="0" fillId="0" borderId="3" xfId="0" applyFont="false" applyBorder="true" applyAlignment="true" applyProtection="true">
      <alignment horizontal="general" vertical="center"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6" fillId="2"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4" fillId="0" borderId="7"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5" fontId="4" fillId="0" borderId="0" xfId="0" applyFont="true" applyBorder="true" applyAlignment="true" applyProtection="true">
      <alignment horizontal="center" vertical="bottom" textRotation="0" wrapText="false" indent="0" shrinkToFit="false"/>
      <protection locked="true" hidden="true"/>
    </xf>
    <xf numFmtId="165" fontId="4" fillId="0" borderId="0"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5" fontId="4" fillId="3" borderId="5" xfId="0" applyFont="true" applyBorder="true" applyAlignment="true" applyProtection="true">
      <alignment horizontal="center" vertical="bottom" textRotation="0" wrapText="false" indent="0" shrinkToFit="false"/>
      <protection locked="true" hidden="true"/>
    </xf>
    <xf numFmtId="164" fontId="0" fillId="0" borderId="7" xfId="0" applyFont="false" applyBorder="true" applyAlignment="true" applyProtection="true">
      <alignment horizontal="general" vertical="center" textRotation="0" wrapText="false" indent="0" shrinkToFit="false"/>
      <protection locked="true" hidden="false"/>
    </xf>
    <xf numFmtId="165" fontId="4" fillId="3" borderId="5" xfId="0" applyFont="true" applyBorder="true" applyAlignment="true" applyProtection="true">
      <alignment horizontal="center" vertical="center" textRotation="0" wrapText="false" indent="0" shrinkToFit="false"/>
      <protection locked="true" hidden="true"/>
    </xf>
    <xf numFmtId="164" fontId="9" fillId="7" borderId="5"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general" vertical="center" textRotation="0" wrapText="false" indent="0" shrinkToFit="false"/>
      <protection locked="true" hidden="false"/>
    </xf>
    <xf numFmtId="168" fontId="4" fillId="7" borderId="18" xfId="0" applyFont="true" applyBorder="true" applyAlignment="true" applyProtection="true">
      <alignment horizontal="center" vertical="center" textRotation="0" wrapText="false" indent="0" shrinkToFit="false"/>
      <protection locked="true" hidden="false"/>
    </xf>
    <xf numFmtId="165" fontId="4" fillId="3" borderId="17" xfId="20" applyFont="true" applyBorder="true" applyAlignment="true" applyProtection="true">
      <alignment horizontal="center" vertical="center" textRotation="0" wrapText="false" indent="0" shrinkToFit="false"/>
      <protection locked="true" hidden="true"/>
    </xf>
    <xf numFmtId="164" fontId="4" fillId="7" borderId="5"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80" fontId="4" fillId="7" borderId="18" xfId="0" applyFont="true" applyBorder="true" applyAlignment="true" applyProtection="true">
      <alignment horizontal="center" vertical="center" textRotation="0" wrapText="false" indent="0" shrinkToFit="false"/>
      <protection locked="true" hidden="false"/>
    </xf>
    <xf numFmtId="164" fontId="4" fillId="3" borderId="17" xfId="0" applyFont="true" applyBorder="true" applyAlignment="true" applyProtection="true">
      <alignment horizontal="center" vertical="center" textRotation="0" wrapText="false" indent="0" shrinkToFit="false"/>
      <protection locked="true" hidden="true"/>
    </xf>
    <xf numFmtId="164" fontId="4" fillId="7" borderId="5" xfId="0" applyFont="true" applyBorder="true" applyAlignment="true" applyProtection="true">
      <alignment horizontal="center" vertical="center" textRotation="0" wrapText="false" indent="0" shrinkToFit="false"/>
      <protection locked="false" hidden="false"/>
    </xf>
    <xf numFmtId="181" fontId="4" fillId="7" borderId="5" xfId="0" applyFont="true" applyBorder="true" applyAlignment="true" applyProtection="true">
      <alignment horizontal="center" vertical="center" textRotation="0" wrapText="false" indent="0" shrinkToFit="false"/>
      <protection locked="false" hidden="false"/>
    </xf>
    <xf numFmtId="182" fontId="4" fillId="7" borderId="5" xfId="0" applyFont="true" applyBorder="true" applyAlignment="true" applyProtection="true">
      <alignment horizontal="center" vertical="center" textRotation="0" wrapText="false" indent="0" shrinkToFit="false"/>
      <protection locked="false" hidden="false"/>
    </xf>
    <xf numFmtId="164" fontId="8" fillId="0" borderId="0" xfId="0" applyFont="true" applyBorder="true" applyAlignment="true" applyProtection="true">
      <alignment horizontal="general" vertical="center" textRotation="0" wrapText="false" indent="0" shrinkToFit="false"/>
      <protection locked="true" hidden="false"/>
    </xf>
    <xf numFmtId="165" fontId="4" fillId="3" borderId="18" xfId="0" applyFont="true" applyBorder="true" applyAlignment="true" applyProtection="true">
      <alignment horizontal="center" vertical="bottom" textRotation="0" wrapText="false" indent="0" shrinkToFit="false"/>
      <protection locked="true" hidden="true"/>
    </xf>
    <xf numFmtId="172" fontId="0" fillId="0" borderId="0" xfId="0" applyFont="true" applyBorder="true" applyAlignment="true" applyProtection="true">
      <alignment horizontal="center" vertical="center" textRotation="0" wrapText="false" indent="0" shrinkToFit="false"/>
      <protection locked="true" hidden="false"/>
    </xf>
    <xf numFmtId="165" fontId="4" fillId="5" borderId="18" xfId="0" applyFont="true" applyBorder="true" applyAlignment="true" applyProtection="true">
      <alignment horizontal="center" vertical="center" textRotation="0" wrapText="false" indent="0" shrinkToFit="false"/>
      <protection locked="true" hidden="true"/>
    </xf>
    <xf numFmtId="164" fontId="33" fillId="5" borderId="18" xfId="0" applyFont="true" applyBorder="true" applyAlignment="true" applyProtection="true">
      <alignment horizontal="center" vertical="center" textRotation="0" wrapText="false" indent="0" shrinkToFit="false"/>
      <protection locked="true" hidden="true"/>
    </xf>
    <xf numFmtId="180" fontId="4" fillId="5" borderId="19" xfId="0" applyFont="true" applyBorder="true" applyAlignment="true" applyProtection="true">
      <alignment horizontal="center" vertical="center" textRotation="0" wrapText="false" indent="0" shrinkToFit="false"/>
      <protection locked="true" hidden="false"/>
    </xf>
    <xf numFmtId="165" fontId="34" fillId="3" borderId="5" xfId="0" applyFont="true" applyBorder="true" applyAlignment="true" applyProtection="true">
      <alignment horizontal="center" vertical="bottom" textRotation="0" wrapText="false" indent="0" shrinkToFit="false"/>
      <protection locked="true" hidden="true"/>
    </xf>
    <xf numFmtId="164" fontId="12" fillId="4" borderId="6" xfId="0" applyFont="true" applyBorder="true" applyAlignment="true" applyProtection="true">
      <alignment horizontal="center" vertical="bottom" textRotation="0" wrapText="false" indent="0" shrinkToFit="false"/>
      <protection locked="false" hidden="false"/>
    </xf>
    <xf numFmtId="165" fontId="35" fillId="5" borderId="5" xfId="0" applyFont="true" applyBorder="true" applyAlignment="true" applyProtection="true">
      <alignment horizontal="center" vertical="center" textRotation="0" wrapText="false" indent="0" shrinkToFit="false"/>
      <protection locked="true" hidden="true"/>
    </xf>
    <xf numFmtId="179" fontId="0" fillId="6" borderId="5" xfId="0" applyFont="false" applyBorder="true" applyAlignment="true" applyProtection="true">
      <alignment horizontal="center" vertical="center" textRotation="0" wrapText="false" indent="0" shrinkToFit="false"/>
      <protection locked="true" hidden="false"/>
    </xf>
    <xf numFmtId="183" fontId="4" fillId="6" borderId="5" xfId="0" applyFont="true" applyBorder="true" applyAlignment="true" applyProtection="true">
      <alignment horizontal="center" vertical="center" textRotation="0" wrapText="false" indent="0" shrinkToFit="false"/>
      <protection locked="true" hidden="false"/>
    </xf>
    <xf numFmtId="170" fontId="0" fillId="6" borderId="5" xfId="0" applyFont="false" applyBorder="true" applyAlignment="true" applyProtection="true">
      <alignment horizontal="center" vertical="center" textRotation="0" wrapText="false" indent="0" shrinkToFit="false"/>
      <protection locked="true" hidden="false"/>
    </xf>
    <xf numFmtId="164" fontId="0" fillId="6" borderId="5" xfId="0" applyFont="false" applyBorder="true" applyAlignment="true" applyProtection="true">
      <alignment horizontal="general" vertical="center" textRotation="0" wrapText="false" indent="0" shrinkToFit="false"/>
      <protection locked="true" hidden="false"/>
    </xf>
    <xf numFmtId="165" fontId="4" fillId="3" borderId="24" xfId="0" applyFont="true" applyBorder="true" applyAlignment="true" applyProtection="true">
      <alignment horizontal="center" vertical="center" textRotation="0" wrapText="false" indent="0" shrinkToFit="false"/>
      <protection locked="true" hidden="true"/>
    </xf>
    <xf numFmtId="168" fontId="4" fillId="4" borderId="18" xfId="0" applyFont="true" applyBorder="true" applyAlignment="true" applyProtection="true">
      <alignment horizontal="center" vertical="center" textRotation="0" wrapText="false" indent="0" shrinkToFit="false"/>
      <protection locked="false" hidden="false"/>
    </xf>
    <xf numFmtId="184" fontId="4" fillId="6" borderId="5" xfId="0" applyFont="true" applyBorder="true" applyAlignment="true" applyProtection="true">
      <alignment horizontal="center" vertical="center" textRotation="0" wrapText="false" indent="0" shrinkToFit="false"/>
      <protection locked="true" hidden="false"/>
    </xf>
    <xf numFmtId="185" fontId="4" fillId="6" borderId="5" xfId="0" applyFont="true" applyBorder="true" applyAlignment="true" applyProtection="true">
      <alignment horizontal="center" vertical="center" textRotation="0" wrapText="false" indent="0" shrinkToFit="false"/>
      <protection locked="true" hidden="false"/>
    </xf>
    <xf numFmtId="165" fontId="4" fillId="3" borderId="5" xfId="0" applyFont="true" applyBorder="true" applyAlignment="true" applyProtection="true">
      <alignment horizontal="center" vertical="center" textRotation="0" wrapText="false" indent="0" shrinkToFit="false"/>
      <protection locked="true" hidden="false"/>
    </xf>
    <xf numFmtId="186" fontId="4" fillId="4" borderId="5" xfId="0" applyFont="true" applyBorder="true" applyAlignment="true" applyProtection="true">
      <alignment horizontal="center" vertical="center" textRotation="0" wrapText="false" indent="0" shrinkToFit="false"/>
      <protection locked="true" hidden="false"/>
    </xf>
    <xf numFmtId="164" fontId="0" fillId="4" borderId="5" xfId="0" applyFont="false" applyBorder="true" applyAlignment="true" applyProtection="true">
      <alignment horizontal="general" vertical="center" textRotation="0" wrapText="false" indent="0" shrinkToFit="false"/>
      <protection locked="true" hidden="false"/>
    </xf>
    <xf numFmtId="165" fontId="36" fillId="5" borderId="32" xfId="0" applyFont="true" applyBorder="true" applyAlignment="true" applyProtection="true">
      <alignment horizontal="center" vertical="center" textRotation="0" wrapText="false" indent="0" shrinkToFit="false"/>
      <protection locked="true" hidden="true"/>
    </xf>
    <xf numFmtId="186" fontId="0" fillId="6" borderId="32" xfId="0" applyFont="true" applyBorder="true" applyAlignment="true" applyProtection="true">
      <alignment horizontal="center" vertical="center" textRotation="0" wrapText="false" indent="0" shrinkToFit="false"/>
      <protection locked="true" hidden="false"/>
    </xf>
    <xf numFmtId="178" fontId="4" fillId="6" borderId="32" xfId="0" applyFont="true" applyBorder="true" applyAlignment="true" applyProtection="true">
      <alignment horizontal="center" vertical="center" textRotation="0" wrapText="false" indent="0" shrinkToFit="false"/>
      <protection locked="true" hidden="false"/>
    </xf>
    <xf numFmtId="178" fontId="0" fillId="6" borderId="32" xfId="0" applyFont="true" applyBorder="true" applyAlignment="true" applyProtection="true">
      <alignment horizontal="center" vertical="center" textRotation="0" wrapText="false" indent="0" shrinkToFit="false"/>
      <protection locked="true" hidden="false"/>
    </xf>
    <xf numFmtId="184" fontId="4" fillId="6" borderId="32" xfId="0" applyFont="true" applyBorder="true" applyAlignment="true" applyProtection="true">
      <alignment horizontal="center" vertical="center" textRotation="0" wrapText="false" indent="0" shrinkToFit="false"/>
      <protection locked="true" hidden="false"/>
    </xf>
    <xf numFmtId="170" fontId="0" fillId="6" borderId="32" xfId="0" applyFont="false" applyBorder="true" applyAlignment="true" applyProtection="true">
      <alignment horizontal="center" vertical="center" textRotation="0" wrapText="false" indent="0" shrinkToFit="false"/>
      <protection locked="true" hidden="false"/>
    </xf>
    <xf numFmtId="187" fontId="4" fillId="6" borderId="5" xfId="0" applyFont="true" applyBorder="true" applyAlignment="true" applyProtection="true">
      <alignment horizontal="center" vertical="center" textRotation="0" wrapText="false" indent="0" shrinkToFit="false"/>
      <protection locked="true" hidden="false"/>
    </xf>
    <xf numFmtId="165" fontId="4" fillId="3" borderId="29" xfId="0" applyFont="true" applyBorder="true" applyAlignment="true" applyProtection="true">
      <alignment horizontal="center" vertical="center" textRotation="0" wrapText="false" indent="0" shrinkToFit="false"/>
      <protection locked="true" hidden="true"/>
    </xf>
    <xf numFmtId="188" fontId="4" fillId="4" borderId="9" xfId="0" applyFont="true" applyBorder="true" applyAlignment="true" applyProtection="true">
      <alignment horizontal="center" vertical="center" textRotation="0" wrapText="false" indent="0" shrinkToFit="false"/>
      <protection locked="false" hidden="false"/>
    </xf>
    <xf numFmtId="186" fontId="4" fillId="6" borderId="5" xfId="0" applyFont="true" applyBorder="true" applyAlignment="true" applyProtection="true">
      <alignment horizontal="center" vertical="center" textRotation="0" wrapText="false" indent="0" shrinkToFit="false"/>
      <protection locked="true" hidden="false"/>
    </xf>
    <xf numFmtId="178" fontId="4" fillId="6" borderId="5" xfId="0" applyFont="true" applyBorder="true" applyAlignment="true" applyProtection="true">
      <alignment horizontal="center" vertical="center" textRotation="0" wrapText="false" indent="0" shrinkToFit="false"/>
      <protection locked="true" hidden="false"/>
    </xf>
    <xf numFmtId="178" fontId="0" fillId="6" borderId="5" xfId="0" applyFont="true" applyBorder="true" applyAlignment="true" applyProtection="true">
      <alignment horizontal="center" vertical="center" textRotation="0" wrapText="false" indent="0" shrinkToFit="false"/>
      <protection locked="true" hidden="false"/>
    </xf>
    <xf numFmtId="184" fontId="0" fillId="6" borderId="5" xfId="0" applyFont="true" applyBorder="true" applyAlignment="true" applyProtection="true">
      <alignment horizontal="center" vertical="center" textRotation="0" wrapText="false" indent="0" shrinkToFit="false"/>
      <protection locked="true" hidden="false"/>
    </xf>
    <xf numFmtId="170" fontId="0" fillId="6" borderId="5" xfId="0" applyFont="true" applyBorder="true" applyAlignment="true" applyProtection="true">
      <alignment horizontal="center" vertical="center" textRotation="0" wrapText="false" indent="0" shrinkToFit="false"/>
      <protection locked="true" hidden="false"/>
    </xf>
    <xf numFmtId="189" fontId="4" fillId="4" borderId="5" xfId="0" applyFont="true" applyBorder="true" applyAlignment="true" applyProtection="true">
      <alignment horizontal="center" vertical="center" textRotation="0" wrapText="false" indent="0" shrinkToFit="false"/>
      <protection locked="false" hidden="false"/>
    </xf>
    <xf numFmtId="190" fontId="4" fillId="4" borderId="5" xfId="0" applyFont="true" applyBorder="true" applyAlignment="true" applyProtection="true">
      <alignment horizontal="center" vertical="center" textRotation="0" wrapText="false" indent="0" shrinkToFit="false"/>
      <protection locked="false" hidden="false"/>
    </xf>
    <xf numFmtId="165" fontId="37" fillId="5" borderId="32" xfId="0" applyFont="true" applyBorder="true" applyAlignment="true" applyProtection="true">
      <alignment horizontal="center" vertical="center" textRotation="0" wrapText="false" indent="0" shrinkToFit="false"/>
      <protection locked="true" hidden="true"/>
    </xf>
    <xf numFmtId="178" fontId="0" fillId="6" borderId="18"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5" fontId="12" fillId="5" borderId="5" xfId="0" applyFont="true" applyBorder="true" applyAlignment="true" applyProtection="true">
      <alignment horizontal="center" vertical="center" textRotation="0" wrapText="false" indent="0" shrinkToFit="false"/>
      <protection locked="true" hidden="true"/>
    </xf>
    <xf numFmtId="186" fontId="0" fillId="6" borderId="5" xfId="0" applyFont="true" applyBorder="true" applyAlignment="true" applyProtection="true">
      <alignment horizontal="center" vertical="center" textRotation="0" wrapText="false" indent="0" shrinkToFit="false"/>
      <protection locked="true" hidden="false"/>
    </xf>
    <xf numFmtId="164" fontId="0" fillId="6" borderId="17" xfId="0" applyFont="true" applyBorder="true" applyAlignment="true" applyProtection="true">
      <alignment horizontal="center" vertical="center" textRotation="0" wrapText="false" indent="0" shrinkToFit="false"/>
      <protection locked="true" hidden="false"/>
    </xf>
    <xf numFmtId="183" fontId="0" fillId="6" borderId="19" xfId="0" applyFont="true" applyBorder="true" applyAlignment="true" applyProtection="true">
      <alignment horizontal="center" vertical="center" textRotation="0" wrapText="false" indent="0" shrinkToFit="false"/>
      <protection locked="true" hidden="false"/>
    </xf>
    <xf numFmtId="191" fontId="0" fillId="6" borderId="5" xfId="0" applyFont="false" applyBorder="true" applyAlignment="true" applyProtection="true">
      <alignment horizontal="center" vertical="center" textRotation="0" wrapText="false" indent="0" shrinkToFit="false"/>
      <protection locked="true" hidden="false"/>
    </xf>
    <xf numFmtId="192" fontId="4" fillId="7" borderId="5" xfId="0" applyFont="true" applyBorder="true" applyAlignment="true" applyProtection="true">
      <alignment horizontal="center" vertical="center" textRotation="0" wrapText="false" indent="0" shrinkToFit="false"/>
      <protection locked="false" hidden="false"/>
    </xf>
    <xf numFmtId="164" fontId="4" fillId="0" borderId="0" xfId="0" applyFont="true" applyBorder="true" applyAlignment="true" applyProtection="true">
      <alignment horizontal="center" vertical="center" textRotation="0" wrapText="false" indent="0" shrinkToFit="false"/>
      <protection locked="true" hidden="true"/>
    </xf>
    <xf numFmtId="186" fontId="4" fillId="0" borderId="0" xfId="0" applyFont="true" applyBorder="true" applyAlignment="true" applyProtection="true">
      <alignment horizontal="center" vertical="center" textRotation="0" wrapText="false" indent="0" shrinkToFit="false"/>
      <protection locked="true" hidden="false"/>
    </xf>
    <xf numFmtId="180" fontId="4" fillId="0" borderId="0" xfId="0" applyFont="true" applyBorder="true" applyAlignment="true" applyProtection="true">
      <alignment horizontal="right" vertical="center" textRotation="0" wrapText="false" indent="0" shrinkToFit="false"/>
      <protection locked="true" hidden="false"/>
    </xf>
    <xf numFmtId="165" fontId="4" fillId="5" borderId="17" xfId="0" applyFont="true" applyBorder="true" applyAlignment="true" applyProtection="true">
      <alignment horizontal="center" vertical="center" textRotation="0" wrapText="false" indent="0" shrinkToFit="false"/>
      <protection locked="true" hidden="true"/>
    </xf>
    <xf numFmtId="193" fontId="4" fillId="6" borderId="5" xfId="0" applyFont="true" applyBorder="true" applyAlignment="true" applyProtection="true">
      <alignment horizontal="center" vertical="center" textRotation="0" wrapText="false" indent="0" shrinkToFit="false"/>
      <protection locked="true" hidden="false"/>
    </xf>
    <xf numFmtId="180" fontId="38" fillId="0" borderId="0" xfId="0" applyFont="true" applyBorder="true" applyAlignment="true" applyProtection="true">
      <alignment horizontal="general" vertical="center" textRotation="0" wrapText="false" indent="0" shrinkToFit="false"/>
      <protection locked="true" hidden="false"/>
    </xf>
    <xf numFmtId="180" fontId="0" fillId="0" borderId="7" xfId="0" applyFont="false" applyBorder="true" applyAlignment="true" applyProtection="true">
      <alignment horizontal="right" vertical="center" textRotation="0" wrapText="false" indent="0" shrinkToFit="false"/>
      <protection locked="true" hidden="false"/>
    </xf>
    <xf numFmtId="164" fontId="4" fillId="4" borderId="5" xfId="21" applyFont="true" applyBorder="true" applyAlignment="true" applyProtection="true">
      <alignment horizontal="center" vertical="center" textRotation="0" wrapText="false" indent="0" shrinkToFit="false"/>
      <protection locked="false" hidden="false"/>
    </xf>
    <xf numFmtId="164" fontId="16" fillId="0" borderId="7" xfId="0" applyFont="true" applyBorder="true" applyAlignment="true" applyProtection="true">
      <alignment horizontal="right" vertical="center"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94" fontId="4" fillId="6" borderId="5" xfId="0" applyFont="true" applyBorder="true" applyAlignment="true" applyProtection="true">
      <alignment horizontal="center" vertical="center" textRotation="0" wrapText="false" indent="0" shrinkToFit="false"/>
      <protection locked="true" hidden="false"/>
    </xf>
    <xf numFmtId="165" fontId="16" fillId="0" borderId="7"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1" fillId="0" borderId="7" xfId="0" applyFont="true" applyBorder="true" applyAlignment="true" applyProtection="true">
      <alignment horizontal="right" vertical="center" textRotation="0" wrapText="false" indent="0" shrinkToFit="false"/>
      <protection locked="true" hidden="false"/>
    </xf>
    <xf numFmtId="164" fontId="0" fillId="0" borderId="21" xfId="0" applyFont="false" applyBorder="true" applyAlignment="true" applyProtection="true">
      <alignment horizontal="general" vertical="center" textRotation="0" wrapText="false" indent="0" shrinkToFit="false"/>
      <protection locked="true" hidden="false"/>
    </xf>
    <xf numFmtId="165" fontId="0" fillId="0" borderId="22" xfId="0" applyFont="true" applyBorder="true" applyAlignment="true" applyProtection="true">
      <alignment horizontal="general" vertical="center" textRotation="0" wrapText="false" indent="0" shrinkToFit="false"/>
      <protection locked="true" hidden="false"/>
    </xf>
    <xf numFmtId="164" fontId="0" fillId="0" borderId="22" xfId="0" applyFont="false" applyBorder="true" applyAlignment="true" applyProtection="true">
      <alignment horizontal="general" vertical="center" textRotation="0" wrapText="false" indent="0" shrinkToFit="false"/>
      <protection locked="false" hidden="false"/>
    </xf>
    <xf numFmtId="164" fontId="11" fillId="0" borderId="23" xfId="0" applyFont="true" applyBorder="true" applyAlignment="true" applyProtection="true">
      <alignment horizontal="right" vertical="center" textRotation="0" wrapText="false" indent="0" shrinkToFit="false"/>
      <protection locked="true" hidden="false"/>
    </xf>
    <xf numFmtId="165" fontId="0" fillId="0" borderId="18" xfId="0" applyFont="false" applyBorder="true" applyAlignment="true" applyProtection="true">
      <alignment horizontal="center" vertical="center" textRotation="0" wrapText="false" indent="0" shrinkToFit="false"/>
      <protection locked="true" hidden="false"/>
    </xf>
    <xf numFmtId="165" fontId="4" fillId="5" borderId="19" xfId="0" applyFont="true" applyBorder="true" applyAlignment="true" applyProtection="true">
      <alignment horizontal="center" vertical="center" textRotation="0" wrapText="false" indent="0" shrinkToFit="false"/>
      <protection locked="true" hidden="true"/>
    </xf>
    <xf numFmtId="164" fontId="4" fillId="5" borderId="5" xfId="0" applyFont="true" applyBorder="true" applyAlignment="true" applyProtection="true">
      <alignment horizontal="center" vertical="center" textRotation="0" wrapText="false" indent="0" shrinkToFit="false"/>
      <protection locked="true" hidden="true"/>
    </xf>
    <xf numFmtId="164" fontId="33" fillId="5" borderId="5" xfId="0" applyFont="true" applyBorder="true" applyAlignment="true" applyProtection="true">
      <alignment horizontal="center" vertical="center" textRotation="0" wrapText="false" indent="0" shrinkToFit="false"/>
      <protection locked="true" hidden="true"/>
    </xf>
    <xf numFmtId="164" fontId="0" fillId="0" borderId="27" xfId="0" applyFont="false" applyBorder="true" applyAlignment="true" applyProtection="true">
      <alignment horizontal="general" vertical="center" textRotation="0" wrapText="false" indent="0" shrinkToFit="false"/>
      <protection locked="true" hidden="false"/>
    </xf>
    <xf numFmtId="164" fontId="0" fillId="0" borderId="28" xfId="0" applyFont="false" applyBorder="true" applyAlignment="true" applyProtection="true">
      <alignment horizontal="general" vertical="center" textRotation="0" wrapText="false" indent="0" shrinkToFit="false"/>
      <protection locked="true" hidden="false"/>
    </xf>
    <xf numFmtId="164" fontId="4" fillId="0" borderId="29" xfId="0" applyFont="true" applyBorder="true" applyAlignment="true" applyProtection="true">
      <alignment horizontal="general" vertical="center" textRotation="0" wrapText="false" indent="0" shrinkToFit="false"/>
      <protection locked="true" hidden="false"/>
    </xf>
    <xf numFmtId="172" fontId="0" fillId="0" borderId="31" xfId="0" applyFont="true" applyBorder="true" applyAlignment="true" applyProtection="true">
      <alignment horizontal="center" vertical="center" textRotation="0" wrapText="false" indent="0" shrinkToFit="false"/>
      <protection locked="true" hidden="false"/>
    </xf>
    <xf numFmtId="164" fontId="0" fillId="5" borderId="19" xfId="0" applyFont="true" applyBorder="true" applyAlignment="true" applyProtection="true">
      <alignment horizontal="center" vertical="center" textRotation="0" wrapText="false" indent="0" shrinkToFit="false"/>
      <protection locked="true" hidden="true"/>
    </xf>
    <xf numFmtId="164" fontId="0" fillId="5" borderId="5" xfId="0" applyFont="true" applyBorder="true" applyAlignment="true" applyProtection="true">
      <alignment horizontal="center" vertical="center" textRotation="0" wrapText="false" indent="0" shrinkToFit="false"/>
      <protection locked="true" hidden="true"/>
    </xf>
    <xf numFmtId="165" fontId="4" fillId="5" borderId="9" xfId="0" applyFont="true" applyBorder="true" applyAlignment="true" applyProtection="true">
      <alignment horizontal="center" vertical="center" textRotation="0" wrapText="false" indent="0" shrinkToFit="false"/>
      <protection locked="true" hidden="true"/>
    </xf>
    <xf numFmtId="164" fontId="0" fillId="7" borderId="5" xfId="0" applyFont="true" applyBorder="true" applyAlignment="true" applyProtection="true">
      <alignment horizontal="center" vertical="center" textRotation="0" wrapText="false" indent="0" shrinkToFit="false"/>
      <protection locked="false" hidden="false"/>
    </xf>
    <xf numFmtId="164" fontId="0" fillId="6" borderId="5" xfId="0" applyFont="true" applyBorder="true" applyAlignment="true" applyProtection="true">
      <alignment horizontal="center" vertical="center" textRotation="0" wrapText="false" indent="0" shrinkToFit="false"/>
      <protection locked="true" hidden="false"/>
    </xf>
    <xf numFmtId="165" fontId="4" fillId="6" borderId="5" xfId="0" applyFont="true" applyBorder="true" applyAlignment="true" applyProtection="true">
      <alignment horizontal="center" vertical="center" textRotation="0" wrapText="false" indent="0" shrinkToFit="false"/>
      <protection locked="true" hidden="false"/>
    </xf>
    <xf numFmtId="165" fontId="4" fillId="3" borderId="18" xfId="0" applyFont="true" applyBorder="true" applyAlignment="true" applyProtection="true">
      <alignment horizontal="center" vertical="center" textRotation="0" wrapText="false" indent="0" shrinkToFit="false"/>
      <protection locked="true" hidden="true"/>
    </xf>
    <xf numFmtId="173" fontId="4" fillId="6" borderId="5" xfId="0" applyFont="true" applyBorder="true" applyAlignment="true" applyProtection="true">
      <alignment horizontal="center" vertical="center" textRotation="0" wrapText="false" indent="0" shrinkToFit="false"/>
      <protection locked="true" hidden="false"/>
    </xf>
    <xf numFmtId="170" fontId="4" fillId="6" borderId="5" xfId="0" applyFont="true" applyBorder="true" applyAlignment="true" applyProtection="true">
      <alignment horizontal="center" vertical="center" textRotation="0" wrapText="false" indent="0" shrinkToFit="false"/>
      <protection locked="true" hidden="false"/>
    </xf>
    <xf numFmtId="169" fontId="4" fillId="4" borderId="9" xfId="0" applyFont="true" applyBorder="true" applyAlignment="true" applyProtection="true">
      <alignment horizontal="center" vertical="center" textRotation="0" wrapText="false" indent="0" shrinkToFit="false"/>
      <protection locked="false" hidden="false"/>
    </xf>
    <xf numFmtId="173" fontId="0" fillId="6" borderId="5" xfId="0" applyFont="false" applyBorder="true" applyAlignment="true" applyProtection="true">
      <alignment horizontal="center" vertical="center" textRotation="0" wrapText="false" indent="0" shrinkToFit="false"/>
      <protection locked="true" hidden="false"/>
    </xf>
    <xf numFmtId="173" fontId="0" fillId="6" borderId="5" xfId="0" applyFont="true" applyBorder="true" applyAlignment="true" applyProtection="true">
      <alignment horizontal="center" vertical="center" textRotation="0" wrapText="false" indent="0" shrinkToFit="false"/>
      <protection locked="true" hidden="false"/>
    </xf>
    <xf numFmtId="169" fontId="4" fillId="4" borderId="20" xfId="0" applyFont="true" applyBorder="true" applyAlignment="true" applyProtection="true">
      <alignment horizontal="center" vertical="center" textRotation="0" wrapText="false" indent="0" shrinkToFit="false"/>
      <protection locked="false" hidden="false"/>
    </xf>
    <xf numFmtId="170" fontId="0" fillId="6" borderId="32" xfId="0" applyFont="true" applyBorder="true" applyAlignment="true" applyProtection="true">
      <alignment horizontal="center" vertical="center" textRotation="0" wrapText="false" indent="0" shrinkToFit="false"/>
      <protection locked="true" hidden="false"/>
    </xf>
    <xf numFmtId="173" fontId="4" fillId="6" borderId="32" xfId="0" applyFont="true" applyBorder="true" applyAlignment="true" applyProtection="true">
      <alignment horizontal="center" vertical="center" textRotation="0" wrapText="false" indent="0" shrinkToFit="false"/>
      <protection locked="true" hidden="false"/>
    </xf>
    <xf numFmtId="189" fontId="4" fillId="6" borderId="9" xfId="0" applyFont="true" applyBorder="true" applyAlignment="true" applyProtection="true">
      <alignment horizontal="center" vertical="center" textRotation="0" wrapText="false" indent="0" shrinkToFit="false"/>
      <protection locked="true" hidden="false"/>
    </xf>
    <xf numFmtId="165" fontId="37" fillId="5" borderId="33" xfId="0" applyFont="true" applyBorder="true" applyAlignment="true" applyProtection="true">
      <alignment horizontal="center" vertical="center" textRotation="0" wrapText="false" indent="0" shrinkToFit="false"/>
      <protection locked="true" hidden="true"/>
    </xf>
    <xf numFmtId="173" fontId="4" fillId="6" borderId="33" xfId="0" applyFont="true" applyBorder="true" applyAlignment="true" applyProtection="true">
      <alignment horizontal="center" vertical="center" textRotation="0" wrapText="false" indent="0" shrinkToFit="false"/>
      <protection locked="true" hidden="false"/>
    </xf>
    <xf numFmtId="164" fontId="0" fillId="6" borderId="33" xfId="0" applyFont="true" applyBorder="true" applyAlignment="true" applyProtection="true">
      <alignment horizontal="center" vertical="center" textRotation="0" wrapText="false" indent="0" shrinkToFit="false"/>
      <protection locked="true" hidden="false"/>
    </xf>
    <xf numFmtId="173" fontId="0" fillId="6" borderId="33" xfId="0" applyFont="true" applyBorder="true" applyAlignment="true" applyProtection="true">
      <alignment horizontal="center" vertical="center" textRotation="0" wrapText="false" indent="0" shrinkToFit="false"/>
      <protection locked="true" hidden="false"/>
    </xf>
    <xf numFmtId="173" fontId="0" fillId="6" borderId="33" xfId="0" applyFont="false" applyBorder="true" applyAlignment="true" applyProtection="true">
      <alignment horizontal="center" vertical="center" textRotation="0" wrapText="false" indent="0" shrinkToFit="false"/>
      <protection locked="true" hidden="false"/>
    </xf>
    <xf numFmtId="170" fontId="0" fillId="6" borderId="33" xfId="0" applyFont="false" applyBorder="true" applyAlignment="true" applyProtection="true">
      <alignment horizontal="center" vertical="center" textRotation="0" wrapText="false" indent="0" shrinkToFit="false"/>
      <protection locked="true" hidden="false"/>
    </xf>
    <xf numFmtId="173" fontId="0" fillId="6" borderId="32" xfId="0" applyFont="true" applyBorder="true" applyAlignment="true" applyProtection="true">
      <alignment horizontal="center" vertical="center" textRotation="0" wrapText="false" indent="0" shrinkToFit="false"/>
      <protection locked="true" hidden="false"/>
    </xf>
    <xf numFmtId="165" fontId="36" fillId="5" borderId="33" xfId="0" applyFont="true" applyBorder="true" applyAlignment="true" applyProtection="true">
      <alignment horizontal="center" vertical="center" textRotation="0" wrapText="false" indent="0" shrinkToFit="false"/>
      <protection locked="true" hidden="true"/>
    </xf>
    <xf numFmtId="170" fontId="4" fillId="6" borderId="33" xfId="0" applyFont="true" applyBorder="true" applyAlignment="true" applyProtection="true">
      <alignment horizontal="center" vertical="center" textRotation="0" wrapText="false" indent="0" shrinkToFit="false"/>
      <protection locked="true" hidden="false"/>
    </xf>
    <xf numFmtId="164" fontId="0" fillId="0" borderId="29" xfId="0" applyFont="false" applyBorder="true" applyAlignment="true" applyProtection="true">
      <alignment horizontal="general" vertical="center" textRotation="0" wrapText="false" indent="0" shrinkToFit="false"/>
      <protection locked="true" hidden="false"/>
    </xf>
    <xf numFmtId="164" fontId="0" fillId="0" borderId="30" xfId="0" applyFont="false" applyBorder="true" applyAlignment="true" applyProtection="true">
      <alignment horizontal="general" vertical="center" textRotation="0" wrapText="false" indent="0" shrinkToFit="false"/>
      <protection locked="true" hidden="false"/>
    </xf>
    <xf numFmtId="164" fontId="0" fillId="0" borderId="31" xfId="0" applyFont="fals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right" vertical="center" textRotation="0" wrapText="false" indent="0" shrinkToFit="false"/>
      <protection locked="true" hidden="false"/>
    </xf>
    <xf numFmtId="186"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88" fontId="0" fillId="0" borderId="0" xfId="0" applyFont="false" applyBorder="false" applyAlignment="true" applyProtection="true">
      <alignment horizontal="right" vertical="center" textRotation="0" wrapText="false" indent="0" shrinkToFit="false"/>
      <protection locked="true" hidden="false"/>
    </xf>
    <xf numFmtId="164" fontId="0" fillId="0" borderId="26" xfId="0" applyFont="true" applyBorder="true" applyAlignment="true" applyProtection="true">
      <alignment horizontal="center" vertical="center" textRotation="0" wrapText="false" indent="0" shrinkToFit="false"/>
      <protection locked="true" hidden="false"/>
    </xf>
    <xf numFmtId="173" fontId="0" fillId="0" borderId="31" xfId="0" applyFont="true" applyBorder="true" applyAlignment="true" applyProtection="true">
      <alignment horizontal="center" vertical="center" textRotation="0" wrapText="false" indent="0" shrinkToFit="false"/>
      <protection locked="true" hidden="false"/>
    </xf>
    <xf numFmtId="164" fontId="0" fillId="0" borderId="24" xfId="0" applyFont="true" applyBorder="true" applyAlignment="true" applyProtection="true">
      <alignment horizontal="center" vertical="center" textRotation="0" wrapText="false" indent="0" shrinkToFit="false"/>
      <protection locked="true" hidden="false"/>
    </xf>
    <xf numFmtId="173" fontId="0" fillId="0" borderId="29" xfId="0" applyFont="true" applyBorder="true" applyAlignment="true" applyProtection="true">
      <alignment horizontal="center" vertical="center" textRotation="0" wrapText="false" indent="0" shrinkToFit="false"/>
      <protection locked="true" hidden="false"/>
    </xf>
    <xf numFmtId="173" fontId="0" fillId="0" borderId="28" xfId="0" applyFont="true" applyBorder="true" applyAlignment="true" applyProtection="true">
      <alignment horizontal="center" vertical="center" textRotation="0" wrapText="false" indent="0" shrinkToFit="false"/>
      <protection locked="true" hidden="false"/>
    </xf>
    <xf numFmtId="173" fontId="0" fillId="0" borderId="27" xfId="0" applyFont="true" applyBorder="true" applyAlignment="true" applyProtection="true">
      <alignment horizontal="center" vertical="center" textRotation="0" wrapText="false" indent="0" shrinkToFit="false"/>
      <protection locked="true" hidden="false"/>
    </xf>
    <xf numFmtId="164" fontId="0" fillId="0" borderId="31" xfId="0" applyFont="true" applyBorder="true" applyAlignment="true" applyProtection="true">
      <alignment horizontal="center" vertical="center" textRotation="0" wrapText="false" indent="0" shrinkToFit="false"/>
      <protection locked="true" hidden="false"/>
    </xf>
    <xf numFmtId="164" fontId="0" fillId="0" borderId="24" xfId="0" applyFont="false" applyBorder="true" applyAlignment="true" applyProtection="true">
      <alignment horizontal="general" vertical="center" textRotation="0" wrapText="false" indent="0" shrinkToFit="false"/>
      <protection locked="true" hidden="false"/>
    </xf>
    <xf numFmtId="164" fontId="0" fillId="0" borderId="26" xfId="0" applyFont="true" applyBorder="true" applyAlignment="true" applyProtection="true">
      <alignment horizontal="left" vertical="center" textRotation="0" wrapText="false" indent="0" shrinkToFit="false"/>
      <protection locked="true" hidden="false"/>
    </xf>
    <xf numFmtId="164" fontId="0" fillId="0" borderId="28" xfId="0" applyFont="true" applyBorder="true" applyAlignment="true" applyProtection="true">
      <alignment horizontal="left" vertical="center" textRotation="0" wrapText="false" indent="0" shrinkToFit="false"/>
      <protection locked="true" hidden="false"/>
    </xf>
    <xf numFmtId="170" fontId="0" fillId="0" borderId="27" xfId="0" applyFont="true" applyBorder="true" applyAlignment="true" applyProtection="true">
      <alignment horizontal="center" vertical="center" textRotation="0" wrapText="false" indent="0" shrinkToFit="false"/>
      <protection locked="true" hidden="false"/>
    </xf>
    <xf numFmtId="164" fontId="4" fillId="0" borderId="28" xfId="0" applyFont="true" applyBorder="true" applyAlignment="true" applyProtection="true">
      <alignment horizontal="center" vertical="center" textRotation="0" wrapText="false" indent="0" shrinkToFit="false"/>
      <protection locked="true" hidden="false"/>
    </xf>
    <xf numFmtId="164" fontId="0" fillId="0" borderId="27" xfId="0" applyFont="true" applyBorder="true" applyAlignment="true" applyProtection="true">
      <alignment horizontal="right" vertical="center" textRotation="0" wrapText="false" indent="0" shrinkToFit="false"/>
      <protection locked="true" hidden="false"/>
    </xf>
    <xf numFmtId="179" fontId="0" fillId="0" borderId="28" xfId="0" applyFont="false" applyBorder="true" applyAlignment="true" applyProtection="true">
      <alignment horizontal="center" vertical="center" textRotation="0" wrapText="false" indent="0" shrinkToFit="false"/>
      <protection locked="true" hidden="false"/>
    </xf>
    <xf numFmtId="164" fontId="0" fillId="0" borderId="29" xfId="0" applyFont="true" applyBorder="true" applyAlignment="true" applyProtection="true">
      <alignment horizontal="right" vertical="center" textRotation="0" wrapText="false" indent="0" shrinkToFit="false"/>
      <protection locked="true" hidden="false"/>
    </xf>
    <xf numFmtId="179" fontId="0" fillId="0" borderId="31" xfId="0" applyFont="false" applyBorder="true" applyAlignment="true" applyProtection="true">
      <alignment horizontal="center" vertical="center" textRotation="0" wrapText="false" indent="0" shrinkToFit="false"/>
      <protection locked="true" hidden="false"/>
    </xf>
    <xf numFmtId="170" fontId="0" fillId="0" borderId="29" xfId="0" applyFont="true" applyBorder="true" applyAlignment="true" applyProtection="true">
      <alignment horizontal="center" vertical="center" textRotation="0" wrapText="false" indent="0" shrinkToFit="false"/>
      <protection locked="true" hidden="false"/>
    </xf>
    <xf numFmtId="164" fontId="0" fillId="0" borderId="24" xfId="0" applyFont="true" applyBorder="true" applyAlignment="true" applyProtection="true">
      <alignment horizontal="right" vertical="center" textRotation="0" wrapText="false" indent="0" shrinkToFit="false"/>
      <protection locked="true" hidden="false"/>
    </xf>
    <xf numFmtId="179" fontId="0" fillId="0" borderId="26" xfId="0" applyFont="false" applyBorder="true" applyAlignment="true" applyProtection="true">
      <alignment horizontal="center" vertical="center" textRotation="0" wrapText="false" indent="0" shrinkToFit="false"/>
      <protection locked="true" hidden="false"/>
    </xf>
    <xf numFmtId="164" fontId="0" fillId="0" borderId="25" xfId="0" applyFont="true" applyBorder="true" applyAlignment="true" applyProtection="true">
      <alignment horizontal="center" vertical="center" textRotation="0" wrapText="false" indent="0" shrinkToFit="false"/>
      <protection locked="true" hidden="false"/>
    </xf>
    <xf numFmtId="173" fontId="0" fillId="0" borderId="0" xfId="0" applyFont="false" applyBorder="true" applyAlignment="true" applyProtection="true">
      <alignment horizontal="center" vertical="center" textRotation="0" wrapText="false" indent="0" shrinkToFit="false"/>
      <protection locked="true" hidden="false"/>
    </xf>
    <xf numFmtId="173" fontId="0" fillId="0" borderId="28" xfId="0" applyFont="false" applyBorder="true" applyAlignment="true" applyProtection="true">
      <alignment horizontal="center" vertical="center" textRotation="0" wrapText="false" indent="0" shrinkToFit="false"/>
      <protection locked="true" hidden="false"/>
    </xf>
    <xf numFmtId="173" fontId="0" fillId="0" borderId="30" xfId="0" applyFont="true" applyBorder="true" applyAlignment="true" applyProtection="true">
      <alignment horizontal="center" vertical="center" textRotation="0" wrapText="false" indent="0" shrinkToFit="false"/>
      <protection locked="true" hidden="false"/>
    </xf>
    <xf numFmtId="173" fontId="0" fillId="0" borderId="31" xfId="0" applyFont="false" applyBorder="true" applyAlignment="true" applyProtection="true">
      <alignment horizontal="center" vertical="center" textRotation="0" wrapText="false" indent="0" shrinkToFit="false"/>
      <protection locked="true" hidden="false"/>
    </xf>
    <xf numFmtId="165" fontId="0" fillId="0" borderId="27" xfId="0" applyFont="false" applyBorder="true" applyAlignment="true" applyProtection="true">
      <alignment horizontal="center" vertical="center" textRotation="0" wrapText="false" indent="0" shrinkToFit="false"/>
      <protection locked="true" hidden="false"/>
    </xf>
    <xf numFmtId="165" fontId="0" fillId="0" borderId="29" xfId="0" applyFont="false" applyBorder="true" applyAlignment="true" applyProtection="true">
      <alignment horizontal="center" vertical="center" textRotation="0" wrapText="false" indent="0" shrinkToFit="false"/>
      <protection locked="true" hidden="false"/>
    </xf>
    <xf numFmtId="164" fontId="5" fillId="0" borderId="25" xfId="0" applyFont="true" applyBorder="true" applyAlignment="true" applyProtection="true">
      <alignment horizontal="center" vertical="center" textRotation="0" wrapText="false" indent="0" shrinkToFit="false"/>
      <protection locked="true" hidden="false"/>
    </xf>
    <xf numFmtId="164" fontId="5" fillId="0" borderId="26"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30" xfId="0" applyFont="false" applyBorder="true" applyAlignment="true" applyProtection="true">
      <alignment horizontal="center" vertical="center" textRotation="0" wrapText="false" indent="0" shrinkToFit="false"/>
      <protection locked="true" hidden="false"/>
    </xf>
    <xf numFmtId="173" fontId="0" fillId="0" borderId="30" xfId="0" applyFont="false" applyBorder="true" applyAlignment="true" applyProtection="true">
      <alignment horizontal="center" vertical="center" textRotation="0" wrapText="false" indent="0" shrinkToFit="false"/>
      <protection locked="true" hidden="false"/>
    </xf>
    <xf numFmtId="165" fontId="0" fillId="3" borderId="34" xfId="0" applyFont="true" applyBorder="true" applyAlignment="true" applyProtection="true">
      <alignment horizontal="center" vertical="bottom" textRotation="0" wrapText="false" indent="0" shrinkToFit="false"/>
      <protection locked="true" hidden="false"/>
    </xf>
    <xf numFmtId="164" fontId="0" fillId="7" borderId="35" xfId="0" applyFont="false" applyBorder="true" applyAlignment="true" applyProtection="true">
      <alignment horizontal="center" vertical="bottom" textRotation="0" wrapText="false" indent="0" shrinkToFit="false"/>
      <protection locked="true" hidden="false"/>
    </xf>
    <xf numFmtId="164" fontId="0" fillId="3" borderId="36" xfId="0" applyFont="true" applyBorder="true" applyAlignment="true" applyProtection="true">
      <alignment horizontal="center" vertical="bottom" textRotation="0" wrapText="false" indent="0" shrinkToFit="false"/>
      <protection locked="true" hidden="false"/>
    </xf>
    <xf numFmtId="195" fontId="0" fillId="7" borderId="37" xfId="0" applyFont="false" applyBorder="true" applyAlignment="true" applyProtection="true">
      <alignment horizontal="center" vertical="bottom" textRotation="0" wrapText="false" indent="0" shrinkToFit="false"/>
      <protection locked="true" hidden="false"/>
    </xf>
    <xf numFmtId="193" fontId="0" fillId="7" borderId="37" xfId="0" applyFont="false" applyBorder="true" applyAlignment="true" applyProtection="true">
      <alignment horizontal="center" vertical="bottom" textRotation="0" wrapText="false" indent="0" shrinkToFit="false"/>
      <protection locked="true" hidden="false"/>
    </xf>
    <xf numFmtId="168" fontId="0" fillId="7" borderId="37" xfId="0" applyFont="false" applyBorder="true" applyAlignment="true" applyProtection="true">
      <alignment horizontal="center" vertical="bottom" textRotation="0" wrapText="false" indent="0" shrinkToFit="false"/>
      <protection locked="true" hidden="false"/>
    </xf>
    <xf numFmtId="169" fontId="0" fillId="7" borderId="37" xfId="0" applyFont="false" applyBorder="true" applyAlignment="true" applyProtection="true">
      <alignment horizontal="center" vertical="bottom" textRotation="0" wrapText="false" indent="0" shrinkToFit="false"/>
      <protection locked="true" hidden="false"/>
    </xf>
    <xf numFmtId="164" fontId="0" fillId="7" borderId="37" xfId="0" applyFont="false" applyBorder="true" applyAlignment="true" applyProtection="true">
      <alignment horizontal="center" vertical="bottom" textRotation="0" wrapText="false" indent="0" shrinkToFit="false"/>
      <protection locked="true" hidden="false"/>
    </xf>
    <xf numFmtId="164" fontId="0" fillId="3" borderId="38" xfId="0" applyFont="true" applyBorder="true" applyAlignment="true" applyProtection="true">
      <alignment horizontal="center" vertical="bottom" textRotation="0" wrapText="false" indent="0" shrinkToFit="false"/>
      <protection locked="true" hidden="false"/>
    </xf>
    <xf numFmtId="186" fontId="0" fillId="7" borderId="37" xfId="0" applyFont="false" applyBorder="true" applyAlignment="true" applyProtection="true">
      <alignment horizontal="center" vertical="bottom" textRotation="0" wrapText="false" indent="0" shrinkToFit="false"/>
      <protection locked="true" hidden="false"/>
    </xf>
    <xf numFmtId="165" fontId="0" fillId="7" borderId="1" xfId="0" applyFont="false" applyBorder="true" applyAlignment="true" applyProtection="true">
      <alignment horizontal="center" vertical="bottom" textRotation="0" wrapText="false" indent="0" shrinkToFit="false"/>
      <protection locked="true" hidden="false"/>
    </xf>
    <xf numFmtId="165" fontId="0" fillId="7" borderId="2" xfId="0" applyFont="false" applyBorder="true" applyAlignment="true" applyProtection="true">
      <alignment horizontal="center" vertical="bottom" textRotation="0" wrapText="false" indent="0" shrinkToFit="false"/>
      <protection locked="true" hidden="false"/>
    </xf>
    <xf numFmtId="165" fontId="0" fillId="7" borderId="3" xfId="0" applyFont="false" applyBorder="true" applyAlignment="true" applyProtection="true">
      <alignment horizontal="center" vertical="bottom" textRotation="0" wrapText="false" indent="0" shrinkToFit="false"/>
      <protection locked="true" hidden="false"/>
    </xf>
    <xf numFmtId="165" fontId="0" fillId="3" borderId="35" xfId="0" applyFont="true" applyBorder="true" applyAlignment="true" applyProtection="true">
      <alignment horizontal="center" vertical="bottom" textRotation="0" wrapText="false" indent="0" shrinkToFit="false"/>
      <protection locked="true" hidden="false"/>
    </xf>
    <xf numFmtId="165" fontId="0" fillId="7" borderId="21" xfId="0" applyFont="false" applyBorder="true" applyAlignment="true" applyProtection="true">
      <alignment horizontal="center" vertical="bottom" textRotation="0" wrapText="false" indent="0" shrinkToFit="false"/>
      <protection locked="true" hidden="false"/>
    </xf>
    <xf numFmtId="165" fontId="0" fillId="7" borderId="22" xfId="0" applyFont="false" applyBorder="true" applyAlignment="true" applyProtection="true">
      <alignment horizontal="center" vertical="bottom" textRotation="0" wrapText="false" indent="0" shrinkToFit="false"/>
      <protection locked="true" hidden="false"/>
    </xf>
    <xf numFmtId="165" fontId="0" fillId="7" borderId="23"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3" borderId="39" xfId="0" applyFont="true" applyBorder="true" applyAlignment="true" applyProtection="true">
      <alignment horizontal="center" vertical="bottom" textRotation="0" wrapText="false" indent="0" shrinkToFit="false"/>
      <protection locked="true" hidden="false"/>
    </xf>
    <xf numFmtId="165" fontId="0" fillId="7" borderId="39" xfId="0" applyFont="false" applyBorder="true" applyAlignment="true" applyProtection="true">
      <alignment horizontal="center" vertical="bottom" textRotation="0" wrapText="false" indent="0" shrinkToFit="false"/>
      <protection locked="true" hidden="false"/>
    </xf>
    <xf numFmtId="168" fontId="0" fillId="4" borderId="37" xfId="0" applyFont="false" applyBorder="true" applyAlignment="true" applyProtection="true">
      <alignment horizontal="center" vertical="bottom" textRotation="0" wrapText="false" indent="0" shrinkToFit="false"/>
      <protection locked="true" hidden="false"/>
    </xf>
    <xf numFmtId="169" fontId="0" fillId="4" borderId="37" xfId="0" applyFont="false" applyBorder="true" applyAlignment="true" applyProtection="true">
      <alignment horizontal="center" vertical="bottom" textRotation="0" wrapText="false" indent="0" shrinkToFit="false"/>
      <protection locked="true" hidden="false"/>
    </xf>
    <xf numFmtId="164" fontId="0" fillId="4" borderId="37" xfId="0" applyFont="true" applyBorder="true" applyAlignment="true" applyProtection="true">
      <alignment horizontal="center" vertical="bottom" textRotation="0" wrapText="false" indent="0" shrinkToFit="false"/>
      <protection locked="true" hidden="false"/>
    </xf>
    <xf numFmtId="164" fontId="0" fillId="4" borderId="1" xfId="0" applyFont="false" applyBorder="true" applyAlignment="true" applyProtection="true">
      <alignment horizontal="center" vertical="bottom" textRotation="0" wrapText="false" indent="0" shrinkToFit="false"/>
      <protection locked="true" hidden="false"/>
    </xf>
    <xf numFmtId="164" fontId="0" fillId="4" borderId="2" xfId="0" applyFont="false" applyBorder="true" applyAlignment="true" applyProtection="true">
      <alignment horizontal="center" vertical="bottom" textRotation="0" wrapText="false" indent="0" shrinkToFit="false"/>
      <protection locked="true" hidden="false"/>
    </xf>
    <xf numFmtId="164" fontId="0" fillId="3" borderId="40" xfId="0" applyFont="true" applyBorder="true" applyAlignment="true" applyProtection="true">
      <alignment horizontal="center" vertical="bottom" textRotation="0" wrapText="false" indent="0" shrinkToFit="false"/>
      <protection locked="true" hidden="false"/>
    </xf>
    <xf numFmtId="164" fontId="0" fillId="4" borderId="4" xfId="0" applyFont="false" applyBorder="true" applyAlignment="true" applyProtection="true">
      <alignment horizontal="center" vertical="bottom" textRotation="0" wrapText="false" indent="0" shrinkToFit="false"/>
      <protection locked="true" hidden="false"/>
    </xf>
    <xf numFmtId="164" fontId="0" fillId="4" borderId="0" xfId="0" applyFont="false" applyBorder="true" applyAlignment="true" applyProtection="true">
      <alignment horizontal="center" vertical="bottom" textRotation="0" wrapText="false" indent="0" shrinkToFit="false"/>
      <protection locked="true" hidden="false"/>
    </xf>
    <xf numFmtId="164" fontId="0" fillId="7" borderId="7" xfId="0" applyFont="false" applyBorder="true" applyAlignment="true" applyProtection="true">
      <alignment horizontal="center" vertical="bottom" textRotation="0" wrapText="false" indent="0" shrinkToFit="false"/>
      <protection locked="true" hidden="false"/>
    </xf>
    <xf numFmtId="196" fontId="0" fillId="7" borderId="21" xfId="0" applyFont="false" applyBorder="true" applyAlignment="true" applyProtection="true">
      <alignment horizontal="center" vertical="bottom" textRotation="0" wrapText="false" indent="0" shrinkToFit="false"/>
      <protection locked="true" hidden="false"/>
    </xf>
    <xf numFmtId="196" fontId="0" fillId="7" borderId="22" xfId="0" applyFont="false" applyBorder="true" applyAlignment="true" applyProtection="true">
      <alignment horizontal="center" vertical="bottom" textRotation="0" wrapText="false" indent="0" shrinkToFit="false"/>
      <protection locked="true" hidden="false"/>
    </xf>
    <xf numFmtId="197" fontId="0" fillId="7" borderId="37" xfId="0" applyFont="false" applyBorder="true" applyAlignment="true" applyProtection="true">
      <alignment horizontal="center" vertical="bottom" textRotation="0" wrapText="false" indent="0" shrinkToFit="false"/>
      <protection locked="true" hidden="false"/>
    </xf>
    <xf numFmtId="164" fontId="0" fillId="4" borderId="0" xfId="0" applyFont="false" applyBorder="false" applyAlignment="true" applyProtection="true">
      <alignment horizontal="center" vertical="bottom" textRotation="0" wrapText="false" indent="0" shrinkToFit="false"/>
      <protection locked="true" hidden="false"/>
    </xf>
    <xf numFmtId="198" fontId="0" fillId="4" borderId="37" xfId="0" applyFont="false" applyBorder="true" applyAlignment="true" applyProtection="true">
      <alignment horizontal="center"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79" fontId="0" fillId="4" borderId="0" xfId="0" applyFont="false" applyBorder="true" applyAlignment="true" applyProtection="true">
      <alignment horizontal="center" vertical="bottom" textRotation="0" wrapText="false" indent="0" shrinkToFit="false"/>
      <protection locked="true" hidden="false"/>
    </xf>
    <xf numFmtId="165" fontId="0" fillId="7" borderId="36" xfId="0" applyFont="false" applyBorder="true" applyAlignment="true" applyProtection="true">
      <alignment horizontal="center" vertical="bottom" textRotation="0" wrapText="false" indent="0" shrinkToFit="false"/>
      <protection locked="true" hidden="false"/>
    </xf>
    <xf numFmtId="199" fontId="0" fillId="4" borderId="2" xfId="0" applyFont="false" applyBorder="true" applyAlignment="true" applyProtection="true">
      <alignment horizontal="center" vertical="bottom" textRotation="0" wrapText="false" indent="0" shrinkToFit="false"/>
      <protection locked="true" hidden="false"/>
    </xf>
    <xf numFmtId="196" fontId="0" fillId="7" borderId="23" xfId="0" applyFont="false" applyBorder="true" applyAlignment="true" applyProtection="true">
      <alignment horizontal="center" vertical="bottom" textRotation="0" wrapText="false" indent="0" shrinkToFit="false"/>
      <protection locked="true" hidden="false"/>
    </xf>
    <xf numFmtId="196" fontId="0" fillId="3" borderId="35" xfId="0" applyFont="true" applyBorder="true" applyAlignment="true" applyProtection="true">
      <alignment horizontal="center" vertical="bottom" textRotation="0" wrapText="false" indent="0" shrinkToFit="false"/>
      <protection locked="true" hidden="false"/>
    </xf>
    <xf numFmtId="165" fontId="0" fillId="3" borderId="18" xfId="0" applyFont="true" applyBorder="true" applyAlignment="true" applyProtection="true">
      <alignment horizontal="center" vertical="bottom" textRotation="0" wrapText="false" indent="0" shrinkToFit="false"/>
      <protection locked="true" hidden="false"/>
    </xf>
    <xf numFmtId="164" fontId="0" fillId="3" borderId="18"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5" fontId="0" fillId="7" borderId="20" xfId="0" applyFont="false" applyBorder="true" applyAlignment="true" applyProtection="true">
      <alignment horizontal="center" vertical="bottom" textRotation="0" wrapText="false" indent="0" shrinkToFit="false"/>
      <protection locked="true" hidden="false"/>
    </xf>
    <xf numFmtId="165" fontId="0" fillId="4" borderId="2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5" fontId="0" fillId="4" borderId="20" xfId="0" applyFont="false" applyBorder="true" applyAlignment="true" applyProtection="true">
      <alignment horizontal="center" vertical="bottom" textRotation="0" wrapText="false" indent="0" shrinkToFit="false"/>
      <protection locked="true" hidden="false"/>
    </xf>
    <xf numFmtId="165" fontId="0" fillId="7" borderId="28" xfId="0" applyFont="false" applyBorder="true" applyAlignment="true" applyProtection="true">
      <alignment horizontal="center" vertical="bottom" textRotation="0" wrapText="false" indent="0" shrinkToFit="false"/>
      <protection locked="true" hidden="false"/>
    </xf>
    <xf numFmtId="164" fontId="0" fillId="4" borderId="9" xfId="0" applyFont="true" applyBorder="true" applyAlignment="true" applyProtection="true">
      <alignment horizontal="center" vertical="bottom" textRotation="0" wrapText="false" indent="0" shrinkToFit="false"/>
      <protection locked="false" hidden="false"/>
    </xf>
    <xf numFmtId="164" fontId="0" fillId="0" borderId="25"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false" hidden="false"/>
    </xf>
    <xf numFmtId="164" fontId="0" fillId="0" borderId="25" xfId="0" applyFont="true" applyBorder="true" applyAlignment="true" applyProtection="true">
      <alignment horizontal="center" vertical="bottom" textRotation="0" wrapText="false" indent="0" shrinkToFit="false"/>
      <protection locked="false" hidden="false"/>
    </xf>
    <xf numFmtId="165" fontId="0" fillId="4" borderId="0" xfId="0" applyFont="false" applyBorder="true" applyAlignment="true" applyProtection="true">
      <alignment horizontal="center" vertical="bottom" textRotation="0" wrapText="false" indent="0" shrinkToFit="false"/>
      <protection locked="false" hidden="false"/>
    </xf>
    <xf numFmtId="165" fontId="0" fillId="7" borderId="9" xfId="0" applyFont="false" applyBorder="true" applyAlignment="true" applyProtection="true">
      <alignment horizontal="center" vertical="bottom" textRotation="0" wrapText="false" indent="0" shrinkToFit="false"/>
      <protection locked="true" hidden="false"/>
    </xf>
    <xf numFmtId="165" fontId="0" fillId="4" borderId="9" xfId="0" applyFont="false" applyBorder="true" applyAlignment="true" applyProtection="true">
      <alignment horizontal="center" vertical="bottom" textRotation="0" wrapText="false" indent="0" shrinkToFit="false"/>
      <protection locked="true" hidden="false"/>
    </xf>
    <xf numFmtId="179" fontId="0" fillId="0" borderId="0" xfId="0" applyFont="false" applyBorder="false" applyAlignment="true" applyProtection="true">
      <alignment horizontal="center" vertical="bottom" textRotation="0" wrapText="false" indent="0" shrinkToFit="false"/>
      <protection locked="true" hidden="false"/>
    </xf>
    <xf numFmtId="179" fontId="47" fillId="0" borderId="0" xfId="0" applyFont="true" applyBorder="false" applyAlignment="true" applyProtection="true">
      <alignment horizontal="center" vertical="bottom" textRotation="0" wrapText="false" indent="0" shrinkToFit="false"/>
      <protection locked="true" hidden="false"/>
    </xf>
    <xf numFmtId="179" fontId="0" fillId="5" borderId="39" xfId="0" applyFont="true" applyBorder="true" applyAlignment="true" applyProtection="true">
      <alignment horizontal="center" vertical="bottom" textRotation="0" wrapText="false" indent="0" shrinkToFit="false"/>
      <protection locked="true" hidden="false"/>
    </xf>
    <xf numFmtId="179" fontId="0" fillId="8" borderId="0" xfId="0" applyFont="false" applyBorder="false" applyAlignment="true" applyProtection="true">
      <alignment horizontal="center" vertical="bottom" textRotation="0" wrapText="false" indent="0" shrinkToFit="false"/>
      <protection locked="true" hidden="false"/>
    </xf>
    <xf numFmtId="179" fontId="0" fillId="5" borderId="34" xfId="0" applyFont="true" applyBorder="true" applyAlignment="true" applyProtection="true">
      <alignment horizontal="center" vertical="bottom" textRotation="0" wrapText="false" indent="0" shrinkToFit="false"/>
      <protection locked="true" hidden="false"/>
    </xf>
    <xf numFmtId="164" fontId="0" fillId="5" borderId="41" xfId="0" applyFont="true" applyBorder="true" applyAlignment="true" applyProtection="true">
      <alignment horizontal="center" vertical="bottom" textRotation="0" wrapText="false" indent="0" shrinkToFit="false"/>
      <protection locked="true" hidden="false"/>
    </xf>
    <xf numFmtId="164" fontId="0" fillId="5" borderId="42" xfId="0" applyFont="true" applyBorder="true" applyAlignment="true" applyProtection="true">
      <alignment horizontal="center" vertical="bottom" textRotation="0" wrapText="false" indent="0" shrinkToFit="false"/>
      <protection locked="true" hidden="false"/>
    </xf>
    <xf numFmtId="164" fontId="47" fillId="0" borderId="0" xfId="0" applyFont="true" applyBorder="false" applyAlignment="true" applyProtection="true">
      <alignment horizontal="center" vertical="bottom" textRotation="0" wrapText="false" indent="0" shrinkToFit="false"/>
      <protection locked="true" hidden="false"/>
    </xf>
    <xf numFmtId="164" fontId="0" fillId="5" borderId="43" xfId="0" applyFont="true" applyBorder="true" applyAlignment="true" applyProtection="true">
      <alignment horizontal="center" vertical="bottom" textRotation="0" wrapText="false" indent="0" shrinkToFit="false"/>
      <protection locked="true" hidden="false"/>
    </xf>
    <xf numFmtId="164" fontId="0" fillId="5" borderId="44" xfId="0" applyFont="true" applyBorder="true" applyAlignment="true" applyProtection="true">
      <alignment horizontal="center" vertical="bottom" textRotation="0" wrapText="false" indent="0" shrinkToFit="false"/>
      <protection locked="true" hidden="false"/>
    </xf>
    <xf numFmtId="164" fontId="0" fillId="5" borderId="45" xfId="0" applyFont="true" applyBorder="true" applyAlignment="true" applyProtection="true">
      <alignment horizontal="center" vertical="bottom" textRotation="0" wrapText="false" indent="0" shrinkToFit="false"/>
      <protection locked="true" hidden="false"/>
    </xf>
    <xf numFmtId="164" fontId="47" fillId="0" borderId="40" xfId="0" applyFont="true" applyBorder="true" applyAlignment="true" applyProtection="true">
      <alignment horizontal="center" vertical="bottom" textRotation="0" wrapText="false" indent="0" shrinkToFit="false"/>
      <protection locked="true" hidden="false"/>
    </xf>
    <xf numFmtId="164" fontId="0" fillId="5" borderId="46" xfId="0" applyFont="true" applyBorder="true" applyAlignment="true" applyProtection="true">
      <alignment horizontal="center" vertical="bottom" textRotation="0" wrapText="false" indent="0" shrinkToFit="false"/>
      <protection locked="true" hidden="false"/>
    </xf>
    <xf numFmtId="164" fontId="5" fillId="5" borderId="41" xfId="0" applyFont="true" applyBorder="true" applyAlignment="true" applyProtection="true">
      <alignment horizontal="center" vertical="bottom" textRotation="0" wrapText="false" indent="0" shrinkToFit="false"/>
      <protection locked="true" hidden="false"/>
    </xf>
    <xf numFmtId="164" fontId="0" fillId="5" borderId="47" xfId="0" applyFont="true" applyBorder="true" applyAlignment="true" applyProtection="true">
      <alignment horizontal="center" vertical="bottom" textRotation="0" wrapText="false" indent="0" shrinkToFit="false"/>
      <protection locked="true" hidden="false"/>
    </xf>
    <xf numFmtId="164" fontId="0" fillId="5" borderId="48" xfId="0" applyFont="true" applyBorder="true" applyAlignment="true" applyProtection="true">
      <alignment horizontal="center" vertical="bottom" textRotation="0" wrapText="false" indent="0" shrinkToFit="false"/>
      <protection locked="true" hidden="false"/>
    </xf>
    <xf numFmtId="164" fontId="0" fillId="5" borderId="49" xfId="0" applyFont="true" applyBorder="true" applyAlignment="true" applyProtection="true">
      <alignment horizontal="center" vertical="bottom" textRotation="0" wrapText="false" indent="0" shrinkToFit="false"/>
      <protection locked="true" hidden="false"/>
    </xf>
    <xf numFmtId="164" fontId="0" fillId="5" borderId="5" xfId="0" applyFont="true" applyBorder="true" applyAlignment="true" applyProtection="true">
      <alignment horizontal="center" vertical="bottom" textRotation="0" wrapText="false" indent="0" shrinkToFit="false"/>
      <protection locked="true" hidden="false"/>
    </xf>
    <xf numFmtId="164" fontId="0" fillId="5" borderId="50" xfId="0" applyFont="true" applyBorder="true" applyAlignment="true" applyProtection="true">
      <alignment horizontal="center" vertical="bottom" textRotation="0" wrapText="false" indent="0" shrinkToFit="false"/>
      <protection locked="true" hidden="false"/>
    </xf>
    <xf numFmtId="164" fontId="0" fillId="5" borderId="18" xfId="0" applyFont="true" applyBorder="true" applyAlignment="true" applyProtection="true">
      <alignment horizontal="center" vertical="bottom" textRotation="0" wrapText="false" indent="0" shrinkToFit="false"/>
      <protection locked="true" hidden="false"/>
    </xf>
    <xf numFmtId="164" fontId="0" fillId="5" borderId="51" xfId="0" applyFont="true" applyBorder="true" applyAlignment="true" applyProtection="true">
      <alignment horizontal="center" vertical="bottom" textRotation="0" wrapText="false" indent="0" shrinkToFit="false"/>
      <protection locked="true" hidden="false"/>
    </xf>
    <xf numFmtId="164" fontId="0" fillId="5" borderId="52" xfId="0" applyFont="false" applyBorder="true" applyAlignment="true" applyProtection="true">
      <alignment horizontal="center" vertical="bottom" textRotation="0" wrapText="false" indent="0" shrinkToFit="false"/>
      <protection locked="true" hidden="false"/>
    </xf>
    <xf numFmtId="164" fontId="0" fillId="5" borderId="25" xfId="0" applyFont="false" applyBorder="true" applyAlignment="true" applyProtection="true">
      <alignment horizontal="center" vertical="bottom" textRotation="0" wrapText="false" indent="0" shrinkToFit="false"/>
      <protection locked="true" hidden="false"/>
    </xf>
    <xf numFmtId="164" fontId="0" fillId="5" borderId="53" xfId="0" applyFont="false" applyBorder="true" applyAlignment="true" applyProtection="true">
      <alignment horizontal="center" vertical="bottom" textRotation="0" wrapText="false" indent="0" shrinkToFit="false"/>
      <protection locked="true" hidden="false"/>
    </xf>
    <xf numFmtId="179" fontId="0" fillId="9" borderId="24" xfId="0" applyFont="true" applyBorder="true" applyAlignment="true" applyProtection="true">
      <alignment horizontal="center" vertical="bottom" textRotation="0" wrapText="false" indent="0" shrinkToFit="false"/>
      <protection locked="true" hidden="false"/>
    </xf>
    <xf numFmtId="179" fontId="0" fillId="7" borderId="26" xfId="0" applyFont="false" applyBorder="true" applyAlignment="true" applyProtection="true">
      <alignment horizontal="center" vertical="bottom" textRotation="0" wrapText="false" indent="0" shrinkToFit="false"/>
      <protection locked="true" hidden="false"/>
    </xf>
    <xf numFmtId="179" fontId="47" fillId="0" borderId="0" xfId="0" applyFont="true" applyBorder="true" applyAlignment="true" applyProtection="true">
      <alignment horizontal="center" vertical="bottom" textRotation="0" wrapText="false" indent="0" shrinkToFit="false"/>
      <protection locked="true" hidden="false"/>
    </xf>
    <xf numFmtId="179" fontId="0" fillId="9" borderId="25" xfId="0" applyFont="true" applyBorder="true" applyAlignment="true" applyProtection="true">
      <alignment horizontal="center" vertical="bottom" textRotation="0" wrapText="false" indent="0" shrinkToFit="false"/>
      <protection locked="true" hidden="false"/>
    </xf>
    <xf numFmtId="179" fontId="0" fillId="9" borderId="26" xfId="0" applyFont="true" applyBorder="true" applyAlignment="true" applyProtection="true">
      <alignment horizontal="center" vertical="bottom" textRotation="0" wrapText="false" indent="0" shrinkToFit="false"/>
      <protection locked="true" hidden="false"/>
    </xf>
    <xf numFmtId="179" fontId="0" fillId="7" borderId="24" xfId="0" applyFont="false" applyBorder="true" applyAlignment="true" applyProtection="true">
      <alignment horizontal="center" vertical="bottom" textRotation="0" wrapText="false" indent="0" shrinkToFit="false"/>
      <protection locked="true" hidden="false"/>
    </xf>
    <xf numFmtId="179" fontId="0" fillId="7" borderId="25" xfId="0" applyFont="false" applyBorder="true" applyAlignment="true" applyProtection="true">
      <alignment horizontal="center" vertical="bottom" textRotation="0" wrapText="false" indent="0" shrinkToFit="false"/>
      <protection locked="true" hidden="false"/>
    </xf>
    <xf numFmtId="179" fontId="0" fillId="6" borderId="26" xfId="0" applyFont="false" applyBorder="true" applyAlignment="true" applyProtection="true">
      <alignment horizontal="center" vertical="bottom" textRotation="0" wrapText="false" indent="0" shrinkToFit="false"/>
      <protection locked="true" hidden="false"/>
    </xf>
    <xf numFmtId="179" fontId="0" fillId="6" borderId="18" xfId="0" applyFont="false" applyBorder="true" applyAlignment="true" applyProtection="true">
      <alignment horizontal="center" vertical="bottom" textRotation="0" wrapText="false" indent="0" shrinkToFit="false"/>
      <protection locked="true" hidden="false"/>
    </xf>
    <xf numFmtId="179" fontId="0" fillId="6" borderId="24" xfId="0" applyFont="false" applyBorder="true" applyAlignment="true" applyProtection="true">
      <alignment horizontal="center" vertical="bottom" textRotation="0" wrapText="false" indent="0" shrinkToFit="false"/>
      <protection locked="true" hidden="false"/>
    </xf>
    <xf numFmtId="164" fontId="0" fillId="9" borderId="24" xfId="0" applyFont="true" applyBorder="true" applyAlignment="true" applyProtection="true">
      <alignment horizontal="center" vertical="bottom" textRotation="0" wrapText="false" indent="0" shrinkToFit="false"/>
      <protection locked="true" hidden="false"/>
    </xf>
    <xf numFmtId="164" fontId="0" fillId="9" borderId="25" xfId="0" applyFont="true" applyBorder="true" applyAlignment="true" applyProtection="true">
      <alignment horizontal="center" vertical="bottom" textRotation="0" wrapText="false" indent="0" shrinkToFit="false"/>
      <protection locked="true" hidden="false"/>
    </xf>
    <xf numFmtId="164" fontId="0" fillId="9" borderId="26" xfId="0" applyFont="true" applyBorder="true" applyAlignment="true" applyProtection="true">
      <alignment horizontal="center" vertical="bottom" textRotation="0" wrapText="false" indent="0" shrinkToFit="false"/>
      <protection locked="true" hidden="false"/>
    </xf>
    <xf numFmtId="179" fontId="0" fillId="0" borderId="0" xfId="0" applyFont="false" applyBorder="true" applyAlignment="true" applyProtection="true">
      <alignment horizontal="center" vertical="bottom" textRotation="0" wrapText="false" indent="0" shrinkToFit="false"/>
      <protection locked="true" hidden="false"/>
    </xf>
    <xf numFmtId="173" fontId="0" fillId="6" borderId="24" xfId="0" applyFont="false" applyBorder="true" applyAlignment="true" applyProtection="true">
      <alignment horizontal="center" vertical="bottom" textRotation="0" wrapText="false" indent="0" shrinkToFit="false"/>
      <protection locked="true" hidden="false"/>
    </xf>
    <xf numFmtId="173" fontId="0" fillId="6" borderId="25" xfId="0" applyFont="false" applyBorder="true" applyAlignment="true" applyProtection="true">
      <alignment horizontal="center" vertical="bottom" textRotation="0" wrapText="false" indent="0" shrinkToFit="false"/>
      <protection locked="true" hidden="false"/>
    </xf>
    <xf numFmtId="173" fontId="0" fillId="6" borderId="26" xfId="0" applyFont="false" applyBorder="true" applyAlignment="true" applyProtection="true">
      <alignment horizontal="center" vertical="bottom" textRotation="0" wrapText="false" indent="0" shrinkToFit="false"/>
      <protection locked="true" hidden="false"/>
    </xf>
    <xf numFmtId="179" fontId="0" fillId="6" borderId="27" xfId="0" applyFont="true" applyBorder="true" applyAlignment="true" applyProtection="true">
      <alignment horizontal="center" vertical="bottom" textRotation="0" wrapText="false" indent="0" shrinkToFit="false"/>
      <protection locked="true" hidden="false"/>
    </xf>
    <xf numFmtId="179" fontId="0" fillId="6" borderId="28" xfId="0" applyFont="false" applyBorder="true" applyAlignment="true" applyProtection="true">
      <alignment horizontal="center" vertical="bottom" textRotation="0" wrapText="false" indent="0" shrinkToFit="false"/>
      <protection locked="true" hidden="false"/>
    </xf>
    <xf numFmtId="179" fontId="0" fillId="6" borderId="27" xfId="0" applyFont="false" applyBorder="true" applyAlignment="true" applyProtection="true">
      <alignment horizontal="center" vertical="bottom" textRotation="0" wrapText="false" indent="0" shrinkToFit="false"/>
      <protection locked="true" hidden="false"/>
    </xf>
    <xf numFmtId="179" fontId="0" fillId="6" borderId="0" xfId="0" applyFont="false" applyBorder="true" applyAlignment="true" applyProtection="true">
      <alignment horizontal="center" vertical="bottom" textRotation="0" wrapText="false" indent="0" shrinkToFit="false"/>
      <protection locked="true" hidden="false"/>
    </xf>
    <xf numFmtId="173" fontId="0" fillId="6" borderId="27" xfId="0" applyFont="false" applyBorder="true" applyAlignment="true" applyProtection="true">
      <alignment horizontal="center" vertical="bottom" textRotation="0" wrapText="false" indent="0" shrinkToFit="false"/>
      <protection locked="true" hidden="false"/>
    </xf>
    <xf numFmtId="179" fontId="0" fillId="6" borderId="20" xfId="0" applyFont="false" applyBorder="true" applyAlignment="true" applyProtection="true">
      <alignment horizontal="center" vertical="bottom" textRotation="0" wrapText="false" indent="0" shrinkToFit="false"/>
      <protection locked="true" hidden="false"/>
    </xf>
    <xf numFmtId="164" fontId="0" fillId="6" borderId="27" xfId="0" applyFont="false" applyBorder="true" applyAlignment="true" applyProtection="true">
      <alignment horizontal="general" vertical="bottom" textRotation="0" wrapText="false" indent="0" shrinkToFit="false"/>
      <protection locked="true" hidden="false"/>
    </xf>
    <xf numFmtId="164" fontId="0" fillId="6" borderId="0" xfId="0" applyFont="false" applyBorder="true" applyAlignment="true" applyProtection="true">
      <alignment horizontal="general" vertical="bottom" textRotation="0" wrapText="false" indent="0" shrinkToFit="false"/>
      <protection locked="true" hidden="false"/>
    </xf>
    <xf numFmtId="164" fontId="0" fillId="6" borderId="28" xfId="0" applyFont="false" applyBorder="true" applyAlignment="true" applyProtection="true">
      <alignment horizontal="center" vertical="bottom" textRotation="0" wrapText="false" indent="0" shrinkToFit="false"/>
      <protection locked="true" hidden="false"/>
    </xf>
    <xf numFmtId="173" fontId="0" fillId="6" borderId="0" xfId="0" applyFont="false" applyBorder="true" applyAlignment="true" applyProtection="true">
      <alignment horizontal="center" vertical="bottom" textRotation="0" wrapText="false" indent="0" shrinkToFit="false"/>
      <protection locked="true" hidden="false"/>
    </xf>
    <xf numFmtId="173" fontId="0" fillId="6" borderId="28" xfId="0" applyFont="false" applyBorder="true" applyAlignment="true" applyProtection="true">
      <alignment horizontal="center" vertical="bottom" textRotation="0" wrapText="false" indent="0" shrinkToFit="false"/>
      <protection locked="true" hidden="false"/>
    </xf>
    <xf numFmtId="179" fontId="0" fillId="6" borderId="29" xfId="0" applyFont="true" applyBorder="true" applyAlignment="true" applyProtection="true">
      <alignment horizontal="center" vertical="bottom" textRotation="0" wrapText="false" indent="0" shrinkToFit="false"/>
      <protection locked="true" hidden="false"/>
    </xf>
    <xf numFmtId="179" fontId="0" fillId="6" borderId="31" xfId="0" applyFont="false" applyBorder="true" applyAlignment="true" applyProtection="true">
      <alignment horizontal="center" vertical="bottom" textRotation="0" wrapText="false" indent="0" shrinkToFit="false"/>
      <protection locked="true" hidden="false"/>
    </xf>
    <xf numFmtId="179" fontId="0" fillId="6" borderId="29" xfId="0" applyFont="false" applyBorder="true" applyAlignment="true" applyProtection="true">
      <alignment horizontal="center" vertical="bottom" textRotation="0" wrapText="false" indent="0" shrinkToFit="false"/>
      <protection locked="true" hidden="false"/>
    </xf>
    <xf numFmtId="179" fontId="0" fillId="6" borderId="30" xfId="0" applyFont="false" applyBorder="true" applyAlignment="true" applyProtection="true">
      <alignment horizontal="center" vertical="bottom" textRotation="0" wrapText="false" indent="0" shrinkToFit="false"/>
      <protection locked="true" hidden="false"/>
    </xf>
    <xf numFmtId="173" fontId="0" fillId="6" borderId="29" xfId="0" applyFont="false" applyBorder="true" applyAlignment="true" applyProtection="true">
      <alignment horizontal="center" vertical="bottom" textRotation="0" wrapText="false" indent="0" shrinkToFit="false"/>
      <protection locked="true" hidden="false"/>
    </xf>
    <xf numFmtId="179" fontId="0" fillId="6" borderId="9" xfId="0" applyFont="false" applyBorder="true" applyAlignment="true" applyProtection="true">
      <alignment horizontal="center" vertical="bottom" textRotation="0" wrapText="false" indent="0" shrinkToFit="false"/>
      <protection locked="true" hidden="false"/>
    </xf>
    <xf numFmtId="164" fontId="0" fillId="6" borderId="29" xfId="0" applyFont="false" applyBorder="true" applyAlignment="true" applyProtection="true">
      <alignment horizontal="general" vertical="bottom" textRotation="0" wrapText="false" indent="0" shrinkToFit="false"/>
      <protection locked="true" hidden="false"/>
    </xf>
    <xf numFmtId="165" fontId="0" fillId="6" borderId="30" xfId="0" applyFont="false" applyBorder="true" applyAlignment="true" applyProtection="true">
      <alignment horizontal="general" vertical="bottom" textRotation="0" wrapText="false" indent="0" shrinkToFit="false"/>
      <protection locked="true" hidden="false"/>
    </xf>
    <xf numFmtId="165" fontId="0" fillId="6" borderId="31" xfId="0" applyFont="false" applyBorder="true" applyAlignment="true" applyProtection="true">
      <alignment horizontal="center" vertical="bottom" textRotation="0" wrapText="false" indent="0" shrinkToFit="false"/>
      <protection locked="true" hidden="false"/>
    </xf>
    <xf numFmtId="173" fontId="0" fillId="6" borderId="30" xfId="0" applyFont="false" applyBorder="true" applyAlignment="true" applyProtection="true">
      <alignment horizontal="center" vertical="bottom" textRotation="0" wrapText="false" indent="0" shrinkToFit="false"/>
      <protection locked="true" hidden="false"/>
    </xf>
    <xf numFmtId="173" fontId="0" fillId="6" borderId="31" xfId="0" applyFont="false" applyBorder="true" applyAlignment="true" applyProtection="true">
      <alignment horizontal="center" vertical="bottom" textRotation="0" wrapText="false" indent="0" shrinkToFit="false"/>
      <protection locked="true" hidden="false"/>
    </xf>
    <xf numFmtId="179" fontId="48" fillId="0" borderId="0" xfId="0" applyFont="true" applyBorder="false" applyAlignment="true" applyProtection="true">
      <alignment horizontal="left" vertical="bottom" textRotation="0" wrapText="false" indent="0" shrinkToFit="false"/>
      <protection locked="true" hidden="false"/>
    </xf>
    <xf numFmtId="179" fontId="17" fillId="0" borderId="0" xfId="20" applyFont="true" applyBorder="true" applyAlignment="true" applyProtection="true">
      <alignment horizontal="left" vertical="bottom" textRotation="0" wrapText="false" indent="0" shrinkToFit="false"/>
      <protection locked="true" hidden="false"/>
    </xf>
    <xf numFmtId="179" fontId="17" fillId="0" borderId="0" xfId="20" applyFont="true" applyBorder="true" applyAlignment="true" applyProtection="true">
      <alignment horizontal="center" vertical="bottom" textRotation="0" wrapText="false" indent="0" shrinkToFit="false"/>
      <protection locked="true" hidden="false"/>
    </xf>
    <xf numFmtId="179" fontId="0" fillId="0" borderId="0" xfId="0" applyFont="true" applyBorder="false" applyAlignment="true" applyProtection="true">
      <alignment horizontal="left" vertical="bottom" textRotation="0" wrapText="false" indent="0" shrinkToFit="false"/>
      <protection locked="true" hidden="false"/>
    </xf>
    <xf numFmtId="179" fontId="0" fillId="0" borderId="0" xfId="0" applyFont="tru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200" fontId="4" fillId="7" borderId="18" xfId="0" applyFont="true" applyBorder="true" applyAlignment="true" applyProtection="true">
      <alignment horizontal="center" vertical="center" textRotation="0" wrapText="false" indent="0" shrinkToFit="false"/>
      <protection locked="true" hidden="false"/>
    </xf>
    <xf numFmtId="164" fontId="4" fillId="7" borderId="18" xfId="0" applyFont="true" applyBorder="true" applyAlignment="true" applyProtection="true">
      <alignment horizontal="center" vertical="center" textRotation="0" wrapText="false" indent="0" shrinkToFit="false"/>
      <protection locked="true" hidden="false"/>
    </xf>
    <xf numFmtId="201" fontId="4" fillId="7" borderId="5" xfId="0" applyFont="true" applyBorder="true" applyAlignment="true" applyProtection="true">
      <alignment horizontal="center" vertical="center" textRotation="0" wrapText="false" indent="0" shrinkToFit="false"/>
      <protection locked="true" hidden="false"/>
    </xf>
    <xf numFmtId="165" fontId="4" fillId="7" borderId="5" xfId="0" applyFont="true" applyBorder="true" applyAlignment="true" applyProtection="true">
      <alignment horizontal="center" vertical="center"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0" fillId="0" borderId="23" xfId="0" applyFont="false" applyBorder="true" applyAlignment="true" applyProtection="true">
      <alignment horizontal="general" vertical="bottom" textRotation="0" wrapText="false" indent="0" shrinkToFit="false"/>
      <protection locked="true" hidden="false"/>
    </xf>
    <xf numFmtId="202" fontId="10" fillId="6" borderId="18" xfId="21" applyFont="true" applyBorder="true" applyAlignment="true" applyProtection="true">
      <alignment horizontal="center" vertical="bottom" textRotation="0" wrapText="false" indent="0" shrinkToFit="false"/>
      <protection locked="true" hidden="false"/>
    </xf>
    <xf numFmtId="165" fontId="10" fillId="6" borderId="26" xfId="21" applyFont="true" applyBorder="true" applyAlignment="true" applyProtection="true">
      <alignment horizontal="center" vertical="bottom" textRotation="0" wrapText="false" indent="0" shrinkToFit="false"/>
      <protection locked="true" hidden="false"/>
    </xf>
    <xf numFmtId="168" fontId="10" fillId="6" borderId="18" xfId="21" applyFont="true" applyBorder="true" applyAlignment="true" applyProtection="true">
      <alignment horizontal="center" vertical="bottom" textRotation="0" wrapText="false" indent="0" shrinkToFit="false"/>
      <protection locked="true" hidden="true"/>
    </xf>
    <xf numFmtId="203" fontId="10" fillId="6" borderId="26" xfId="21" applyFont="true" applyBorder="true" applyAlignment="true" applyProtection="true">
      <alignment horizontal="center" vertical="bottom" textRotation="0" wrapText="false" indent="0" shrinkToFit="false"/>
      <protection locked="true" hidden="false"/>
    </xf>
    <xf numFmtId="168" fontId="10" fillId="6" borderId="26" xfId="21" applyFont="true" applyBorder="true" applyAlignment="true" applyProtection="true">
      <alignment horizontal="center" vertical="bottom" textRotation="0" wrapText="false" indent="0" shrinkToFit="false"/>
      <protection locked="true" hidden="false"/>
    </xf>
    <xf numFmtId="192" fontId="10" fillId="6" borderId="26" xfId="21" applyFont="true" applyBorder="true" applyAlignment="true" applyProtection="true">
      <alignment horizontal="center" vertical="bottom" textRotation="0" wrapText="false" indent="0" shrinkToFit="false"/>
      <protection locked="true" hidden="false"/>
    </xf>
    <xf numFmtId="181" fontId="10" fillId="6" borderId="26" xfId="21" applyFont="true" applyBorder="true" applyAlignment="true" applyProtection="true">
      <alignment horizontal="center" vertical="bottom" textRotation="0" wrapText="false" indent="0" shrinkToFit="false"/>
      <protection locked="true" hidden="false"/>
    </xf>
    <xf numFmtId="188" fontId="10" fillId="6" borderId="26" xfId="21" applyFont="true" applyBorder="true" applyAlignment="true" applyProtection="true">
      <alignment horizontal="center" vertical="bottom" textRotation="0" wrapText="false" indent="0" shrinkToFit="false"/>
      <protection locked="true" hidden="false"/>
    </xf>
    <xf numFmtId="202" fontId="10" fillId="6" borderId="20" xfId="21" applyFont="true" applyBorder="true" applyAlignment="true" applyProtection="true">
      <alignment horizontal="center" vertical="bottom" textRotation="0" wrapText="false" indent="0" shrinkToFit="false"/>
      <protection locked="true" hidden="false"/>
    </xf>
    <xf numFmtId="165" fontId="10" fillId="6" borderId="28" xfId="21" applyFont="true" applyBorder="true" applyAlignment="true" applyProtection="true">
      <alignment horizontal="center" vertical="bottom" textRotation="0" wrapText="false" indent="0" shrinkToFit="false"/>
      <protection locked="true" hidden="false"/>
    </xf>
    <xf numFmtId="168" fontId="10" fillId="6" borderId="20" xfId="21" applyFont="true" applyBorder="true" applyAlignment="true" applyProtection="true">
      <alignment horizontal="center" vertical="bottom" textRotation="0" wrapText="false" indent="0" shrinkToFit="false"/>
      <protection locked="true" hidden="true"/>
    </xf>
    <xf numFmtId="203" fontId="10" fillId="6" borderId="28" xfId="21" applyFont="true" applyBorder="true" applyAlignment="true" applyProtection="true">
      <alignment horizontal="center" vertical="bottom" textRotation="0" wrapText="false" indent="0" shrinkToFit="false"/>
      <protection locked="true" hidden="false"/>
    </xf>
    <xf numFmtId="192" fontId="10" fillId="6" borderId="28" xfId="21" applyFont="true" applyBorder="true" applyAlignment="true" applyProtection="true">
      <alignment horizontal="center" vertical="bottom" textRotation="0" wrapText="false" indent="0" shrinkToFit="false"/>
      <protection locked="true" hidden="false"/>
    </xf>
    <xf numFmtId="181" fontId="10" fillId="6" borderId="28" xfId="21" applyFont="true" applyBorder="true" applyAlignment="true" applyProtection="true">
      <alignment horizontal="center" vertical="bottom" textRotation="0" wrapText="false" indent="0" shrinkToFit="false"/>
      <protection locked="true" hidden="false"/>
    </xf>
    <xf numFmtId="188" fontId="10" fillId="6" borderId="28" xfId="21" applyFont="true" applyBorder="true" applyAlignment="true" applyProtection="true">
      <alignment horizontal="center" vertical="bottom" textRotation="0" wrapText="false" indent="0" shrinkToFit="false"/>
      <protection locked="true" hidden="false"/>
    </xf>
    <xf numFmtId="202" fontId="10" fillId="6" borderId="9" xfId="21" applyFont="true" applyBorder="true" applyAlignment="true" applyProtection="true">
      <alignment horizontal="center" vertical="bottom" textRotation="0" wrapText="false" indent="0" shrinkToFit="false"/>
      <protection locked="true" hidden="false"/>
    </xf>
    <xf numFmtId="165" fontId="10" fillId="6" borderId="31" xfId="21" applyFont="true" applyBorder="true" applyAlignment="true" applyProtection="true">
      <alignment horizontal="center" vertical="bottom" textRotation="0" wrapText="false" indent="0" shrinkToFit="false"/>
      <protection locked="true" hidden="false"/>
    </xf>
    <xf numFmtId="168" fontId="10" fillId="6" borderId="9" xfId="21" applyFont="true" applyBorder="true" applyAlignment="true" applyProtection="true">
      <alignment horizontal="center" vertical="bottom" textRotation="0" wrapText="false" indent="0" shrinkToFit="false"/>
      <protection locked="true" hidden="true"/>
    </xf>
    <xf numFmtId="203" fontId="10" fillId="6" borderId="31" xfId="21" applyFont="true" applyBorder="true" applyAlignment="true" applyProtection="true">
      <alignment horizontal="center" vertical="bottom" textRotation="0" wrapText="false" indent="0" shrinkToFit="false"/>
      <protection locked="true" hidden="false"/>
    </xf>
    <xf numFmtId="192" fontId="10" fillId="6" borderId="31" xfId="21" applyFont="true" applyBorder="true" applyAlignment="true" applyProtection="true">
      <alignment horizontal="center" vertical="bottom" textRotation="0" wrapText="false" indent="0" shrinkToFit="false"/>
      <protection locked="true" hidden="false"/>
    </xf>
    <xf numFmtId="181" fontId="10" fillId="6" borderId="31" xfId="21" applyFont="true" applyBorder="true" applyAlignment="true" applyProtection="true">
      <alignment horizontal="center" vertical="bottom" textRotation="0" wrapText="false" indent="0" shrinkToFit="false"/>
      <protection locked="true" hidden="false"/>
    </xf>
    <xf numFmtId="188" fontId="10" fillId="6" borderId="31" xfId="21" applyFont="true" applyBorder="true" applyAlignment="true" applyProtection="true">
      <alignment horizontal="center" vertical="bottom" textRotation="0" wrapText="false" indent="0" shrinkToFit="false"/>
      <protection locked="true" hidden="false"/>
    </xf>
    <xf numFmtId="165" fontId="52" fillId="0" borderId="0" xfId="0" applyFont="true" applyBorder="tru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48" fillId="0" borderId="0" xfId="0" applyFont="true" applyBorder="false" applyAlignment="true" applyProtection="true">
      <alignment horizontal="general" vertical="bottom" textRotation="0" wrapText="false" indent="0" shrinkToFit="false"/>
      <protection locked="true" hidden="false"/>
    </xf>
    <xf numFmtId="164" fontId="17"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true" applyBorder="true" applyAlignment="true" applyProtection="true">
      <alignment horizontal="general" vertical="bottom" textRotation="0" wrapText="false" indent="0" shrinkToFit="false"/>
      <protection locked="true" hidden="false"/>
    </xf>
    <xf numFmtId="172" fontId="0" fillId="0" borderId="0" xfId="0" applyFont="false" applyBorder="false" applyAlignment="true" applyProtection="true">
      <alignment horizontal="left" vertical="bottom" textRotation="0" wrapText="false" indent="0" shrinkToFit="false"/>
      <protection locked="true" hidden="false"/>
    </xf>
    <xf numFmtId="164" fontId="53"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5" fontId="0" fillId="0" borderId="0" xfId="0" applyFont="true" applyBorder="true" applyAlignment="true" applyProtection="true">
      <alignment horizontal="general" vertical="center" textRotation="0" wrapText="false" indent="0" shrinkToFit="false"/>
      <protection locked="true" hidden="true"/>
    </xf>
    <xf numFmtId="199" fontId="0" fillId="0" borderId="0" xfId="0" applyFont="true" applyBorder="true" applyAlignment="true" applyProtection="true">
      <alignment horizontal="general" vertical="center" textRotation="0" wrapText="false" indent="0" shrinkToFit="false"/>
      <protection locked="true" hidden="true"/>
    </xf>
    <xf numFmtId="164" fontId="0" fillId="0" borderId="1"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right" vertical="bottom" textRotation="0" wrapText="false" indent="0" shrinkToFit="false"/>
      <protection locked="true" hidden="false"/>
    </xf>
    <xf numFmtId="165" fontId="0" fillId="0" borderId="39" xfId="0" applyFont="tru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top" textRotation="0" wrapText="false" indent="0" shrinkToFit="false"/>
      <protection locked="true" hidden="false"/>
    </xf>
    <xf numFmtId="172" fontId="4"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4" fillId="0" borderId="24" xfId="0" applyFont="true" applyBorder="true" applyAlignment="true" applyProtection="true">
      <alignment horizontal="center" vertical="bottom" textRotation="0" wrapText="false" indent="0" shrinkToFit="false"/>
      <protection locked="true" hidden="false"/>
    </xf>
    <xf numFmtId="165" fontId="4" fillId="0" borderId="26" xfId="0" applyFont="true" applyBorder="true" applyAlignment="true" applyProtection="true">
      <alignment horizontal="center" vertical="bottom" textRotation="0" wrapText="false" indent="0" shrinkToFit="false"/>
      <protection locked="true" hidden="false"/>
    </xf>
    <xf numFmtId="164" fontId="4" fillId="0" borderId="25" xfId="0" applyFont="true" applyBorder="true" applyAlignment="true" applyProtection="true">
      <alignment horizontal="center" vertical="bottom" textRotation="0" wrapText="false" indent="0" shrinkToFit="false"/>
      <protection locked="true" hidden="false"/>
    </xf>
    <xf numFmtId="170" fontId="4" fillId="0" borderId="26" xfId="0" applyFont="true" applyBorder="true" applyAlignment="true" applyProtection="true">
      <alignment horizontal="center" vertical="center" textRotation="0" wrapText="false" indent="0" shrinkToFit="false"/>
      <protection locked="true" hidden="false"/>
    </xf>
    <xf numFmtId="170" fontId="0" fillId="0" borderId="0" xfId="0" applyFont="false" applyBorder="true" applyAlignment="true" applyProtection="true">
      <alignment horizontal="center" vertical="bottom" textRotation="0" wrapText="false" indent="0" shrinkToFit="false"/>
      <protection locked="true" hidden="false"/>
    </xf>
    <xf numFmtId="165" fontId="0" fillId="0" borderId="5" xfId="0" applyFont="true" applyBorder="true" applyAlignment="true" applyProtection="true">
      <alignment horizontal="center" vertical="bottom" textRotation="0" wrapText="false" indent="0" shrinkToFit="false"/>
      <protection locked="true" hidden="false"/>
    </xf>
    <xf numFmtId="164" fontId="4" fillId="0" borderId="27" xfId="0" applyFont="true" applyBorder="true" applyAlignment="true" applyProtection="true">
      <alignment horizontal="center" vertical="bottom" textRotation="0" wrapText="false" indent="0" shrinkToFit="false"/>
      <protection locked="true" hidden="false"/>
    </xf>
    <xf numFmtId="164" fontId="4" fillId="0" borderId="28" xfId="0" applyFont="true" applyBorder="true" applyAlignment="true" applyProtection="true">
      <alignment horizontal="center" vertical="bottom" textRotation="0" wrapText="false" indent="0" shrinkToFit="false"/>
      <protection locked="true" hidden="false"/>
    </xf>
    <xf numFmtId="170" fontId="4" fillId="0" borderId="28" xfId="0" applyFont="true" applyBorder="true" applyAlignment="true" applyProtection="true">
      <alignment horizontal="center" vertical="center" textRotation="0" wrapText="false" indent="0" shrinkToFit="false"/>
      <protection locked="true" hidden="false"/>
    </xf>
    <xf numFmtId="170" fontId="4" fillId="0" borderId="0" xfId="0" applyFont="true" applyBorder="true" applyAlignment="true" applyProtection="true">
      <alignment horizontal="center" vertical="center" textRotation="0" wrapText="false" indent="0" shrinkToFit="false"/>
      <protection locked="true" hidden="false"/>
    </xf>
    <xf numFmtId="170" fontId="4" fillId="0" borderId="28" xfId="0" applyFont="true" applyBorder="true" applyAlignment="true" applyProtection="true">
      <alignment horizontal="center" vertical="bottom" textRotation="0" wrapText="false" indent="0" shrinkToFit="false"/>
      <protection locked="true" hidden="false"/>
    </xf>
    <xf numFmtId="165" fontId="54" fillId="0" borderId="28" xfId="0" applyFont="true" applyBorder="true" applyAlignment="true" applyProtection="true">
      <alignment horizontal="left" vertical="bottom" textRotation="0" wrapText="false" indent="0" shrinkToFit="false"/>
      <protection locked="true" hidden="false"/>
    </xf>
    <xf numFmtId="170" fontId="0"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true" applyBorder="true" applyAlignment="true" applyProtection="true">
      <alignment horizontal="right" vertical="bottom" textRotation="0" wrapText="false" indent="0" shrinkToFit="false"/>
      <protection locked="true" hidden="false"/>
    </xf>
    <xf numFmtId="165" fontId="4" fillId="0" borderId="28" xfId="0" applyFont="true" applyBorder="true" applyAlignment="true" applyProtection="true">
      <alignment horizontal="center" vertical="bottom" textRotation="0" wrapText="false" indent="0" shrinkToFit="false"/>
      <protection locked="true" hidden="false"/>
    </xf>
    <xf numFmtId="165" fontId="4" fillId="0" borderId="28" xfId="0" applyFont="true" applyBorder="true" applyAlignment="true" applyProtection="true">
      <alignment horizontal="center" vertical="center" textRotation="0" wrapText="false" indent="0" shrinkToFit="false"/>
      <protection locked="true" hidden="false"/>
    </xf>
    <xf numFmtId="164" fontId="0" fillId="0" borderId="28" xfId="0" applyFont="true" applyBorder="true" applyAlignment="true" applyProtection="true">
      <alignment horizontal="center" vertical="bottom" textRotation="0" wrapText="false" indent="0" shrinkToFit="false"/>
      <protection locked="true" hidden="false"/>
    </xf>
    <xf numFmtId="164" fontId="0" fillId="0" borderId="29" xfId="0" applyFont="false" applyBorder="true" applyAlignment="true" applyProtection="true">
      <alignment horizontal="general" vertical="bottom" textRotation="0" wrapText="false" indent="0" shrinkToFit="false"/>
      <protection locked="true" hidden="false"/>
    </xf>
    <xf numFmtId="164" fontId="0" fillId="0" borderId="31" xfId="0" applyFont="false" applyBorder="true" applyAlignment="true" applyProtection="true">
      <alignment horizontal="general" vertical="bottom" textRotation="0" wrapText="false" indent="0" shrinkToFit="false"/>
      <protection locked="true" hidden="false"/>
    </xf>
    <xf numFmtId="164" fontId="4" fillId="0" borderId="30" xfId="0" applyFont="true" applyBorder="true" applyAlignment="true" applyProtection="true">
      <alignment horizontal="center" vertical="center" textRotation="0" wrapText="false" indent="0" shrinkToFit="false"/>
      <protection locked="true" hidden="false"/>
    </xf>
    <xf numFmtId="164" fontId="4" fillId="0" borderId="30" xfId="0" applyFont="true" applyBorder="true" applyAlignment="true" applyProtection="true">
      <alignment horizontal="center" vertical="bottom" textRotation="0" wrapText="false" indent="0" shrinkToFit="false"/>
      <protection locked="true" hidden="false"/>
    </xf>
    <xf numFmtId="178" fontId="4" fillId="0" borderId="31" xfId="0" applyFont="true" applyBorder="true" applyAlignment="true" applyProtection="true">
      <alignment horizontal="center" vertical="center" textRotation="0" wrapText="false" indent="0" shrinkToFit="false"/>
      <protection locked="true" hidden="false"/>
    </xf>
    <xf numFmtId="178" fontId="4" fillId="0" borderId="0" xfId="0" applyFont="true" applyBorder="true" applyAlignment="true" applyProtection="true">
      <alignment horizontal="center" vertical="center" textRotation="0" wrapText="false" indent="0" shrinkToFit="false"/>
      <protection locked="true" hidden="false"/>
    </xf>
    <xf numFmtId="173" fontId="4" fillId="0" borderId="3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right" vertical="bottom" textRotation="0" wrapText="false" indent="0" shrinkToFit="false"/>
      <protection locked="true" hidden="false"/>
    </xf>
    <xf numFmtId="164" fontId="4" fillId="0" borderId="5" xfId="0" applyFont="true" applyBorder="true" applyAlignment="true" applyProtection="true">
      <alignment horizontal="center" vertical="bottom" textRotation="0" wrapText="false" indent="0" shrinkToFit="false"/>
      <protection locked="true" hidden="false"/>
    </xf>
    <xf numFmtId="173" fontId="4" fillId="0" borderId="5" xfId="0" applyFont="true" applyBorder="true" applyAlignment="true" applyProtection="true">
      <alignment horizontal="center" vertical="bottom" textRotation="0" wrapText="false" indent="0" shrinkToFit="false"/>
      <protection locked="true" hidden="false"/>
    </xf>
    <xf numFmtId="164" fontId="4" fillId="0" borderId="5" xfId="0" applyFont="true" applyBorder="true" applyAlignment="true" applyProtection="true">
      <alignment horizontal="center" vertical="center" textRotation="0" wrapText="false" indent="0" shrinkToFit="false"/>
      <protection locked="true" hidden="false"/>
    </xf>
    <xf numFmtId="178" fontId="4" fillId="0" borderId="5" xfId="0" applyFont="true" applyBorder="true" applyAlignment="true" applyProtection="true">
      <alignment horizontal="center" vertical="center" textRotation="0" wrapText="false" indent="0" shrinkToFit="false"/>
      <protection locked="true" hidden="false"/>
    </xf>
    <xf numFmtId="178" fontId="4" fillId="0" borderId="5"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false" hidden="false"/>
    </xf>
    <xf numFmtId="164" fontId="4" fillId="0" borderId="54" xfId="0" applyFont="true" applyBorder="true" applyAlignment="true" applyProtection="true">
      <alignment horizontal="center" vertical="center" textRotation="0" wrapText="false" indent="0" shrinkToFit="false"/>
      <protection locked="true" hidden="false"/>
    </xf>
    <xf numFmtId="164" fontId="4" fillId="0" borderId="55" xfId="0" applyFont="true" applyBorder="true" applyAlignment="true" applyProtection="true">
      <alignment horizontal="center" vertical="center" textRotation="0" wrapText="false" indent="0" shrinkToFit="false"/>
      <protection locked="true" hidden="false"/>
    </xf>
    <xf numFmtId="164" fontId="4" fillId="0" borderId="55" xfId="0" applyFont="true" applyBorder="true" applyAlignment="true" applyProtection="true">
      <alignment horizontal="center" vertical="bottom" textRotation="0" wrapText="false" indent="0" shrinkToFit="false"/>
      <protection locked="true" hidden="false"/>
    </xf>
    <xf numFmtId="204" fontId="4" fillId="0" borderId="55" xfId="0" applyFont="true" applyBorder="true" applyAlignment="true" applyProtection="true">
      <alignment horizontal="center" vertical="bottom" textRotation="0" wrapText="false" indent="0" shrinkToFit="false"/>
      <protection locked="true" hidden="false"/>
    </xf>
    <xf numFmtId="173" fontId="4" fillId="0" borderId="55" xfId="0" applyFont="true" applyBorder="true" applyAlignment="true" applyProtection="true">
      <alignment horizontal="center" vertical="bottom" textRotation="0" wrapText="false" indent="0" shrinkToFit="false"/>
      <protection locked="true" hidden="false"/>
    </xf>
    <xf numFmtId="170" fontId="4" fillId="0" borderId="55" xfId="0" applyFont="true" applyBorder="true" applyAlignment="true" applyProtection="true">
      <alignment horizontal="center" vertical="center" textRotation="0" wrapText="false" indent="0" shrinkToFit="false"/>
      <protection locked="true" hidden="false"/>
    </xf>
    <xf numFmtId="173" fontId="4" fillId="0" borderId="55" xfId="0" applyFont="true" applyBorder="true" applyAlignment="true" applyProtection="true">
      <alignment horizontal="center" vertical="center" textRotation="0" wrapText="false" indent="0" shrinkToFit="false"/>
      <protection locked="true" hidden="false"/>
    </xf>
    <xf numFmtId="170" fontId="4" fillId="0" borderId="55" xfId="0" applyFont="true" applyBorder="true" applyAlignment="true" applyProtection="true">
      <alignment horizontal="center" vertical="bottom" textRotation="0" wrapText="false" indent="0" shrinkToFit="false"/>
      <protection locked="true" hidden="false"/>
    </xf>
    <xf numFmtId="204" fontId="4" fillId="0" borderId="0" xfId="0" applyFont="true" applyBorder="true" applyAlignment="true" applyProtection="true">
      <alignment horizontal="center" vertical="bottom" textRotation="0" wrapText="false" indent="0" shrinkToFit="false"/>
      <protection locked="true" hidden="false"/>
    </xf>
    <xf numFmtId="173" fontId="4" fillId="0" borderId="0" xfId="0" applyFont="true" applyBorder="true" applyAlignment="true" applyProtection="true">
      <alignment horizontal="center" vertical="bottom" textRotation="0" wrapText="false" indent="0" shrinkToFit="false"/>
      <protection locked="true" hidden="false"/>
    </xf>
    <xf numFmtId="173" fontId="4" fillId="0" borderId="0" xfId="0" applyFont="true" applyBorder="true" applyAlignment="true" applyProtection="true">
      <alignment horizontal="center" vertical="center" textRotation="0" wrapText="false" indent="0" shrinkToFit="false"/>
      <protection locked="true" hidden="false"/>
    </xf>
    <xf numFmtId="170" fontId="4" fillId="0" borderId="0" xfId="0" applyFont="true" applyBorder="true" applyAlignment="true" applyProtection="true">
      <alignment horizontal="center" vertical="bottom" textRotation="0" wrapText="false" indent="0" shrinkToFit="false"/>
      <protection locked="true" hidden="false"/>
    </xf>
    <xf numFmtId="165" fontId="0" fillId="0" borderId="39" xfId="0" applyFont="false" applyBorder="true" applyAlignment="true" applyProtection="true">
      <alignment horizontal="center" vertical="bottom" textRotation="0" wrapText="false" indent="0" shrinkToFit="false"/>
      <protection locked="true" hidden="false"/>
    </xf>
    <xf numFmtId="173" fontId="0" fillId="0" borderId="0" xfId="0" applyFont="true" applyBorder="true" applyAlignment="true" applyProtection="true">
      <alignment horizontal="center" vertical="bottom" textRotation="0" wrapText="false" indent="0" shrinkToFit="false"/>
      <protection locked="true" hidden="false"/>
    </xf>
    <xf numFmtId="170" fontId="0" fillId="0" borderId="0" xfId="0" applyFont="true" applyBorder="true" applyAlignment="true" applyProtection="true">
      <alignment horizontal="center" vertical="center" textRotation="0" wrapText="false" indent="0" shrinkToFit="false"/>
      <protection locked="true" hidden="false"/>
    </xf>
    <xf numFmtId="173" fontId="0" fillId="0" borderId="0" xfId="0" applyFont="true" applyBorder="true" applyAlignment="true" applyProtection="true">
      <alignment horizontal="center" vertical="center" textRotation="0" wrapText="false" indent="0" shrinkToFit="false"/>
      <protection locked="true" hidden="false"/>
    </xf>
    <xf numFmtId="170" fontId="0" fillId="0" borderId="0" xfId="0" applyFont="true" applyBorder="true" applyAlignment="true" applyProtection="true">
      <alignment horizontal="center" vertical="bottom" textRotation="0" wrapText="false" indent="0" shrinkToFit="false"/>
      <protection locked="true" hidden="false"/>
    </xf>
    <xf numFmtId="164" fontId="0" fillId="0" borderId="22" xfId="0" applyFont="true" applyBorder="true" applyAlignment="true" applyProtection="true">
      <alignment horizontal="general" vertical="bottom" textRotation="0" wrapText="false" indent="0" shrinkToFit="false"/>
      <protection locked="true" hidden="false"/>
    </xf>
    <xf numFmtId="164" fontId="0" fillId="0" borderId="25" xfId="0" applyFont="false" applyBorder="true" applyAlignment="true" applyProtection="true">
      <alignment horizontal="general" vertical="bottom" textRotation="0" wrapText="false" indent="0" shrinkToFit="false"/>
      <protection locked="true" hidden="false"/>
    </xf>
    <xf numFmtId="164" fontId="0" fillId="0" borderId="26" xfId="0" applyFont="true" applyBorder="true" applyAlignment="true" applyProtection="true">
      <alignment horizontal="center" vertical="bottom" textRotation="0" wrapText="false" indent="0" shrinkToFit="false"/>
      <protection locked="true" hidden="false"/>
    </xf>
    <xf numFmtId="164" fontId="4" fillId="0" borderId="30" xfId="0" applyFont="true" applyBorder="true" applyAlignment="true" applyProtection="true">
      <alignment horizontal="general" vertical="bottom" textRotation="0" wrapText="false" indent="0" shrinkToFit="false"/>
      <protection locked="true" hidden="false"/>
    </xf>
    <xf numFmtId="173" fontId="4" fillId="0" borderId="31" xfId="0" applyFont="true" applyBorder="true" applyAlignment="true" applyProtection="true">
      <alignment horizontal="center" vertical="bottom" textRotation="0" wrapText="false" indent="0" shrinkToFit="false"/>
      <protection locked="true" hidden="false"/>
    </xf>
    <xf numFmtId="170" fontId="4" fillId="0" borderId="30" xfId="0" applyFont="true" applyBorder="true" applyAlignment="true" applyProtection="true">
      <alignment horizontal="center" vertical="center" textRotation="0" wrapText="false" indent="0" shrinkToFit="false"/>
      <protection locked="true" hidden="false"/>
    </xf>
    <xf numFmtId="170" fontId="4" fillId="0" borderId="31" xfId="0" applyFont="true" applyBorder="true" applyAlignment="true" applyProtection="true">
      <alignment horizontal="center" vertical="bottom" textRotation="0" wrapText="false" indent="0" shrinkToFit="false"/>
      <protection locked="true" hidden="false"/>
    </xf>
    <xf numFmtId="164" fontId="0" fillId="0" borderId="26" xfId="0" applyFont="false" applyBorder="true" applyAlignment="true" applyProtection="true">
      <alignment horizontal="general" vertical="bottom" textRotation="0" wrapText="false" indent="0" shrinkToFit="false"/>
      <protection locked="true" hidden="false"/>
    </xf>
    <xf numFmtId="164" fontId="0" fillId="0" borderId="28" xfId="0" applyFont="false" applyBorder="true" applyAlignment="true" applyProtection="true">
      <alignment horizontal="general" vertical="bottom" textRotation="0" wrapText="false" indent="0" shrinkToFit="false"/>
      <protection locked="true" hidden="false"/>
    </xf>
    <xf numFmtId="164" fontId="4" fillId="0" borderId="29" xfId="0" applyFont="true" applyBorder="true" applyAlignment="true" applyProtection="true">
      <alignment horizontal="center" vertical="bottom" textRotation="0" wrapText="false" indent="0" shrinkToFit="false"/>
      <protection locked="true" hidden="false"/>
    </xf>
    <xf numFmtId="165" fontId="4" fillId="0" borderId="31" xfId="0" applyFont="true" applyBorder="true" applyAlignment="true" applyProtection="true">
      <alignment horizontal="center" vertical="bottom" textRotation="0" wrapText="false" indent="0" shrinkToFit="false"/>
      <protection locked="true" hidden="false"/>
    </xf>
    <xf numFmtId="164" fontId="4" fillId="0" borderId="27" xfId="0" applyFont="true" applyBorder="true" applyAlignment="true" applyProtection="true">
      <alignment horizontal="center" vertical="center" textRotation="0" wrapText="false" indent="0" shrinkToFit="false"/>
      <protection locked="true" hidden="false"/>
    </xf>
    <xf numFmtId="164" fontId="4" fillId="4" borderId="0" xfId="0" applyFont="true" applyBorder="true" applyAlignment="true" applyProtection="true">
      <alignment horizontal="center" vertical="center" textRotation="0" wrapText="false" indent="0" shrinkToFit="false"/>
      <protection locked="false" hidden="false"/>
    </xf>
    <xf numFmtId="164" fontId="4" fillId="4" borderId="28" xfId="0" applyFont="true" applyBorder="true" applyAlignment="true" applyProtection="true">
      <alignment horizontal="center" vertical="center" textRotation="0" wrapText="false" indent="0" shrinkToFit="false"/>
      <protection locked="false" hidden="false"/>
    </xf>
    <xf numFmtId="164" fontId="4" fillId="0" borderId="25" xfId="0" applyFont="true" applyBorder="true" applyAlignment="true" applyProtection="true">
      <alignment horizontal="general" vertical="bottom" textRotation="0" wrapText="false" indent="0" shrinkToFit="false"/>
      <protection locked="true" hidden="false"/>
    </xf>
    <xf numFmtId="164" fontId="0" fillId="0" borderId="30" xfId="0" applyFont="false" applyBorder="true" applyAlignment="true" applyProtection="true">
      <alignment horizontal="general" vertical="bottom" textRotation="0" wrapText="false" indent="0" shrinkToFit="false"/>
      <protection locked="true" hidden="false"/>
    </xf>
    <xf numFmtId="173" fontId="4" fillId="0" borderId="28" xfId="0" applyFont="true" applyBorder="true" applyAlignment="true" applyProtection="true">
      <alignment horizontal="center" vertical="bottom" textRotation="0" wrapText="false" indent="0" shrinkToFit="false"/>
      <protection locked="true" hidden="false"/>
    </xf>
    <xf numFmtId="165" fontId="4" fillId="4" borderId="26" xfId="0" applyFont="true" applyBorder="true" applyAlignment="true" applyProtection="true">
      <alignment horizontal="center" vertical="center" textRotation="0" wrapText="false" indent="0" shrinkToFit="false"/>
      <protection locked="false" hidden="false"/>
    </xf>
    <xf numFmtId="170" fontId="4" fillId="0" borderId="30" xfId="0" applyFont="true" applyBorder="true" applyAlignment="true" applyProtection="true">
      <alignment horizontal="center" vertical="bottom" textRotation="0" wrapText="false" indent="0" shrinkToFit="false"/>
      <protection locked="true" hidden="false"/>
    </xf>
    <xf numFmtId="165" fontId="4" fillId="0" borderId="31" xfId="0" applyFont="true" applyBorder="true" applyAlignment="true" applyProtection="true">
      <alignment horizontal="general" vertical="bottom" textRotation="0" wrapText="false" indent="0" shrinkToFit="false"/>
      <protection locked="true" hidden="false"/>
    </xf>
    <xf numFmtId="164" fontId="4" fillId="0" borderId="17" xfId="0" applyFont="true" applyBorder="true" applyAlignment="true" applyProtection="true">
      <alignment horizontal="center" vertical="bottom" textRotation="0" wrapText="false" indent="0" shrinkToFit="false"/>
      <protection locked="true" hidden="false"/>
    </xf>
    <xf numFmtId="164" fontId="4" fillId="0" borderId="56" xfId="0" applyFont="true" applyBorder="true" applyAlignment="true" applyProtection="true">
      <alignment horizontal="general" vertical="bottom" textRotation="0" wrapText="false" indent="0" shrinkToFit="false"/>
      <protection locked="true" hidden="false"/>
    </xf>
    <xf numFmtId="173" fontId="4" fillId="0" borderId="56" xfId="0" applyFont="true" applyBorder="true" applyAlignment="true" applyProtection="true">
      <alignment horizontal="center" vertical="bottom" textRotation="0" wrapText="false" indent="0" shrinkToFit="false"/>
      <protection locked="true" hidden="false"/>
    </xf>
    <xf numFmtId="164" fontId="4" fillId="0" borderId="56" xfId="0" applyFont="true" applyBorder="true" applyAlignment="true" applyProtection="true">
      <alignment horizontal="center" vertical="bottom" textRotation="0" wrapText="false" indent="0" shrinkToFit="false"/>
      <protection locked="true" hidden="false"/>
    </xf>
    <xf numFmtId="165" fontId="4" fillId="4" borderId="31" xfId="0" applyFont="true" applyBorder="true" applyAlignment="true" applyProtection="true">
      <alignment horizontal="center" vertical="center" textRotation="0" wrapText="false" indent="0" shrinkToFit="false"/>
      <protection locked="false" hidden="false"/>
    </xf>
    <xf numFmtId="164" fontId="4" fillId="0" borderId="0" xfId="0" applyFont="true" applyBorder="false" applyAlignment="true" applyProtection="true">
      <alignment horizontal="center" vertical="bottom" textRotation="0" wrapText="false" indent="0" shrinkToFit="false"/>
      <protection locked="true" hidden="false"/>
    </xf>
    <xf numFmtId="170" fontId="4" fillId="0" borderId="25"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73" fontId="4" fillId="0" borderId="28" xfId="0" applyFont="true" applyBorder="true" applyAlignment="true" applyProtection="true">
      <alignment horizontal="center" vertical="center" textRotation="0" wrapText="false" indent="0" shrinkToFit="false"/>
      <protection locked="true" hidden="false"/>
    </xf>
    <xf numFmtId="170" fontId="4" fillId="0" borderId="31" xfId="0" applyFont="true" applyBorder="true" applyAlignment="true" applyProtection="true">
      <alignment horizontal="center" vertical="center" textRotation="0" wrapText="false" indent="0" shrinkToFit="false"/>
      <protection locked="true" hidden="false"/>
    </xf>
    <xf numFmtId="164" fontId="55" fillId="0" borderId="0" xfId="0" applyFont="true" applyBorder="true" applyAlignment="true" applyProtection="true">
      <alignment horizontal="center" vertical="bottom" textRotation="0" wrapText="false" indent="0" shrinkToFit="false"/>
      <protection locked="true" hidden="false"/>
    </xf>
    <xf numFmtId="164" fontId="55" fillId="0" borderId="0" xfId="0" applyFont="true" applyBorder="true" applyAlignment="true" applyProtection="true">
      <alignment horizontal="general" vertical="bottom" textRotation="0" wrapText="false" indent="0" shrinkToFit="false"/>
      <protection locked="true" hidden="false"/>
    </xf>
    <xf numFmtId="164" fontId="4" fillId="0" borderId="27" xfId="0" applyFont="true" applyBorder="true" applyAlignment="true" applyProtection="true">
      <alignment horizontal="left" vertical="bottom" textRotation="0" wrapText="false" indent="0" shrinkToFit="false"/>
      <protection locked="true" hidden="false"/>
    </xf>
    <xf numFmtId="172" fontId="4" fillId="0" borderId="31" xfId="0" applyFont="true" applyBorder="true" applyAlignment="true" applyProtection="true">
      <alignment horizontal="center" vertical="bottom" textRotation="0" wrapText="false" indent="0" shrinkToFit="false"/>
      <protection locked="true" hidden="false"/>
    </xf>
    <xf numFmtId="164" fontId="4" fillId="0" borderId="24" xfId="0" applyFont="true" applyBorder="true" applyAlignment="true" applyProtection="true">
      <alignment horizontal="general" vertical="bottom" textRotation="0" wrapText="false" indent="0" shrinkToFit="false"/>
      <protection locked="true" hidden="false"/>
    </xf>
    <xf numFmtId="164" fontId="4" fillId="0" borderId="26" xfId="0" applyFont="true" applyBorder="true" applyAlignment="true" applyProtection="true">
      <alignment horizontal="general" vertical="bottom" textRotation="0" wrapText="false" indent="0" shrinkToFit="false"/>
      <protection locked="true" hidden="false"/>
    </xf>
    <xf numFmtId="164" fontId="4" fillId="0" borderId="27" xfId="0" applyFont="true" applyBorder="true" applyAlignment="true" applyProtection="true">
      <alignment horizontal="general" vertical="bottom" textRotation="0" wrapText="false" indent="0" shrinkToFit="false"/>
      <protection locked="true" hidden="false"/>
    </xf>
    <xf numFmtId="164" fontId="4" fillId="0" borderId="28" xfId="0" applyFont="true" applyBorder="true" applyAlignment="true" applyProtection="true">
      <alignment horizontal="general" vertical="bottom" textRotation="0" wrapText="false" indent="0" shrinkToFit="false"/>
      <protection locked="true" hidden="false"/>
    </xf>
    <xf numFmtId="164" fontId="4" fillId="0" borderId="29" xfId="0" applyFont="true" applyBorder="true" applyAlignment="true" applyProtection="true">
      <alignment horizontal="general" vertical="bottom" textRotation="0" wrapText="false" indent="0" shrinkToFit="false"/>
      <protection locked="true" hidden="false"/>
    </xf>
    <xf numFmtId="164" fontId="4" fillId="0" borderId="17" xfId="0" applyFont="true" applyBorder="true" applyAlignment="true" applyProtection="true">
      <alignment horizontal="general" vertical="bottom" textRotation="0" wrapText="false" indent="0" shrinkToFit="false"/>
      <protection locked="true" hidden="false"/>
    </xf>
    <xf numFmtId="165" fontId="4" fillId="0" borderId="19" xfId="0" applyFont="true" applyBorder="true" applyAlignment="true" applyProtection="true">
      <alignment horizontal="center" vertical="bottom" textRotation="0" wrapText="false" indent="0" shrinkToFit="false"/>
      <protection locked="true" hidden="false"/>
    </xf>
    <xf numFmtId="205" fontId="4" fillId="4" borderId="26" xfId="0" applyFont="true" applyBorder="true" applyAlignment="true" applyProtection="true">
      <alignment horizontal="general" vertical="bottom" textRotation="0" wrapText="false" indent="0" shrinkToFit="false"/>
      <protection locked="false" hidden="false"/>
    </xf>
    <xf numFmtId="206" fontId="4" fillId="0" borderId="31" xfId="0" applyFont="true" applyBorder="true" applyAlignment="true" applyProtection="true">
      <alignment horizontal="general" vertical="bottom" textRotation="0" wrapText="false" indent="0" shrinkToFit="false"/>
      <protection locked="true" hidden="false"/>
    </xf>
    <xf numFmtId="207" fontId="4" fillId="0" borderId="25" xfId="0" applyFont="true" applyBorder="true" applyAlignment="true" applyProtection="true">
      <alignment horizontal="center" vertical="bottom" textRotation="0" wrapText="false" indent="0" shrinkToFit="false"/>
      <protection locked="true" hidden="false"/>
    </xf>
    <xf numFmtId="208" fontId="4" fillId="0" borderId="26" xfId="0" applyFont="true" applyBorder="true" applyAlignment="true" applyProtection="true">
      <alignment horizontal="center" vertical="bottom" textRotation="0" wrapText="false" indent="0" shrinkToFit="false"/>
      <protection locked="true" hidden="false"/>
    </xf>
    <xf numFmtId="209" fontId="4" fillId="0" borderId="0" xfId="0" applyFont="true" applyBorder="true" applyAlignment="true" applyProtection="true">
      <alignment horizontal="center" vertical="bottom" textRotation="0" wrapText="false" indent="0" shrinkToFit="false"/>
      <protection locked="true" hidden="false"/>
    </xf>
    <xf numFmtId="205" fontId="4" fillId="0" borderId="28" xfId="0" applyFont="true" applyBorder="true" applyAlignment="true" applyProtection="true">
      <alignment horizontal="center" vertical="bottom" textRotation="0" wrapText="false" indent="0" shrinkToFit="false"/>
      <protection locked="true" hidden="false"/>
    </xf>
    <xf numFmtId="209" fontId="4" fillId="0" borderId="30" xfId="0" applyFont="true" applyBorder="true" applyAlignment="true" applyProtection="true">
      <alignment horizontal="center" vertical="bottom" textRotation="0" wrapText="false" indent="0" shrinkToFit="false"/>
      <protection locked="true" hidden="false"/>
    </xf>
    <xf numFmtId="205" fontId="4" fillId="0" borderId="31" xfId="0" applyFont="true" applyBorder="true" applyAlignment="true" applyProtection="true">
      <alignment horizontal="center" vertical="bottom" textRotation="0" wrapText="false" indent="0" shrinkToFit="false"/>
      <protection locked="true" hidden="false"/>
    </xf>
    <xf numFmtId="164" fontId="56" fillId="0" borderId="0" xfId="0" applyFont="true" applyBorder="true" applyAlignment="true" applyProtection="true">
      <alignment horizontal="general" vertical="bottom" textRotation="0" wrapText="false" indent="0" shrinkToFit="false"/>
      <protection locked="true" hidden="false"/>
    </xf>
    <xf numFmtId="210" fontId="4" fillId="4" borderId="26" xfId="0" applyFont="true" applyBorder="true" applyAlignment="true" applyProtection="true">
      <alignment horizontal="center" vertical="bottom" textRotation="0" wrapText="false" indent="0" shrinkToFit="false"/>
      <protection locked="true" hidden="false"/>
    </xf>
    <xf numFmtId="211" fontId="4" fillId="0" borderId="31" xfId="0" applyFont="true" applyBorder="true" applyAlignment="true" applyProtection="true">
      <alignment horizontal="center" vertical="bottom" textRotation="0" wrapText="false" indent="0" shrinkToFit="false"/>
      <protection locked="true" hidden="false"/>
    </xf>
    <xf numFmtId="164" fontId="4" fillId="0" borderId="24" xfId="0" applyFont="true" applyBorder="true" applyAlignment="true" applyProtection="true">
      <alignment horizontal="left" vertical="bottom" textRotation="0" wrapText="false" indent="0" shrinkToFit="false"/>
      <protection locked="true" hidden="false"/>
    </xf>
    <xf numFmtId="209" fontId="4" fillId="0" borderId="25" xfId="0" applyFont="true" applyBorder="true" applyAlignment="true" applyProtection="true">
      <alignment horizontal="center" vertical="bottom" textRotation="0" wrapText="false" indent="0" shrinkToFit="false"/>
      <protection locked="true" hidden="false"/>
    </xf>
    <xf numFmtId="205" fontId="4" fillId="0" borderId="26" xfId="0" applyFont="true" applyBorder="true" applyAlignment="true" applyProtection="true">
      <alignment horizontal="center" vertical="bottom" textRotation="0" wrapText="false" indent="0" shrinkToFit="false"/>
      <protection locked="true" hidden="false"/>
    </xf>
    <xf numFmtId="164" fontId="4" fillId="0" borderId="29" xfId="0" applyFont="tru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left" vertical="bottom" textRotation="0" wrapText="false" indent="0" shrinkToFit="false"/>
      <protection locked="true" hidden="false"/>
    </xf>
    <xf numFmtId="209" fontId="0" fillId="0" borderId="0" xfId="0" applyFont="false" applyBorder="true" applyAlignment="true" applyProtection="true">
      <alignment horizontal="general" vertical="bottom" textRotation="0" wrapText="false" indent="0" shrinkToFit="false"/>
      <protection locked="true" hidden="false"/>
    </xf>
    <xf numFmtId="205" fontId="0" fillId="0" borderId="0" xfId="0" applyFont="false" applyBorder="true" applyAlignment="true" applyProtection="true">
      <alignment horizontal="general" vertical="bottom" textRotation="0" wrapText="false" indent="0" shrinkToFit="false"/>
      <protection locked="true" hidden="false"/>
    </xf>
    <xf numFmtId="205" fontId="4" fillId="4" borderId="26" xfId="0" applyFont="true" applyBorder="true" applyAlignment="true" applyProtection="true">
      <alignment horizontal="center" vertical="bottom" textRotation="0" wrapText="false" indent="0" shrinkToFit="false"/>
      <protection locked="false" hidden="false"/>
    </xf>
    <xf numFmtId="211" fontId="0" fillId="0" borderId="0" xfId="0" applyFont="true" applyBorder="true" applyAlignment="true" applyProtection="true">
      <alignment horizontal="general" vertical="bottom" textRotation="0" wrapText="false" indent="0" shrinkToFit="false"/>
      <protection locked="true" hidden="false"/>
    </xf>
    <xf numFmtId="212" fontId="4" fillId="0" borderId="31" xfId="0" applyFont="true" applyBorder="true" applyAlignment="true" applyProtection="true">
      <alignment horizontal="center"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54">
    <dxf>
      <font>
        <color rgb="FFFF0000"/>
      </font>
    </dxf>
    <dxf>
      <font>
        <color rgb="FF000000"/>
      </font>
    </dxf>
    <dxf>
      <font>
        <color rgb="FFCC6600"/>
      </font>
    </dxf>
    <dxf>
      <font>
        <color rgb="FFCC6600"/>
      </font>
    </dxf>
    <dxf>
      <font>
        <color rgb="FFCC6600"/>
      </font>
    </dxf>
    <dxf>
      <font>
        <color rgb="FFCC6600"/>
      </font>
    </dxf>
    <dxf>
      <font>
        <color rgb="FFCC6600"/>
      </font>
    </dxf>
    <dxf>
      <font>
        <color rgb="FFCC6600"/>
      </font>
    </dxf>
    <dxf>
      <font>
        <color rgb="FFCC6600"/>
      </font>
    </dxf>
    <dxf>
      <font>
        <color rgb="FFCC6600"/>
      </font>
    </dxf>
    <dxf>
      <font>
        <color rgb="FFFF0000"/>
      </font>
    </dxf>
    <dxf>
      <font>
        <color rgb="FF808080"/>
      </font>
    </dxf>
    <dxf>
      <font>
        <color rgb="FFFFFFFF"/>
      </font>
      <border diagonalUp="false" diagonalDown="false">
        <left/>
        <right/>
        <top/>
        <bottom/>
        <diagonal/>
      </border>
    </dxf>
    <dxf>
      <font>
        <color rgb="FFFFFFFF"/>
      </font>
      <fill>
        <patternFill>
          <bgColor theme="0"/>
        </patternFill>
      </fill>
      <border diagonalUp="false" diagonalDown="false">
        <left/>
        <right/>
        <top/>
        <bottom/>
        <diagonal/>
      </border>
    </dxf>
    <dxf>
      <font>
        <color rgb="FFFF0000"/>
      </font>
    </dxf>
    <dxf>
      <font>
        <color rgb="FFFF0000"/>
      </font>
    </dxf>
    <dxf>
      <font>
        <color rgb="FFFF0000"/>
      </font>
    </dxf>
    <dxf>
      <font>
        <color rgb="FFFF0000"/>
      </font>
    </dxf>
    <dxf>
      <font>
        <color rgb="FFFF0000"/>
      </font>
    </dxf>
    <dxf>
      <font>
        <color rgb="FFFF0000"/>
      </font>
    </dxf>
    <dxf>
      <font>
        <color rgb="FFFFFFFF"/>
      </font>
      <border diagonalUp="false" diagonalDown="false">
        <left/>
        <right/>
        <top/>
        <bottom/>
        <diagonal/>
      </border>
    </dxf>
    <dxf>
      <font>
        <color rgb="FF00FF00"/>
      </font>
    </dxf>
    <dxf>
      <font>
        <color rgb="FFFFFFFF"/>
      </font>
      <fill>
        <patternFill>
          <bgColor rgb="FFFFFFFF"/>
        </patternFill>
      </fill>
      <border diagonalUp="false" diagonalDown="false">
        <left/>
        <right/>
        <top/>
        <bottom/>
        <diagonal/>
      </border>
    </dxf>
    <dxf>
      <font>
        <color rgb="FFFFFFFF"/>
      </font>
      <border diagonalUp="false" diagonalDown="false">
        <left/>
        <right/>
        <top/>
        <bottom/>
        <diagonal/>
      </border>
    </dxf>
    <dxf>
      <font>
        <color rgb="FFFF0000"/>
      </font>
    </dxf>
    <dxf>
      <font>
        <color rgb="FF000000"/>
      </font>
    </dxf>
    <dxf>
      <font>
        <color rgb="FFFFFFFF"/>
      </font>
    </dxf>
    <dxf>
      <font>
        <color rgb="FFFFFFFF"/>
      </font>
      <fill>
        <patternFill>
          <bgColor theme="0"/>
        </patternFill>
      </fill>
      <border diagonalUp="false" diagonalDown="false">
        <left/>
        <right/>
        <top/>
        <bottom/>
        <diagonal/>
      </border>
    </dxf>
    <dxf>
      <fill>
        <patternFill>
          <bgColor rgb="FFFF0000"/>
        </patternFill>
      </fill>
    </dxf>
    <dxf>
      <fill>
        <patternFill>
          <bgColor rgb="FFFF0000"/>
        </patternFill>
      </fill>
    </dxf>
    <dxf>
      <font>
        <color rgb="FFCC6600"/>
      </font>
    </dxf>
    <dxf>
      <font>
        <color rgb="FFCC6600"/>
      </font>
    </dxf>
    <dxf>
      <font>
        <color rgb="FF808080"/>
      </font>
    </dxf>
    <dxf>
      <font>
        <color rgb="FFFF0000"/>
      </font>
    </dxf>
    <dxf>
      <font>
        <color rgb="FFFFFFFF"/>
      </font>
      <border diagonalUp="false" diagonalDown="false">
        <left/>
        <right/>
        <top/>
        <bottom/>
        <diagonal/>
      </border>
    </dxf>
    <dxf>
      <font>
        <color rgb="FFFFFFFF"/>
      </font>
      <border diagonalUp="false" diagonalDown="false">
        <left/>
        <right/>
        <top/>
        <bottom/>
        <diagonal/>
      </border>
    </dxf>
    <dxf>
      <font>
        <color rgb="FF99CCFF"/>
      </font>
    </dxf>
    <dxf>
      <fill>
        <patternFill>
          <bgColor rgb="FFFF0000"/>
        </patternFill>
      </fill>
    </dxf>
    <dxf>
      <font>
        <color rgb="FFFFFFFF"/>
      </font>
      <fill>
        <patternFill>
          <bgColor theme="0"/>
        </patternFill>
      </fill>
      <border diagonalUp="false" diagonalDown="false">
        <left/>
        <right/>
        <top/>
        <bottom/>
        <diagonal/>
      </border>
    </dxf>
    <dxf>
      <font>
        <color rgb="FFFFFFFF"/>
      </font>
      <fill>
        <patternFill>
          <bgColor theme="0"/>
        </patternFill>
      </fill>
      <border diagonalUp="false" diagonalDown="false">
        <left/>
        <right/>
        <top/>
        <bottom/>
        <diagonal/>
      </border>
    </dxf>
    <dxf>
      <fill>
        <patternFill>
          <bgColor rgb="FFFF0000"/>
        </patternFill>
      </fill>
    </dxf>
    <dxf>
      <font>
        <color rgb="FFCCFFFF"/>
      </font>
    </dxf>
    <dxf>
      <fill>
        <patternFill>
          <bgColor rgb="FFFF0000"/>
        </patternFill>
      </fill>
    </dxf>
    <dxf>
      <fill>
        <patternFill>
          <bgColor rgb="FFFF0000"/>
        </patternFill>
      </fill>
    </dxf>
    <dxf>
      <fill>
        <patternFill>
          <bgColor rgb="FFFF0000"/>
        </patternFill>
      </fill>
    </dxf>
    <dxf>
      <font>
        <color rgb="FFFFFFFF"/>
      </font>
      <fill>
        <patternFill>
          <bgColor rgb="FFFFFFFF"/>
        </patternFill>
      </fill>
      <border diagonalUp="false" diagonalDown="false">
        <left/>
        <right/>
        <top/>
        <bottom/>
        <diagonal/>
      </border>
    </dxf>
    <dxf>
      <font>
        <color rgb="FFFFCC99"/>
      </font>
    </dxf>
    <dxf>
      <font>
        <name val="Cambria"/>
        <charset val="1"/>
        <family val="0"/>
        <color rgb="FFFFFF99"/>
      </font>
    </dxf>
    <dxf>
      <fill>
        <patternFill>
          <bgColor rgb="FFFFCCFF"/>
        </patternFill>
      </fill>
    </dxf>
    <dxf>
      <fill>
        <patternFill>
          <bgColor rgb="FFC0C0C0"/>
        </patternFill>
      </fill>
    </dxf>
    <dxf>
      <fill>
        <patternFill>
          <bgColor rgb="FFFFFFCC"/>
        </patternFill>
      </fill>
    </dxf>
    <dxf>
      <font>
        <color rgb="FFFFFFFF"/>
      </font>
    </dxf>
    <dxf>
      <font>
        <color rgb="FFFFFFFF"/>
      </font>
    </dxf>
    <dxf>
      <font>
        <color rgb="FFFFFFFF"/>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CC6600"/>
      <rgbColor rgb="FF800080"/>
      <rgbColor rgb="FF008080"/>
      <rgbColor rgb="FFC0C0C0"/>
      <rgbColor rgb="FF808080"/>
      <rgbColor rgb="FF9999FF"/>
      <rgbColor rgb="FFBE4B48"/>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E6E6E6"/>
      <rgbColor rgb="FFCCFFCC"/>
      <rgbColor rgb="FFFFFF99"/>
      <rgbColor rgb="FF99CCFF"/>
      <rgbColor rgb="FFFFCCFF"/>
      <rgbColor rgb="FFB3B3B3"/>
      <rgbColor rgb="FFFFCC99"/>
      <rgbColor rgb="FF3366FF"/>
      <rgbColor rgb="FF33CCCC"/>
      <rgbColor rgb="FF98B855"/>
      <rgbColor rgb="FFFFCC00"/>
      <rgbColor rgb="FFFF9900"/>
      <rgbColor rgb="FFFF6600"/>
      <rgbColor rgb="FF4A7EBB"/>
      <rgbColor rgb="FF878787"/>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479696034196153"/>
          <c:y val="0.0646751740139211"/>
          <c:w val="0.848492044644977"/>
          <c:h val="0.905452436194896"/>
        </c:manualLayout>
      </c:layout>
      <c:scatterChart>
        <c:scatterStyle val="lineMarker"/>
        <c:varyColors val="0"/>
        <c:ser>
          <c:idx val="0"/>
          <c:order val="0"/>
          <c:tx>
            <c:strRef>
              <c:f>"fuselage"</c:f>
              <c:strCache>
                <c:ptCount val="1"/>
                <c:pt idx="0">
                  <c:v>fuselage</c:v>
                </c:pt>
              </c:strCache>
            </c:strRef>
          </c:tx>
          <c:spPr>
            <a:solidFill>
              <a:srgbClr val="000080"/>
            </a:solidFill>
            <a:ln w="25560">
              <a:solidFill>
                <a:srgbClr val="00008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Stabilito!$D$124:$D$131</c:f>
              <c:numCache>
                <c:formatCode>General</c:formatCode>
                <c:ptCount val="8"/>
                <c:pt idx="0">
                  <c:v>0</c:v>
                </c:pt>
                <c:pt idx="1">
                  <c:v>60</c:v>
                </c:pt>
                <c:pt idx="2">
                  <c:v>60</c:v>
                </c:pt>
                <c:pt idx="3">
                  <c:v>60</c:v>
                </c:pt>
                <c:pt idx="4">
                  <c:v>60</c:v>
                </c:pt>
                <c:pt idx="5">
                  <c:v>60</c:v>
                </c:pt>
                <c:pt idx="6">
                  <c:v>60</c:v>
                </c:pt>
                <c:pt idx="7">
                  <c:v>0</c:v>
                </c:pt>
              </c:numCache>
            </c:numRef>
          </c:xVal>
          <c:yVal>
            <c:numRef>
              <c:f>Stabilito!$C$124:$C$131</c:f>
              <c:numCache>
                <c:formatCode>General</c:formatCode>
                <c:ptCount val="8"/>
                <c:pt idx="0">
                  <c:v>-400</c:v>
                </c:pt>
                <c:pt idx="1">
                  <c:v>-400</c:v>
                </c:pt>
                <c:pt idx="2">
                  <c:v>-400</c:v>
                </c:pt>
                <c:pt idx="3">
                  <c:v>-400</c:v>
                </c:pt>
                <c:pt idx="4">
                  <c:v>-400</c:v>
                </c:pt>
                <c:pt idx="5">
                  <c:v>-400</c:v>
                </c:pt>
                <c:pt idx="6">
                  <c:v>-1660</c:v>
                </c:pt>
                <c:pt idx="7">
                  <c:v>-1660</c:v>
                </c:pt>
              </c:numCache>
            </c:numRef>
          </c:yVal>
          <c:smooth val="0"/>
        </c:ser>
        <c:ser>
          <c:idx val="1"/>
          <c:order val="1"/>
          <c:tx>
            <c:strRef>
              <c:f>"aileron"</c:f>
              <c:strCache>
                <c:ptCount val="1"/>
                <c:pt idx="0">
                  <c:v>aileron</c:v>
                </c:pt>
              </c:strCache>
            </c:strRef>
          </c:tx>
          <c:spPr>
            <a:solidFill>
              <a:srgbClr val="00ff00"/>
            </a:solidFill>
            <a:ln w="25560">
              <a:solidFill>
                <a:srgbClr val="00ff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Stabilito!$D$132:$D$136</c:f>
              <c:numCache>
                <c:formatCode>General</c:formatCode>
                <c:ptCount val="5"/>
                <c:pt idx="0">
                  <c:v>60</c:v>
                </c:pt>
                <c:pt idx="1">
                  <c:v>225</c:v>
                </c:pt>
                <c:pt idx="2">
                  <c:v>225</c:v>
                </c:pt>
                <c:pt idx="3">
                  <c:v>60</c:v>
                </c:pt>
                <c:pt idx="4">
                  <c:v>60</c:v>
                </c:pt>
              </c:numCache>
            </c:numRef>
          </c:xVal>
          <c:yVal>
            <c:numRef>
              <c:f>Stabilito!$C$132:$C$136</c:f>
              <c:numCache>
                <c:formatCode>General</c:formatCode>
                <c:ptCount val="5"/>
                <c:pt idx="0">
                  <c:v>-1470</c:v>
                </c:pt>
                <c:pt idx="1">
                  <c:v>-1635</c:v>
                </c:pt>
                <c:pt idx="2">
                  <c:v>-1722</c:v>
                </c:pt>
                <c:pt idx="3">
                  <c:v>-1660</c:v>
                </c:pt>
                <c:pt idx="4">
                  <c:v>-1470</c:v>
                </c:pt>
              </c:numCache>
            </c:numRef>
          </c:yVal>
          <c:smooth val="0"/>
        </c:ser>
        <c:ser>
          <c:idx val="2"/>
          <c:order val="2"/>
          <c:tx>
            <c:strRef>
              <c:f>"fuselage2"</c:f>
              <c:strCache>
                <c:ptCount val="1"/>
                <c:pt idx="0">
                  <c:v>fuselage2</c:v>
                </c:pt>
              </c:strCache>
            </c:strRef>
          </c:tx>
          <c:spPr>
            <a:solidFill>
              <a:srgbClr val="000080"/>
            </a:solidFill>
            <a:ln w="25560">
              <a:solidFill>
                <a:srgbClr val="00008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Stabilito!$E$124:$E$131</c:f>
              <c:numCache>
                <c:formatCode>General</c:formatCode>
                <c:ptCount val="8"/>
                <c:pt idx="0">
                  <c:v>-0</c:v>
                </c:pt>
                <c:pt idx="1">
                  <c:v>-60</c:v>
                </c:pt>
                <c:pt idx="2">
                  <c:v>-60</c:v>
                </c:pt>
                <c:pt idx="3">
                  <c:v>-60</c:v>
                </c:pt>
                <c:pt idx="4">
                  <c:v>-60</c:v>
                </c:pt>
                <c:pt idx="5">
                  <c:v>-60</c:v>
                </c:pt>
                <c:pt idx="6">
                  <c:v>-60</c:v>
                </c:pt>
                <c:pt idx="7">
                  <c:v>-0</c:v>
                </c:pt>
              </c:numCache>
            </c:numRef>
          </c:xVal>
          <c:yVal>
            <c:numRef>
              <c:f>Stabilito!$C$124:$C$131</c:f>
              <c:numCache>
                <c:formatCode>General</c:formatCode>
                <c:ptCount val="8"/>
                <c:pt idx="0">
                  <c:v>-400</c:v>
                </c:pt>
                <c:pt idx="1">
                  <c:v>-400</c:v>
                </c:pt>
                <c:pt idx="2">
                  <c:v>-400</c:v>
                </c:pt>
                <c:pt idx="3">
                  <c:v>-400</c:v>
                </c:pt>
                <c:pt idx="4">
                  <c:v>-400</c:v>
                </c:pt>
                <c:pt idx="5">
                  <c:v>-400</c:v>
                </c:pt>
                <c:pt idx="6">
                  <c:v>-1660</c:v>
                </c:pt>
                <c:pt idx="7">
                  <c:v>-1660</c:v>
                </c:pt>
              </c:numCache>
            </c:numRef>
          </c:yVal>
          <c:smooth val="0"/>
        </c:ser>
        <c:ser>
          <c:idx val="3"/>
          <c:order val="3"/>
          <c:tx>
            <c:strRef>
              <c:f>"aileron2"</c:f>
              <c:strCache>
                <c:ptCount val="1"/>
                <c:pt idx="0">
                  <c:v>aileron2</c:v>
                </c:pt>
              </c:strCache>
            </c:strRef>
          </c:tx>
          <c:spPr>
            <a:solidFill>
              <a:srgbClr val="00ff00"/>
            </a:solidFill>
            <a:ln w="25560">
              <a:solidFill>
                <a:srgbClr val="00ff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Stabilito!$E$132:$E$136</c:f>
              <c:numCache>
                <c:formatCode>General</c:formatCode>
                <c:ptCount val="5"/>
                <c:pt idx="0">
                  <c:v>-60</c:v>
                </c:pt>
                <c:pt idx="1">
                  <c:v>-225</c:v>
                </c:pt>
                <c:pt idx="2">
                  <c:v>-225</c:v>
                </c:pt>
                <c:pt idx="3">
                  <c:v>-60</c:v>
                </c:pt>
                <c:pt idx="4">
                  <c:v>-60</c:v>
                </c:pt>
              </c:numCache>
            </c:numRef>
          </c:xVal>
          <c:yVal>
            <c:numRef>
              <c:f>Stabilito!$C$132:$C$136</c:f>
              <c:numCache>
                <c:formatCode>General</c:formatCode>
                <c:ptCount val="5"/>
                <c:pt idx="0">
                  <c:v>-1470</c:v>
                </c:pt>
                <c:pt idx="1">
                  <c:v>-1635</c:v>
                </c:pt>
                <c:pt idx="2">
                  <c:v>-1722</c:v>
                </c:pt>
                <c:pt idx="3">
                  <c:v>-1660</c:v>
                </c:pt>
                <c:pt idx="4">
                  <c:v>-1470</c:v>
                </c:pt>
              </c:numCache>
            </c:numRef>
          </c:yVal>
          <c:smooth val="0"/>
        </c:ser>
        <c:ser>
          <c:idx val="4"/>
          <c:order val="4"/>
          <c:tx>
            <c:strRef>
              <c:f>Stabilito!$B$12</c:f>
              <c:strCache>
                <c:ptCount val="1"/>
                <c:pt idx="0">
                  <c:v>Centre de Masse</c:v>
                </c:pt>
              </c:strCache>
            </c:strRef>
          </c:tx>
          <c:spPr>
            <a:solidFill>
              <a:srgbClr val="0000ff"/>
            </a:solidFill>
            <a:ln w="25560">
              <a:solidFill>
                <a:srgbClr val="0000ff"/>
              </a:solidFill>
              <a:round/>
            </a:ln>
          </c:spPr>
          <c:marker>
            <c:symbol val="circle"/>
            <c:size val="5"/>
            <c:spPr>
              <a:solidFill>
                <a:srgbClr val="0000ff"/>
              </a:solidFill>
            </c:spPr>
          </c:marker>
          <c:dPt>
            <c:idx val="1"/>
            <c:marker>
              <c:symbol val="circle"/>
              <c:size val="5"/>
              <c:spPr>
                <a:solidFill>
                  <a:srgbClr val="0000ff"/>
                </a:solidFill>
              </c:spPr>
            </c:marker>
          </c:dPt>
          <c:dLbls>
            <c:dLbl>
              <c:idx val="1"/>
              <c:txPr>
                <a:bodyPr wrap="square"/>
                <a:lstStyle/>
                <a:p>
                  <a:pPr>
                    <a:defRPr b="0" sz="800" spc="-1" strike="noStrike">
                      <a:solidFill>
                        <a:srgbClr val="0000ff"/>
                      </a:solidFill>
                      <a:latin typeface="Arial"/>
                      <a:ea typeface="Arial"/>
                    </a:defRPr>
                  </a:pPr>
                </a:p>
              </c:txPr>
              <c:dLblPos val="t"/>
              <c:showLegendKey val="0"/>
              <c:showVal val="0"/>
              <c:showCatName val="0"/>
              <c:showSerName val="1"/>
              <c:showPercent val="0"/>
              <c:separator> </c:separator>
            </c:dLbl>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Stabilito!$D$149:$D$150</c:f>
              <c:numCache>
                <c:formatCode>General</c:formatCode>
                <c:ptCount val="2"/>
                <c:pt idx="0">
                  <c:v>0</c:v>
                </c:pt>
                <c:pt idx="1">
                  <c:v>0</c:v>
                </c:pt>
              </c:numCache>
            </c:numRef>
          </c:xVal>
          <c:yVal>
            <c:numRef>
              <c:f>Stabilito!$C$149:$C$150</c:f>
              <c:numCache>
                <c:formatCode>General</c:formatCode>
                <c:ptCount val="2"/>
                <c:pt idx="0">
                  <c:v>-795.860658661277</c:v>
                </c:pt>
                <c:pt idx="1">
                  <c:v>-707.310653293576</c:v>
                </c:pt>
              </c:numCache>
            </c:numRef>
          </c:yVal>
          <c:smooth val="0"/>
        </c:ser>
        <c:ser>
          <c:idx val="5"/>
          <c:order val="5"/>
          <c:tx>
            <c:strRef>
              <c:f>Stabilito!$F$28</c:f>
              <c:strCache>
                <c:ptCount val="1"/>
                <c:pt idx="0">
                  <c:v>Portance</c:v>
                </c:pt>
              </c:strCache>
            </c:strRef>
          </c:tx>
          <c:spPr>
            <a:solidFill>
              <a:srgbClr val="800000"/>
            </a:solidFill>
            <a:ln w="25560">
              <a:solidFill>
                <a:srgbClr val="800000"/>
              </a:solidFill>
              <a:round/>
            </a:ln>
          </c:spPr>
          <c:marker>
            <c:symbol val="diamond"/>
            <c:size val="5"/>
            <c:spPr>
              <a:solidFill>
                <a:srgbClr val="800000"/>
              </a:solidFill>
            </c:spPr>
          </c:marker>
          <c:dPt>
            <c:idx val="1"/>
            <c:marker>
              <c:symbol val="diamond"/>
              <c:size val="5"/>
              <c:spPr>
                <a:solidFill>
                  <a:srgbClr val="800000"/>
                </a:solidFill>
              </c:spPr>
            </c:marker>
          </c:dPt>
          <c:dLbls>
            <c:dLbl>
              <c:idx val="1"/>
              <c:txPr>
                <a:bodyPr wrap="square"/>
                <a:lstStyle/>
                <a:p>
                  <a:pPr>
                    <a:defRPr b="0" sz="800" spc="-1" strike="noStrike">
                      <a:solidFill>
                        <a:srgbClr val="800000"/>
                      </a:solidFill>
                      <a:latin typeface="Arial"/>
                      <a:ea typeface="Arial"/>
                    </a:defRPr>
                  </a:pPr>
                </a:p>
              </c:txPr>
              <c:dLblPos val="t"/>
              <c:showLegendKey val="0"/>
              <c:showVal val="0"/>
              <c:showCatName val="0"/>
              <c:showSerName val="1"/>
              <c:showPercent val="0"/>
              <c:separator> </c:separator>
            </c:dLbl>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Stabilito!$D$151:$D$154</c:f>
              <c:numCache>
                <c:formatCode>General</c:formatCode>
                <c:ptCount val="4"/>
                <c:pt idx="0">
                  <c:v>0</c:v>
                </c:pt>
                <c:pt idx="3">
                  <c:v>0</c:v>
                </c:pt>
              </c:numCache>
            </c:numRef>
          </c:xVal>
          <c:yVal>
            <c:numRef>
              <c:f>Stabilito!$C$151:$C$154</c:f>
              <c:numCache>
                <c:formatCode>General</c:formatCode>
                <c:ptCount val="4"/>
                <c:pt idx="0">
                  <c:v>-881.788009829229</c:v>
                </c:pt>
                <c:pt idx="1">
                  <c:v>-881.788009829229</c:v>
                </c:pt>
                <c:pt idx="2">
                  <c:v>-881.788009829229</c:v>
                </c:pt>
                <c:pt idx="3">
                  <c:v>-881.788009829229</c:v>
                </c:pt>
              </c:numCache>
            </c:numRef>
          </c:yVal>
          <c:smooth val="0"/>
        </c:ser>
        <c:ser>
          <c:idx val="6"/>
          <c:order val="6"/>
          <c:tx>
            <c:strRef>
              <c:f>"canard"</c:f>
              <c:strCache>
                <c:ptCount val="1"/>
                <c:pt idx="0">
                  <c:v>canard</c:v>
                </c:pt>
              </c:strCache>
            </c:strRef>
          </c:tx>
          <c:spPr>
            <a:solidFill>
              <a:srgbClr val="008000"/>
            </a:solidFill>
            <a:ln w="25560">
              <a:solidFill>
                <a:srgbClr val="008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Stabilito!$D$158:$D$162</c:f>
              <c:numCache>
                <c:formatCode>General</c:formatCode>
                <c:ptCount val="5"/>
              </c:numCache>
            </c:numRef>
          </c:xVal>
          <c:yVal>
            <c:numRef>
              <c:f>Stabilito!$C$158:$C$162</c:f>
              <c:numCache>
                <c:formatCode>General</c:formatCode>
                <c:ptCount val="5"/>
              </c:numCache>
            </c:numRef>
          </c:yVal>
          <c:smooth val="0"/>
        </c:ser>
        <c:ser>
          <c:idx val="7"/>
          <c:order val="7"/>
          <c:tx>
            <c:strRef>
              <c:f>"canard2"</c:f>
              <c:strCache>
                <c:ptCount val="1"/>
                <c:pt idx="0">
                  <c:v>canard2</c:v>
                </c:pt>
              </c:strCache>
            </c:strRef>
          </c:tx>
          <c:spPr>
            <a:solidFill>
              <a:srgbClr val="008000"/>
            </a:solidFill>
            <a:ln w="25560">
              <a:solidFill>
                <a:srgbClr val="008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Stabilito!$E$158:$E$162</c:f>
              <c:numCache>
                <c:formatCode>General</c:formatCode>
                <c:ptCount val="5"/>
              </c:numCache>
            </c:numRef>
          </c:xVal>
          <c:yVal>
            <c:numRef>
              <c:f>Stabilito!$C$158:$C$162</c:f>
              <c:numCache>
                <c:formatCode>General</c:formatCode>
                <c:ptCount val="5"/>
              </c:numCache>
            </c:numRef>
          </c:yVal>
          <c:smooth val="0"/>
        </c:ser>
        <c:ser>
          <c:idx val="8"/>
          <c:order val="8"/>
          <c:tx>
            <c:strRef>
              <c:f>"masquage"</c:f>
              <c:strCache>
                <c:ptCount val="1"/>
                <c:pt idx="0">
                  <c:v>masquage</c:v>
                </c:pt>
              </c:strCache>
            </c:strRef>
          </c:tx>
          <c:spPr>
            <a:solidFill>
              <a:srgbClr val="ff0000"/>
            </a:solidFill>
            <a:ln w="25560">
              <a:solidFill>
                <a:srgbClr val="ff0000"/>
              </a:solidFill>
              <a:prstDash val="sysDash"/>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Stabilito!$D$163:$D$167</c:f>
              <c:numCache>
                <c:formatCode>General</c:formatCode>
                <c:ptCount val="5"/>
                <c:pt idx="0">
                  <c:v>0</c:v>
                </c:pt>
                <c:pt idx="1">
                  <c:v>0</c:v>
                </c:pt>
                <c:pt idx="2">
                  <c:v>0</c:v>
                </c:pt>
                <c:pt idx="3">
                  <c:v>0</c:v>
                </c:pt>
                <c:pt idx="4">
                  <c:v>0</c:v>
                </c:pt>
              </c:numCache>
            </c:numRef>
          </c:xVal>
          <c:yVal>
            <c:numRef>
              <c:f>Stabilito!$C$163:$C$167</c:f>
              <c:numCache>
                <c:formatCode>General</c:formatCode>
                <c:ptCount val="5"/>
                <c:pt idx="0">
                  <c:v>0</c:v>
                </c:pt>
                <c:pt idx="1">
                  <c:v>0</c:v>
                </c:pt>
                <c:pt idx="2">
                  <c:v>0</c:v>
                </c:pt>
                <c:pt idx="3">
                  <c:v>0</c:v>
                </c:pt>
                <c:pt idx="4">
                  <c:v>0</c:v>
                </c:pt>
              </c:numCache>
            </c:numRef>
          </c:yVal>
          <c:smooth val="0"/>
        </c:ser>
        <c:ser>
          <c:idx val="9"/>
          <c:order val="9"/>
          <c:tx>
            <c:strRef>
              <c:f>"masquage2"</c:f>
              <c:strCache>
                <c:ptCount val="1"/>
                <c:pt idx="0">
                  <c:v>masquage2</c:v>
                </c:pt>
              </c:strCache>
            </c:strRef>
          </c:tx>
          <c:spPr>
            <a:solidFill>
              <a:srgbClr val="ff0000"/>
            </a:solidFill>
            <a:ln w="25560">
              <a:solidFill>
                <a:srgbClr val="ff0000"/>
              </a:solidFill>
              <a:prstDash val="sysDash"/>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Stabilito!$E$163:$E$167</c:f>
              <c:numCache>
                <c:formatCode>General</c:formatCode>
                <c:ptCount val="5"/>
                <c:pt idx="0">
                  <c:v>-0</c:v>
                </c:pt>
                <c:pt idx="1">
                  <c:v>-0</c:v>
                </c:pt>
                <c:pt idx="2">
                  <c:v>-0</c:v>
                </c:pt>
                <c:pt idx="3">
                  <c:v>-0</c:v>
                </c:pt>
                <c:pt idx="4">
                  <c:v>-0</c:v>
                </c:pt>
              </c:numCache>
            </c:numRef>
          </c:xVal>
          <c:yVal>
            <c:numRef>
              <c:f>Stabilito!$C$163:$C$167</c:f>
              <c:numCache>
                <c:formatCode>General</c:formatCode>
                <c:ptCount val="5"/>
                <c:pt idx="0">
                  <c:v>0</c:v>
                </c:pt>
                <c:pt idx="1">
                  <c:v>0</c:v>
                </c:pt>
                <c:pt idx="2">
                  <c:v>0</c:v>
                </c:pt>
                <c:pt idx="3">
                  <c:v>0</c:v>
                </c:pt>
                <c:pt idx="4">
                  <c:v>0</c:v>
                </c:pt>
              </c:numCache>
            </c:numRef>
          </c:yVal>
          <c:smooth val="0"/>
        </c:ser>
        <c:ser>
          <c:idx val="10"/>
          <c:order val="10"/>
          <c:tx>
            <c:strRef>
              <c:f>"cadre"</c:f>
              <c:strCache>
                <c:ptCount val="1"/>
                <c:pt idx="0">
                  <c:v>cadre</c:v>
                </c:pt>
              </c:strCache>
            </c:strRef>
          </c:tx>
          <c:spPr>
            <a:solidFill>
              <a:srgbClr val="ffffff"/>
            </a:solidFill>
            <a:ln w="12600">
              <a:solidFill>
                <a:srgbClr val="ffffff"/>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Stabilito!$D$168:$D$169</c:f>
              <c:numCache>
                <c:formatCode>General</c:formatCode>
                <c:ptCount val="2"/>
                <c:pt idx="0">
                  <c:v>553.333333333333</c:v>
                </c:pt>
                <c:pt idx="1">
                  <c:v>-553.333333333333</c:v>
                </c:pt>
              </c:numCache>
            </c:numRef>
          </c:xVal>
          <c:yVal>
            <c:numRef>
              <c:f>Stabilito!$C$168:$C$169</c:f>
              <c:numCache>
                <c:formatCode>General</c:formatCode>
                <c:ptCount val="2"/>
                <c:pt idx="0">
                  <c:v>-1739.22</c:v>
                </c:pt>
                <c:pt idx="1">
                  <c:v>-1739.22</c:v>
                </c:pt>
              </c:numCache>
            </c:numRef>
          </c:yVal>
          <c:smooth val="0"/>
        </c:ser>
        <c:ser>
          <c:idx val="11"/>
          <c:order val="11"/>
          <c:tx>
            <c:strRef>
              <c:f>"Propu"</c:f>
              <c:strCache>
                <c:ptCount val="1"/>
                <c:pt idx="0">
                  <c:v>Propu</c:v>
                </c:pt>
              </c:strCache>
            </c:strRef>
          </c:tx>
          <c:spPr>
            <a:solidFill>
              <a:srgbClr val="ff00ff"/>
            </a:solidFill>
            <a:ln w="25560">
              <a:solidFill>
                <a:srgbClr val="ff00ff"/>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Stabilito!$D$170:$D$174</c:f>
              <c:numCache>
                <c:formatCode>General</c:formatCode>
                <c:ptCount val="5"/>
                <c:pt idx="0">
                  <c:v>-27</c:v>
                </c:pt>
                <c:pt idx="1">
                  <c:v>27</c:v>
                </c:pt>
                <c:pt idx="2">
                  <c:v>27</c:v>
                </c:pt>
                <c:pt idx="3">
                  <c:v>-27</c:v>
                </c:pt>
                <c:pt idx="4">
                  <c:v>-27</c:v>
                </c:pt>
              </c:numCache>
            </c:numRef>
          </c:xVal>
          <c:yVal>
            <c:numRef>
              <c:f>Stabilito!$C$170:$C$174</c:f>
              <c:numCache>
                <c:formatCode>General</c:formatCode>
                <c:ptCount val="5"/>
                <c:pt idx="0">
                  <c:v>-1172</c:v>
                </c:pt>
                <c:pt idx="1">
                  <c:v>-1172</c:v>
                </c:pt>
                <c:pt idx="2">
                  <c:v>-1660</c:v>
                </c:pt>
                <c:pt idx="3">
                  <c:v>-1660</c:v>
                </c:pt>
                <c:pt idx="4">
                  <c:v>-1172</c:v>
                </c:pt>
              </c:numCache>
            </c:numRef>
          </c:yVal>
          <c:smooth val="0"/>
        </c:ser>
        <c:ser>
          <c:idx val="12"/>
          <c:order val="12"/>
          <c:tx>
            <c:strRef>
              <c:f>"Cone"</c:f>
              <c:strCache>
                <c:ptCount val="1"/>
                <c:pt idx="0">
                  <c:v>Cone</c:v>
                </c:pt>
              </c:strCache>
            </c:strRef>
          </c:tx>
          <c:spPr>
            <a:solidFill>
              <a:srgbClr val="800080"/>
            </a:solidFill>
            <a:ln w="25560">
              <a:solidFill>
                <a:srgbClr val="80008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Stabilito!$D$175:$D$180</c:f>
              <c:numCache>
                <c:formatCode>General</c:formatCode>
                <c:ptCount val="6"/>
                <c:pt idx="0">
                  <c:v>0</c:v>
                </c:pt>
                <c:pt idx="1">
                  <c:v>12</c:v>
                </c:pt>
                <c:pt idx="2">
                  <c:v>30</c:v>
                </c:pt>
                <c:pt idx="3">
                  <c:v>45</c:v>
                </c:pt>
                <c:pt idx="4">
                  <c:v>54</c:v>
                </c:pt>
                <c:pt idx="5">
                  <c:v>60</c:v>
                </c:pt>
              </c:numCache>
            </c:numRef>
          </c:xVal>
          <c:yVal>
            <c:numRef>
              <c:f>Stabilito!$C$175:$C$180</c:f>
              <c:numCache>
                <c:formatCode>General</c:formatCode>
                <c:ptCount val="6"/>
                <c:pt idx="0">
                  <c:v>0</c:v>
                </c:pt>
                <c:pt idx="1">
                  <c:v>-40</c:v>
                </c:pt>
                <c:pt idx="2">
                  <c:v>-100</c:v>
                </c:pt>
                <c:pt idx="3">
                  <c:v>-200</c:v>
                </c:pt>
                <c:pt idx="4">
                  <c:v>-300</c:v>
                </c:pt>
                <c:pt idx="5">
                  <c:v>-400</c:v>
                </c:pt>
              </c:numCache>
            </c:numRef>
          </c:yVal>
          <c:smooth val="0"/>
        </c:ser>
        <c:ser>
          <c:idx val="13"/>
          <c:order val="13"/>
          <c:tx>
            <c:strRef>
              <c:f>"Cone1"</c:f>
              <c:strCache>
                <c:ptCount val="1"/>
                <c:pt idx="0">
                  <c:v>Cone1</c:v>
                </c:pt>
              </c:strCache>
            </c:strRef>
          </c:tx>
          <c:spPr>
            <a:solidFill>
              <a:srgbClr val="800080"/>
            </a:solidFill>
            <a:ln w="25560">
              <a:solidFill>
                <a:srgbClr val="80008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Stabilito!$E$175:$E$180</c:f>
              <c:numCache>
                <c:formatCode>General</c:formatCode>
                <c:ptCount val="6"/>
                <c:pt idx="0">
                  <c:v>-0</c:v>
                </c:pt>
                <c:pt idx="1">
                  <c:v>-12</c:v>
                </c:pt>
                <c:pt idx="2">
                  <c:v>-30</c:v>
                </c:pt>
                <c:pt idx="3">
                  <c:v>-45</c:v>
                </c:pt>
                <c:pt idx="4">
                  <c:v>-54</c:v>
                </c:pt>
                <c:pt idx="5">
                  <c:v>-60</c:v>
                </c:pt>
              </c:numCache>
            </c:numRef>
          </c:xVal>
          <c:yVal>
            <c:numRef>
              <c:f>Stabilito!$C$175:$C$180</c:f>
              <c:numCache>
                <c:formatCode>General</c:formatCode>
                <c:ptCount val="6"/>
                <c:pt idx="0">
                  <c:v>0</c:v>
                </c:pt>
                <c:pt idx="1">
                  <c:v>-40</c:v>
                </c:pt>
                <c:pt idx="2">
                  <c:v>-100</c:v>
                </c:pt>
                <c:pt idx="3">
                  <c:v>-200</c:v>
                </c:pt>
                <c:pt idx="4">
                  <c:v>-300</c:v>
                </c:pt>
                <c:pt idx="5">
                  <c:v>-400</c:v>
                </c:pt>
              </c:numCache>
            </c:numRef>
          </c:yVal>
          <c:smooth val="0"/>
        </c:ser>
        <c:ser>
          <c:idx val="14"/>
          <c:order val="14"/>
          <c:tx>
            <c:strRef>
              <c:f>Stabilito!$B$137</c:f>
              <c:strCache>
                <c:ptCount val="1"/>
                <c:pt idx="0">
                  <c:v>Envergure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b"/>
              <c:showLegendKey val="0"/>
              <c:showVal val="0"/>
              <c:showCatName val="0"/>
              <c:showSerName val="1"/>
              <c:showPercent val="0"/>
              <c:separator> </c:separator>
            </c:dLbl>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Stabilito!$D$137:$D$139</c:f>
              <c:numCache>
                <c:formatCode>General</c:formatCode>
                <c:ptCount val="3"/>
                <c:pt idx="0">
                  <c:v>-225</c:v>
                </c:pt>
                <c:pt idx="1">
                  <c:v>-142.5</c:v>
                </c:pt>
                <c:pt idx="2">
                  <c:v>-60</c:v>
                </c:pt>
              </c:numCache>
            </c:numRef>
          </c:xVal>
          <c:yVal>
            <c:numRef>
              <c:f>Stabilito!$C$137:$C$139</c:f>
              <c:numCache>
                <c:formatCode>General</c:formatCode>
                <c:ptCount val="3"/>
                <c:pt idx="0">
                  <c:v>-1777.33333333333</c:v>
                </c:pt>
                <c:pt idx="1">
                  <c:v>-1777.33333333333</c:v>
                </c:pt>
                <c:pt idx="2">
                  <c:v>-1777.33333333333</c:v>
                </c:pt>
              </c:numCache>
            </c:numRef>
          </c:yVal>
          <c:smooth val="0"/>
        </c:ser>
        <c:ser>
          <c:idx val="15"/>
          <c:order val="15"/>
          <c:tx>
            <c:strRef>
              <c:f>Stabilito!$B$143</c:f>
              <c:strCache>
                <c:ptCount val="1"/>
                <c:pt idx="0">
                  <c:v>Flèche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Stabilito!$D$143:$D$145</c:f>
              <c:numCache>
                <c:formatCode>General</c:formatCode>
                <c:ptCount val="3"/>
                <c:pt idx="0">
                  <c:v>-280.333333333333</c:v>
                </c:pt>
                <c:pt idx="1">
                  <c:v>-280.333333333333</c:v>
                </c:pt>
                <c:pt idx="2">
                  <c:v>-280.333333333333</c:v>
                </c:pt>
              </c:numCache>
            </c:numRef>
          </c:xVal>
          <c:yVal>
            <c:numRef>
              <c:f>Stabilito!$C$143:$C$145</c:f>
              <c:numCache>
                <c:formatCode>General</c:formatCode>
                <c:ptCount val="3"/>
                <c:pt idx="0">
                  <c:v>-1470</c:v>
                </c:pt>
                <c:pt idx="1">
                  <c:v>-1552.5</c:v>
                </c:pt>
                <c:pt idx="2">
                  <c:v>-1635</c:v>
                </c:pt>
              </c:numCache>
            </c:numRef>
          </c:yVal>
          <c:smooth val="0"/>
        </c:ser>
        <c:ser>
          <c:idx val="16"/>
          <c:order val="16"/>
          <c:tx>
            <c:strRef>
              <c:f>Stabilito!$B$146</c:f>
              <c:strCache>
                <c:ptCount val="1"/>
                <c:pt idx="0">
                  <c:v>Saumon</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Stabilito!$D$146:$D$148</c:f>
              <c:numCache>
                <c:formatCode>General</c:formatCode>
                <c:ptCount val="3"/>
                <c:pt idx="0">
                  <c:v>-308</c:v>
                </c:pt>
                <c:pt idx="1">
                  <c:v>-308</c:v>
                </c:pt>
                <c:pt idx="2">
                  <c:v>-308</c:v>
                </c:pt>
              </c:numCache>
            </c:numRef>
          </c:xVal>
          <c:yVal>
            <c:numRef>
              <c:f>Stabilito!$C$146:$C$148</c:f>
              <c:numCache>
                <c:formatCode>General</c:formatCode>
                <c:ptCount val="3"/>
                <c:pt idx="0">
                  <c:v>-1635</c:v>
                </c:pt>
                <c:pt idx="1">
                  <c:v>-1678.5</c:v>
                </c:pt>
                <c:pt idx="2">
                  <c:v>-1722</c:v>
                </c:pt>
              </c:numCache>
            </c:numRef>
          </c:yVal>
          <c:smooth val="0"/>
        </c:ser>
        <c:ser>
          <c:idx val="17"/>
          <c:order val="17"/>
          <c:tx>
            <c:strRef>
              <c:f>Stabilito!$B$140</c:f>
              <c:strCache>
                <c:ptCount val="1"/>
                <c:pt idx="0">
                  <c:v>Emplanture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r"/>
              <c:showLegendKey val="0"/>
              <c:showVal val="0"/>
              <c:showCatName val="0"/>
              <c:showSerName val="1"/>
              <c:showPercent val="0"/>
              <c:separator> </c:separator>
            </c:dLbl>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Stabilito!$D$140:$D$142</c:f>
              <c:numCache>
                <c:formatCode>General</c:formatCode>
                <c:ptCount val="3"/>
                <c:pt idx="0">
                  <c:v>308</c:v>
                </c:pt>
                <c:pt idx="1">
                  <c:v>308</c:v>
                </c:pt>
                <c:pt idx="2">
                  <c:v>308</c:v>
                </c:pt>
              </c:numCache>
            </c:numRef>
          </c:xVal>
          <c:yVal>
            <c:numRef>
              <c:f>Stabilito!$C$140:$C$142</c:f>
              <c:numCache>
                <c:formatCode>General</c:formatCode>
                <c:ptCount val="3"/>
                <c:pt idx="0">
                  <c:v>-1470</c:v>
                </c:pt>
                <c:pt idx="1">
                  <c:v>-1565</c:v>
                </c:pt>
                <c:pt idx="2">
                  <c:v>-1660</c:v>
                </c:pt>
              </c:numCache>
            </c:numRef>
          </c:yVal>
          <c:smooth val="0"/>
        </c:ser>
        <c:ser>
          <c:idx val="18"/>
          <c:order val="18"/>
          <c:tx>
            <c:strRef>
              <c:f>Stabilito!$B$155</c:f>
              <c:strCache>
                <c:ptCount val="1"/>
                <c:pt idx="0">
                  <c:v>Marge Statique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Stabilito!$D$155:$D$157</c:f>
              <c:numCache>
                <c:formatCode>General</c:formatCode>
                <c:ptCount val="3"/>
                <c:pt idx="0">
                  <c:v>-308</c:v>
                </c:pt>
                <c:pt idx="1">
                  <c:v>-308</c:v>
                </c:pt>
                <c:pt idx="2">
                  <c:v>-308</c:v>
                </c:pt>
              </c:numCache>
            </c:numRef>
          </c:xVal>
          <c:yVal>
            <c:numRef>
              <c:f>Stabilito!$C$155:$C$157</c:f>
              <c:numCache>
                <c:formatCode>General</c:formatCode>
                <c:ptCount val="3"/>
                <c:pt idx="0">
                  <c:v>-751.585655977426</c:v>
                </c:pt>
                <c:pt idx="1">
                  <c:v>-816.686832903328</c:v>
                </c:pt>
                <c:pt idx="2">
                  <c:v>-881.788009829229</c:v>
                </c:pt>
              </c:numCache>
            </c:numRef>
          </c:yVal>
          <c:smooth val="0"/>
        </c:ser>
        <c:axId val="46139878"/>
        <c:axId val="60985646"/>
      </c:scatterChart>
      <c:valAx>
        <c:axId val="46139878"/>
        <c:scaling>
          <c:orientation val="minMax"/>
        </c:scaling>
        <c:delete val="0"/>
        <c:axPos val="b"/>
        <c:numFmt formatCode="0" sourceLinked="0"/>
        <c:majorTickMark val="out"/>
        <c:minorTickMark val="none"/>
        <c:tickLblPos val="nextTo"/>
        <c:spPr>
          <a:ln w="3240">
            <a:solidFill>
              <a:srgbClr val="000000"/>
            </a:solidFill>
            <a:round/>
          </a:ln>
        </c:spPr>
        <c:txPr>
          <a:bodyPr/>
          <a:lstStyle/>
          <a:p>
            <a:pPr>
              <a:defRPr b="0" sz="500" spc="-1" strike="noStrike">
                <a:solidFill>
                  <a:srgbClr val="000000"/>
                </a:solidFill>
                <a:latin typeface="Arial"/>
                <a:ea typeface="Arial"/>
              </a:defRPr>
            </a:pPr>
          </a:p>
        </c:txPr>
        <c:crossAx val="60985646"/>
        <c:crosses val="max"/>
        <c:crossBetween val="midCat"/>
      </c:valAx>
      <c:valAx>
        <c:axId val="60985646"/>
        <c:scaling>
          <c:orientation val="minMax"/>
        </c:scaling>
        <c:delete val="0"/>
        <c:axPos val="l"/>
        <c:numFmt formatCode="0" sourceLinked="0"/>
        <c:majorTickMark val="out"/>
        <c:minorTickMark val="none"/>
        <c:tickLblPos val="nextTo"/>
        <c:spPr>
          <a:ln w="3240">
            <a:solidFill>
              <a:srgbClr val="000000"/>
            </a:solidFill>
            <a:round/>
          </a:ln>
        </c:spPr>
        <c:txPr>
          <a:bodyPr/>
          <a:lstStyle/>
          <a:p>
            <a:pPr>
              <a:defRPr b="0" sz="500" spc="-1" strike="noStrike">
                <a:solidFill>
                  <a:srgbClr val="000000"/>
                </a:solidFill>
                <a:latin typeface="Arial"/>
                <a:ea typeface="Arial"/>
              </a:defRPr>
            </a:pPr>
          </a:p>
        </c:txPr>
        <c:crossAx val="46139878"/>
        <c:crosses val="max"/>
        <c:crossBetween val="midCat"/>
      </c:valAx>
      <c:spPr>
        <a:noFill/>
        <a:ln w="25560">
          <a:noFill/>
        </a:ln>
      </c:spPr>
    </c:plotArea>
    <c:plotVisOnly val="1"/>
    <c:dispBlanksAs val="gap"/>
  </c:chart>
  <c:spPr>
    <a:solidFill>
      <a:srgbClr val="ffffff"/>
    </a:solidFill>
    <a:ln w="3240">
      <a:solidFill>
        <a:srgbClr val="000000"/>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Vitesse max / Masse totale</a:t>
            </a:r>
          </a:p>
        </c:rich>
      </c:tx>
      <c:layout>
        <c:manualLayout>
          <c:xMode val="edge"/>
          <c:yMode val="edge"/>
          <c:x val="0.325651861892991"/>
          <c:y val="0.0327277584825007"/>
        </c:manualLayout>
      </c:layout>
      <c:overlay val="0"/>
      <c:spPr>
        <a:noFill/>
        <a:ln w="0">
          <a:noFill/>
        </a:ln>
      </c:spPr>
    </c:title>
    <c:autoTitleDeleted val="0"/>
    <c:plotArea>
      <c:layout>
        <c:manualLayout>
          <c:layoutTarget val="inner"/>
          <c:xMode val="edge"/>
          <c:yMode val="edge"/>
          <c:x val="0.13611354756399"/>
          <c:y val="0.0514293347582153"/>
          <c:w val="0.813491747069612"/>
          <c:h val="0.832353726956986"/>
        </c:manualLayout>
      </c:layout>
      <c:scatterChart>
        <c:scatterStyle val="lineMarker"/>
        <c:varyColors val="0"/>
        <c:ser>
          <c:idx val="0"/>
          <c:order val="0"/>
          <c:tx>
            <c:strRef>
              <c:f>Abaco!$B$41</c:f>
              <c:strCache>
                <c:ptCount val="1"/>
                <c:pt idx="0">
                  <c:v>Ø = 60 mm</c:v>
                </c:pt>
              </c:strCache>
            </c:strRef>
          </c:tx>
          <c:spPr>
            <a:solidFill>
              <a:srgbClr val="4a7ebb"/>
            </a:solidFill>
            <a:ln w="28440">
              <a:solidFill>
                <a:srgbClr val="4a7ebb"/>
              </a:solidFill>
              <a:round/>
            </a:ln>
          </c:spP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Abaco!$D$41:$D$49</c:f>
              <c:numCache>
                <c:formatCode>General</c:formatCode>
                <c:ptCount val="9"/>
                <c:pt idx="0">
                  <c:v>1.685</c:v>
                </c:pt>
                <c:pt idx="1">
                  <c:v>3.3665</c:v>
                </c:pt>
                <c:pt idx="2">
                  <c:v>5.048</c:v>
                </c:pt>
                <c:pt idx="3">
                  <c:v>6.7295</c:v>
                </c:pt>
                <c:pt idx="4">
                  <c:v>8.411</c:v>
                </c:pt>
                <c:pt idx="5">
                  <c:v>10.0925</c:v>
                </c:pt>
                <c:pt idx="6">
                  <c:v>11.774</c:v>
                </c:pt>
                <c:pt idx="7">
                  <c:v>13.4555</c:v>
                </c:pt>
                <c:pt idx="8">
                  <c:v>15.137</c:v>
                </c:pt>
              </c:numCache>
            </c:numRef>
          </c:xVal>
          <c:yVal>
            <c:numRef>
              <c:f>Abaco!$K$41:$K$49</c:f>
              <c:numCache>
                <c:formatCode>General</c:formatCode>
                <c:ptCount val="9"/>
                <c:pt idx="0">
                  <c:v>783.688280102067</c:v>
                </c:pt>
                <c:pt idx="1">
                  <c:v>554.881129082295</c:v>
                </c:pt>
                <c:pt idx="2">
                  <c:v>383.004995362228</c:v>
                </c:pt>
                <c:pt idx="3">
                  <c:v>282.279326387368</c:v>
                </c:pt>
                <c:pt idx="4">
                  <c:v>219.070311660995</c:v>
                </c:pt>
                <c:pt idx="5">
                  <c:v>176.31718424051</c:v>
                </c:pt>
                <c:pt idx="6">
                  <c:v>145.652618355124</c:v>
                </c:pt>
                <c:pt idx="7">
                  <c:v>122.650497042507</c:v>
                </c:pt>
                <c:pt idx="8">
                  <c:v>104.785835664117</c:v>
                </c:pt>
              </c:numCache>
            </c:numRef>
          </c:yVal>
          <c:smooth val="0"/>
        </c:ser>
        <c:ser>
          <c:idx val="1"/>
          <c:order val="1"/>
          <c:tx>
            <c:strRef>
              <c:f>Abaco!$B$50</c:f>
              <c:strCache>
                <c:ptCount val="1"/>
                <c:pt idx="0">
                  <c:v>Ø = 120 mm</c:v>
                </c:pt>
              </c:strCache>
            </c:strRef>
          </c:tx>
          <c:spPr>
            <a:solidFill>
              <a:srgbClr val="be4b48"/>
            </a:solidFill>
            <a:ln w="28440">
              <a:solidFill>
                <a:srgbClr val="be4b48"/>
              </a:solidFill>
              <a:round/>
            </a:ln>
          </c:spP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Abaco!$D$50:$D$58</c:f>
              <c:numCache>
                <c:formatCode>General</c:formatCode>
                <c:ptCount val="9"/>
                <c:pt idx="0">
                  <c:v>1.685</c:v>
                </c:pt>
                <c:pt idx="1">
                  <c:v>3.3665</c:v>
                </c:pt>
                <c:pt idx="2">
                  <c:v>5.048</c:v>
                </c:pt>
                <c:pt idx="3">
                  <c:v>6.7295</c:v>
                </c:pt>
                <c:pt idx="4">
                  <c:v>8.411</c:v>
                </c:pt>
                <c:pt idx="5">
                  <c:v>10.0925</c:v>
                </c:pt>
                <c:pt idx="6">
                  <c:v>11.774</c:v>
                </c:pt>
                <c:pt idx="7">
                  <c:v>13.4555</c:v>
                </c:pt>
                <c:pt idx="8">
                  <c:v>15.137</c:v>
                </c:pt>
              </c:numCache>
            </c:numRef>
          </c:xVal>
          <c:yVal>
            <c:numRef>
              <c:f>Abaco!$K$50:$K$58</c:f>
              <c:numCache>
                <c:formatCode>General</c:formatCode>
                <c:ptCount val="9"/>
                <c:pt idx="0">
                  <c:v>402.624793203658</c:v>
                </c:pt>
                <c:pt idx="1">
                  <c:v>372.698202504338</c:v>
                </c:pt>
                <c:pt idx="2">
                  <c:v>308.835633849639</c:v>
                </c:pt>
                <c:pt idx="3">
                  <c:v>248.780936478598</c:v>
                </c:pt>
                <c:pt idx="4">
                  <c:v>202.132308538321</c:v>
                </c:pt>
                <c:pt idx="5">
                  <c:v>166.943512279394</c:v>
                </c:pt>
                <c:pt idx="6">
                  <c:v>140.093431985387</c:v>
                </c:pt>
                <c:pt idx="7">
                  <c:v>119.173277560725</c:v>
                </c:pt>
                <c:pt idx="8">
                  <c:v>102.518718335304</c:v>
                </c:pt>
              </c:numCache>
            </c:numRef>
          </c:yVal>
          <c:smooth val="0"/>
        </c:ser>
        <c:ser>
          <c:idx val="2"/>
          <c:order val="2"/>
          <c:tx>
            <c:strRef>
              <c:f>Abaco!$B$59</c:f>
              <c:strCache>
                <c:ptCount val="1"/>
                <c:pt idx="0">
                  <c:v>Ø = 180 mm</c:v>
                </c:pt>
              </c:strCache>
            </c:strRef>
          </c:tx>
          <c:spPr>
            <a:solidFill>
              <a:srgbClr val="98b855"/>
            </a:solidFill>
            <a:ln w="28440">
              <a:solidFill>
                <a:srgbClr val="98b855"/>
              </a:solidFill>
              <a:round/>
            </a:ln>
          </c:spP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Abaco!$D$59:$D$67</c:f>
              <c:numCache>
                <c:formatCode>General</c:formatCode>
                <c:ptCount val="9"/>
                <c:pt idx="0">
                  <c:v>1.685</c:v>
                </c:pt>
                <c:pt idx="1">
                  <c:v>3.3665</c:v>
                </c:pt>
                <c:pt idx="2">
                  <c:v>5.048</c:v>
                </c:pt>
                <c:pt idx="3">
                  <c:v>6.7295</c:v>
                </c:pt>
                <c:pt idx="4">
                  <c:v>8.411</c:v>
                </c:pt>
                <c:pt idx="5">
                  <c:v>10.0925</c:v>
                </c:pt>
                <c:pt idx="6">
                  <c:v>11.774</c:v>
                </c:pt>
                <c:pt idx="7">
                  <c:v>13.4555</c:v>
                </c:pt>
                <c:pt idx="8">
                  <c:v>15.137</c:v>
                </c:pt>
              </c:numCache>
            </c:numRef>
          </c:xVal>
          <c:yVal>
            <c:numRef>
              <c:f>Abaco!$K$59:$K$67</c:f>
              <c:numCache>
                <c:formatCode>General</c:formatCode>
                <c:ptCount val="9"/>
                <c:pt idx="0">
                  <c:v>268.516775781806</c:v>
                </c:pt>
                <c:pt idx="1">
                  <c:v>261.62699114153</c:v>
                </c:pt>
                <c:pt idx="2">
                  <c:v>240.436961505912</c:v>
                </c:pt>
                <c:pt idx="3">
                  <c:v>210.085034475044</c:v>
                </c:pt>
                <c:pt idx="4">
                  <c:v>179.951459316228</c:v>
                </c:pt>
                <c:pt idx="5">
                  <c:v>153.723095856938</c:v>
                </c:pt>
                <c:pt idx="6">
                  <c:v>131.879491153928</c:v>
                </c:pt>
                <c:pt idx="7">
                  <c:v>113.875467100818</c:v>
                </c:pt>
                <c:pt idx="8">
                  <c:v>98.9909428471113</c:v>
                </c:pt>
              </c:numCache>
            </c:numRef>
          </c:yVal>
          <c:smooth val="0"/>
        </c:ser>
        <c:axId val="66649032"/>
        <c:axId val="47491410"/>
      </c:scatterChart>
      <c:valAx>
        <c:axId val="66649032"/>
        <c:scaling>
          <c:orientation val="minMax"/>
        </c:scaling>
        <c:delete val="0"/>
        <c:axPos val="b"/>
        <c:majorGridlines>
          <c:spPr>
            <a:ln w="9360">
              <a:solidFill>
                <a:srgbClr val="878787"/>
              </a:solidFill>
              <a:round/>
            </a:ln>
          </c:spPr>
        </c:majorGridlines>
        <c:title>
          <c:tx>
            <c:rich>
              <a:bodyPr rot="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Masse totale</a:t>
                </a:r>
              </a:p>
            </c:rich>
          </c:tx>
          <c:layout>
            <c:manualLayout>
              <c:xMode val="edge"/>
              <c:yMode val="edge"/>
              <c:x val="0.251415357626983"/>
              <c:y val="0.808976756612343"/>
            </c:manualLayout>
          </c:layout>
          <c:overlay val="0"/>
          <c:spPr>
            <a:noFill/>
            <a:ln w="0">
              <a:noFill/>
            </a:ln>
          </c:spPr>
        </c:title>
        <c:numFmt formatCode="General&quot; kg&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47491410"/>
        <c:crosses val="autoZero"/>
        <c:crossBetween val="midCat"/>
      </c:valAx>
      <c:valAx>
        <c:axId val="47491410"/>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Vitesse max</a:t>
                </a:r>
              </a:p>
            </c:rich>
          </c:tx>
          <c:layout>
            <c:manualLayout>
              <c:xMode val="edge"/>
              <c:yMode val="edge"/>
              <c:x val="0.141535762698349"/>
              <c:y val="0.0575741383916644"/>
            </c:manualLayout>
          </c:layout>
          <c:overlay val="0"/>
          <c:spPr>
            <a:noFill/>
            <a:ln w="0">
              <a:noFill/>
            </a:ln>
          </c:spPr>
        </c:title>
        <c:numFmt formatCode="General&quot; m/s&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66649032"/>
        <c:crosses val="autoZero"/>
        <c:crossBetween val="midCat"/>
      </c:valAx>
      <c:spPr>
        <a:noFill/>
        <a:ln w="0">
          <a:noFill/>
        </a:ln>
      </c:spPr>
    </c:plotArea>
    <c:legend>
      <c:legendPos val="r"/>
      <c:layout>
        <c:manualLayout>
          <c:xMode val="edge"/>
          <c:yMode val="edge"/>
          <c:x val="0.719444663167104"/>
          <c:y val="0.187067338291721"/>
          <c:w val="0.208333333333333"/>
          <c:h val="0.247113527668164"/>
        </c:manualLayout>
      </c:layout>
      <c:overlay val="0"/>
      <c:spPr>
        <a:solidFill>
          <a:srgbClr val="ffffff"/>
        </a:solidFill>
        <a:ln w="0">
          <a:noFill/>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Altitude max / Masse totale</a:t>
            </a:r>
          </a:p>
        </c:rich>
      </c:tx>
      <c:layout>
        <c:manualLayout>
          <c:xMode val="edge"/>
          <c:yMode val="edge"/>
          <c:x val="0.325651861892991"/>
          <c:y val="0.0325996099191975"/>
        </c:manualLayout>
      </c:layout>
      <c:overlay val="0"/>
      <c:spPr>
        <a:noFill/>
        <a:ln w="0">
          <a:noFill/>
        </a:ln>
      </c:spPr>
    </c:title>
    <c:autoTitleDeleted val="0"/>
    <c:plotArea>
      <c:layout>
        <c:manualLayout>
          <c:layoutTarget val="inner"/>
          <c:xMode val="edge"/>
          <c:yMode val="edge"/>
          <c:x val="0.13611354756399"/>
          <c:y val="0.0514070771802731"/>
          <c:w val="0.813491747069612"/>
          <c:h val="0.832404569517972"/>
        </c:manualLayout>
      </c:layout>
      <c:scatterChart>
        <c:scatterStyle val="lineMarker"/>
        <c:varyColors val="0"/>
        <c:ser>
          <c:idx val="0"/>
          <c:order val="0"/>
          <c:tx>
            <c:strRef>
              <c:f>Abaco!$B$41</c:f>
              <c:strCache>
                <c:ptCount val="1"/>
                <c:pt idx="0">
                  <c:v>Ø = 60 mm</c:v>
                </c:pt>
              </c:strCache>
            </c:strRef>
          </c:tx>
          <c:spPr>
            <a:solidFill>
              <a:srgbClr val="4a7ebb"/>
            </a:solidFill>
            <a:ln w="28440">
              <a:solidFill>
                <a:srgbClr val="4a7ebb"/>
              </a:solidFill>
              <a:round/>
            </a:ln>
          </c:spP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Abaco!$D$41:$D$49</c:f>
              <c:numCache>
                <c:formatCode>General</c:formatCode>
                <c:ptCount val="9"/>
                <c:pt idx="0">
                  <c:v>1.685</c:v>
                </c:pt>
                <c:pt idx="1">
                  <c:v>3.3665</c:v>
                </c:pt>
                <c:pt idx="2">
                  <c:v>5.048</c:v>
                </c:pt>
                <c:pt idx="3">
                  <c:v>6.7295</c:v>
                </c:pt>
                <c:pt idx="4">
                  <c:v>8.411</c:v>
                </c:pt>
                <c:pt idx="5">
                  <c:v>10.0925</c:v>
                </c:pt>
                <c:pt idx="6">
                  <c:v>11.774</c:v>
                </c:pt>
                <c:pt idx="7">
                  <c:v>13.4555</c:v>
                </c:pt>
                <c:pt idx="8">
                  <c:v>15.137</c:v>
                </c:pt>
              </c:numCache>
            </c:numRef>
          </c:xVal>
          <c:yVal>
            <c:numRef>
              <c:f>Abaco!$L$41:$L$49</c:f>
              <c:numCache>
                <c:formatCode>General</c:formatCode>
                <c:ptCount val="9"/>
                <c:pt idx="0">
                  <c:v>3643.79942541672</c:v>
                </c:pt>
                <c:pt idx="1">
                  <c:v>4523.27017897293</c:v>
                </c:pt>
                <c:pt idx="2">
                  <c:v>4059.4667521374</c:v>
                </c:pt>
                <c:pt idx="3">
                  <c:v>3163.77897116377</c:v>
                </c:pt>
                <c:pt idx="4">
                  <c:v>2331.92249044332</c:v>
                </c:pt>
                <c:pt idx="5">
                  <c:v>1703.64085714061</c:v>
                </c:pt>
                <c:pt idx="6">
                  <c:v>1259.92994979041</c:v>
                </c:pt>
                <c:pt idx="7">
                  <c:v>949.695499699405</c:v>
                </c:pt>
                <c:pt idx="8">
                  <c:v>730.037371747496</c:v>
                </c:pt>
              </c:numCache>
            </c:numRef>
          </c:yVal>
          <c:smooth val="0"/>
        </c:ser>
        <c:ser>
          <c:idx val="1"/>
          <c:order val="1"/>
          <c:tx>
            <c:strRef>
              <c:f>Abaco!$B$50</c:f>
              <c:strCache>
                <c:ptCount val="1"/>
                <c:pt idx="0">
                  <c:v>Ø = 120 mm</c:v>
                </c:pt>
              </c:strCache>
            </c:strRef>
          </c:tx>
          <c:spPr>
            <a:solidFill>
              <a:srgbClr val="be4b48"/>
            </a:solidFill>
            <a:ln w="28440">
              <a:solidFill>
                <a:srgbClr val="be4b48"/>
              </a:solidFill>
              <a:round/>
            </a:ln>
          </c:spP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Abaco!$D$50:$D$58</c:f>
              <c:numCache>
                <c:formatCode>General</c:formatCode>
                <c:ptCount val="9"/>
                <c:pt idx="0">
                  <c:v>1.685</c:v>
                </c:pt>
                <c:pt idx="1">
                  <c:v>3.3665</c:v>
                </c:pt>
                <c:pt idx="2">
                  <c:v>5.048</c:v>
                </c:pt>
                <c:pt idx="3">
                  <c:v>6.7295</c:v>
                </c:pt>
                <c:pt idx="4">
                  <c:v>8.411</c:v>
                </c:pt>
                <c:pt idx="5">
                  <c:v>10.0925</c:v>
                </c:pt>
                <c:pt idx="6">
                  <c:v>11.774</c:v>
                </c:pt>
                <c:pt idx="7">
                  <c:v>13.4555</c:v>
                </c:pt>
                <c:pt idx="8">
                  <c:v>15.137</c:v>
                </c:pt>
              </c:numCache>
            </c:numRef>
          </c:xVal>
          <c:yVal>
            <c:numRef>
              <c:f>Abaco!$L$50:$L$58</c:f>
              <c:numCache>
                <c:formatCode>General</c:formatCode>
                <c:ptCount val="9"/>
                <c:pt idx="0">
                  <c:v>1634.43874514157</c:v>
                </c:pt>
                <c:pt idx="1">
                  <c:v>1921.14088615945</c:v>
                </c:pt>
                <c:pt idx="2">
                  <c:v>1938.85954830544</c:v>
                </c:pt>
                <c:pt idx="3">
                  <c:v>1782.10653055365</c:v>
                </c:pt>
                <c:pt idx="4">
                  <c:v>1536.96960961876</c:v>
                </c:pt>
                <c:pt idx="5">
                  <c:v>1272.470079266</c:v>
                </c:pt>
                <c:pt idx="6">
                  <c:v>1029.98536829461</c:v>
                </c:pt>
                <c:pt idx="7">
                  <c:v>826.126850937693</c:v>
                </c:pt>
                <c:pt idx="8">
                  <c:v>662.281998639353</c:v>
                </c:pt>
              </c:numCache>
            </c:numRef>
          </c:yVal>
          <c:smooth val="0"/>
        </c:ser>
        <c:ser>
          <c:idx val="2"/>
          <c:order val="2"/>
          <c:tx>
            <c:strRef>
              <c:f>Abaco!$B$59</c:f>
              <c:strCache>
                <c:ptCount val="1"/>
                <c:pt idx="0">
                  <c:v>Ø = 180 mm</c:v>
                </c:pt>
              </c:strCache>
            </c:strRef>
          </c:tx>
          <c:spPr>
            <a:solidFill>
              <a:srgbClr val="98b855"/>
            </a:solidFill>
            <a:ln w="28440">
              <a:solidFill>
                <a:srgbClr val="98b855"/>
              </a:solidFill>
              <a:round/>
            </a:ln>
          </c:spP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Abaco!$D$59:$D$67</c:f>
              <c:numCache>
                <c:formatCode>General</c:formatCode>
                <c:ptCount val="9"/>
                <c:pt idx="0">
                  <c:v>1.685</c:v>
                </c:pt>
                <c:pt idx="1">
                  <c:v>3.3665</c:v>
                </c:pt>
                <c:pt idx="2">
                  <c:v>5.048</c:v>
                </c:pt>
                <c:pt idx="3">
                  <c:v>6.7295</c:v>
                </c:pt>
                <c:pt idx="4">
                  <c:v>8.411</c:v>
                </c:pt>
                <c:pt idx="5">
                  <c:v>10.0925</c:v>
                </c:pt>
                <c:pt idx="6">
                  <c:v>11.774</c:v>
                </c:pt>
                <c:pt idx="7">
                  <c:v>13.4555</c:v>
                </c:pt>
                <c:pt idx="8">
                  <c:v>15.137</c:v>
                </c:pt>
              </c:numCache>
            </c:numRef>
          </c:xVal>
          <c:yVal>
            <c:numRef>
              <c:f>Abaco!$L$59:$L$67</c:f>
              <c:numCache>
                <c:formatCode>General</c:formatCode>
                <c:ptCount val="9"/>
                <c:pt idx="0">
                  <c:v>1047.74686614764</c:v>
                </c:pt>
                <c:pt idx="1">
                  <c:v>1175.93839405376</c:v>
                </c:pt>
                <c:pt idx="2">
                  <c:v>1204.4065504626</c:v>
                </c:pt>
                <c:pt idx="3">
                  <c:v>1162.64248275714</c:v>
                </c:pt>
                <c:pt idx="4">
                  <c:v>1070.73406467997</c:v>
                </c:pt>
                <c:pt idx="5">
                  <c:v>950.178016845612</c:v>
                </c:pt>
                <c:pt idx="6">
                  <c:v>820.090927501837</c:v>
                </c:pt>
                <c:pt idx="7">
                  <c:v>694.398733341289</c:v>
                </c:pt>
                <c:pt idx="8">
                  <c:v>581.148072742875</c:v>
                </c:pt>
              </c:numCache>
            </c:numRef>
          </c:yVal>
          <c:smooth val="0"/>
        </c:ser>
        <c:axId val="65763029"/>
        <c:axId val="48159886"/>
      </c:scatterChart>
      <c:valAx>
        <c:axId val="65763029"/>
        <c:scaling>
          <c:orientation val="minMax"/>
        </c:scaling>
        <c:delete val="0"/>
        <c:axPos val="b"/>
        <c:majorGridlines>
          <c:spPr>
            <a:ln w="9360">
              <a:solidFill>
                <a:srgbClr val="878787"/>
              </a:solidFill>
              <a:round/>
            </a:ln>
          </c:spPr>
        </c:majorGridlines>
        <c:title>
          <c:tx>
            <c:rich>
              <a:bodyPr rot="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Masse totale</a:t>
                </a:r>
              </a:p>
            </c:rich>
          </c:tx>
          <c:layout>
            <c:manualLayout>
              <c:xMode val="edge"/>
              <c:yMode val="edge"/>
              <c:x val="0.251415357626983"/>
              <c:y val="0.808999721370855"/>
            </c:manualLayout>
          </c:layout>
          <c:overlay val="0"/>
          <c:spPr>
            <a:noFill/>
            <a:ln w="0">
              <a:noFill/>
            </a:ln>
          </c:spPr>
        </c:title>
        <c:numFmt formatCode="General&quot; kg&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48159886"/>
        <c:crosses val="autoZero"/>
        <c:crossBetween val="midCat"/>
      </c:valAx>
      <c:valAx>
        <c:axId val="48159886"/>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Altitude max</a:t>
                </a:r>
              </a:p>
            </c:rich>
          </c:tx>
          <c:layout>
            <c:manualLayout>
              <c:xMode val="edge"/>
              <c:yMode val="edge"/>
              <c:x val="0.141535762698349"/>
              <c:y val="0.0575369183616606"/>
            </c:manualLayout>
          </c:layout>
          <c:overlay val="0"/>
          <c:spPr>
            <a:noFill/>
            <a:ln w="0">
              <a:noFill/>
            </a:ln>
          </c:spPr>
        </c:title>
        <c:numFmt formatCode="General&quot; m&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65763029"/>
        <c:crosses val="autoZero"/>
        <c:crossBetween val="midCat"/>
      </c:valAx>
      <c:spPr>
        <a:noFill/>
        <a:ln w="0">
          <a:noFill/>
        </a:ln>
      </c:spPr>
    </c:plotArea>
    <c:legend>
      <c:legendPos val="r"/>
      <c:layout>
        <c:manualLayout>
          <c:xMode val="edge"/>
          <c:yMode val="edge"/>
          <c:x val="0.719444663167104"/>
          <c:y val="0.183962635566781"/>
          <c:w val="0.208333333333333"/>
          <c:h val="0.252358861981875"/>
        </c:manualLayout>
      </c:layout>
      <c:overlay val="0"/>
      <c:spPr>
        <a:solidFill>
          <a:srgbClr val="ffffff"/>
        </a:solidFill>
        <a:ln w="0">
          <a:noFill/>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Temps de culmination / Masse totale</a:t>
            </a:r>
          </a:p>
        </c:rich>
      </c:tx>
      <c:layout>
        <c:manualLayout>
          <c:xMode val="edge"/>
          <c:yMode val="edge"/>
          <c:x val="0.183883346124328"/>
          <c:y val="0.0325996099191975"/>
        </c:manualLayout>
      </c:layout>
      <c:overlay val="0"/>
      <c:spPr>
        <a:noFill/>
        <a:ln w="0">
          <a:noFill/>
        </a:ln>
      </c:spPr>
    </c:title>
    <c:autoTitleDeleted val="0"/>
    <c:plotArea>
      <c:layout>
        <c:manualLayout>
          <c:layoutTarget val="inner"/>
          <c:xMode val="edge"/>
          <c:yMode val="edge"/>
          <c:x val="0.136147352264006"/>
          <c:y val="0.0514070771802731"/>
          <c:w val="0.81350729086723"/>
          <c:h val="0.832404569517972"/>
        </c:manualLayout>
      </c:layout>
      <c:scatterChart>
        <c:scatterStyle val="lineMarker"/>
        <c:varyColors val="0"/>
        <c:ser>
          <c:idx val="0"/>
          <c:order val="0"/>
          <c:tx>
            <c:strRef>
              <c:f>Abaco!$B$41</c:f>
              <c:strCache>
                <c:ptCount val="1"/>
                <c:pt idx="0">
                  <c:v>Ø = 60 mm</c:v>
                </c:pt>
              </c:strCache>
            </c:strRef>
          </c:tx>
          <c:spPr>
            <a:solidFill>
              <a:srgbClr val="4a7ebb"/>
            </a:solidFill>
            <a:ln w="28440">
              <a:solidFill>
                <a:srgbClr val="4a7ebb"/>
              </a:solidFill>
              <a:round/>
            </a:ln>
          </c:spP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Abaco!$D$41:$D$49</c:f>
              <c:numCache>
                <c:formatCode>General</c:formatCode>
                <c:ptCount val="9"/>
                <c:pt idx="0">
                  <c:v>1.685</c:v>
                </c:pt>
                <c:pt idx="1">
                  <c:v>3.3665</c:v>
                </c:pt>
                <c:pt idx="2">
                  <c:v>5.048</c:v>
                </c:pt>
                <c:pt idx="3">
                  <c:v>6.7295</c:v>
                </c:pt>
                <c:pt idx="4">
                  <c:v>8.411</c:v>
                </c:pt>
                <c:pt idx="5">
                  <c:v>10.0925</c:v>
                </c:pt>
                <c:pt idx="6">
                  <c:v>11.774</c:v>
                </c:pt>
                <c:pt idx="7">
                  <c:v>13.4555</c:v>
                </c:pt>
                <c:pt idx="8">
                  <c:v>15.137</c:v>
                </c:pt>
              </c:numCache>
            </c:numRef>
          </c:xVal>
          <c:yVal>
            <c:numRef>
              <c:f>Abaco!$M$41:$M$49</c:f>
              <c:numCache>
                <c:formatCode>General</c:formatCode>
                <c:ptCount val="9"/>
                <c:pt idx="0">
                  <c:v>16.3948083813548</c:v>
                </c:pt>
                <c:pt idx="1">
                  <c:v>24.9004230576174</c:v>
                </c:pt>
                <c:pt idx="2">
                  <c:v>26.6940612531835</c:v>
                </c:pt>
                <c:pt idx="3">
                  <c:v>25.2910047225965</c:v>
                </c:pt>
                <c:pt idx="4">
                  <c:v>22.700113377765</c:v>
                </c:pt>
                <c:pt idx="5">
                  <c:v>20.0204974480014</c:v>
                </c:pt>
                <c:pt idx="6">
                  <c:v>17.6548919152997</c:v>
                </c:pt>
                <c:pt idx="7">
                  <c:v>15.67369385735</c:v>
                </c:pt>
                <c:pt idx="8">
                  <c:v>14.0364836378841</c:v>
                </c:pt>
              </c:numCache>
            </c:numRef>
          </c:yVal>
          <c:smooth val="0"/>
        </c:ser>
        <c:ser>
          <c:idx val="1"/>
          <c:order val="1"/>
          <c:tx>
            <c:strRef>
              <c:f>Abaco!$B$50</c:f>
              <c:strCache>
                <c:ptCount val="1"/>
                <c:pt idx="0">
                  <c:v>Ø = 120 mm</c:v>
                </c:pt>
              </c:strCache>
            </c:strRef>
          </c:tx>
          <c:spPr>
            <a:solidFill>
              <a:srgbClr val="be4b48"/>
            </a:solidFill>
            <a:ln w="28440">
              <a:solidFill>
                <a:srgbClr val="be4b48"/>
              </a:solidFill>
              <a:round/>
            </a:ln>
          </c:spP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Abaco!$D$50:$D$58</c:f>
              <c:numCache>
                <c:formatCode>General</c:formatCode>
                <c:ptCount val="9"/>
                <c:pt idx="0">
                  <c:v>1.685</c:v>
                </c:pt>
                <c:pt idx="1">
                  <c:v>3.3665</c:v>
                </c:pt>
                <c:pt idx="2">
                  <c:v>5.048</c:v>
                </c:pt>
                <c:pt idx="3">
                  <c:v>6.7295</c:v>
                </c:pt>
                <c:pt idx="4">
                  <c:v>8.411</c:v>
                </c:pt>
                <c:pt idx="5">
                  <c:v>10.0925</c:v>
                </c:pt>
                <c:pt idx="6">
                  <c:v>11.774</c:v>
                </c:pt>
                <c:pt idx="7">
                  <c:v>13.4555</c:v>
                </c:pt>
                <c:pt idx="8">
                  <c:v>15.137</c:v>
                </c:pt>
              </c:numCache>
            </c:numRef>
          </c:xVal>
          <c:yVal>
            <c:numRef>
              <c:f>Abaco!$M$50:$M$58</c:f>
              <c:numCache>
                <c:formatCode>General</c:formatCode>
                <c:ptCount val="9"/>
                <c:pt idx="0">
                  <c:v>10.0051185704251</c:v>
                </c:pt>
                <c:pt idx="1">
                  <c:v>14.8276204578231</c:v>
                </c:pt>
                <c:pt idx="2">
                  <c:v>17.0510145338675</c:v>
                </c:pt>
                <c:pt idx="3">
                  <c:v>17.8163994343272</c:v>
                </c:pt>
                <c:pt idx="4">
                  <c:v>17.5884295671646</c:v>
                </c:pt>
                <c:pt idx="5">
                  <c:v>16.7518792177422</c:v>
                </c:pt>
                <c:pt idx="6">
                  <c:v>15.6213360357454</c:v>
                </c:pt>
                <c:pt idx="7">
                  <c:v>14.4123294449486</c:v>
                </c:pt>
                <c:pt idx="8">
                  <c:v>13.2459962666361</c:v>
                </c:pt>
              </c:numCache>
            </c:numRef>
          </c:yVal>
          <c:smooth val="0"/>
        </c:ser>
        <c:ser>
          <c:idx val="2"/>
          <c:order val="2"/>
          <c:tx>
            <c:strRef>
              <c:f>Abaco!$B$59</c:f>
              <c:strCache>
                <c:ptCount val="1"/>
                <c:pt idx="0">
                  <c:v>Ø = 180 mm</c:v>
                </c:pt>
              </c:strCache>
            </c:strRef>
          </c:tx>
          <c:spPr>
            <a:solidFill>
              <a:srgbClr val="98b855"/>
            </a:solidFill>
            <a:ln w="28440">
              <a:solidFill>
                <a:srgbClr val="98b855"/>
              </a:solidFill>
              <a:round/>
            </a:ln>
          </c:spP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Abaco!$D$59:$D$67</c:f>
              <c:numCache>
                <c:formatCode>General</c:formatCode>
                <c:ptCount val="9"/>
                <c:pt idx="0">
                  <c:v>1.685</c:v>
                </c:pt>
                <c:pt idx="1">
                  <c:v>3.3665</c:v>
                </c:pt>
                <c:pt idx="2">
                  <c:v>5.048</c:v>
                </c:pt>
                <c:pt idx="3">
                  <c:v>6.7295</c:v>
                </c:pt>
                <c:pt idx="4">
                  <c:v>8.411</c:v>
                </c:pt>
                <c:pt idx="5">
                  <c:v>10.0925</c:v>
                </c:pt>
                <c:pt idx="6">
                  <c:v>11.774</c:v>
                </c:pt>
                <c:pt idx="7">
                  <c:v>13.4555</c:v>
                </c:pt>
                <c:pt idx="8">
                  <c:v>15.137</c:v>
                </c:pt>
              </c:numCache>
            </c:numRef>
          </c:xVal>
          <c:yVal>
            <c:numRef>
              <c:f>Abaco!$M$59:$M$67</c:f>
              <c:numCache>
                <c:formatCode>General</c:formatCode>
                <c:ptCount val="9"/>
                <c:pt idx="0">
                  <c:v>7.86686076972487</c:v>
                </c:pt>
                <c:pt idx="1">
                  <c:v>11.1397491435298</c:v>
                </c:pt>
                <c:pt idx="2">
                  <c:v>12.8900185720452</c:v>
                </c:pt>
                <c:pt idx="3">
                  <c:v>13.8417724229321</c:v>
                </c:pt>
                <c:pt idx="4">
                  <c:v>14.1910700443548</c:v>
                </c:pt>
                <c:pt idx="5">
                  <c:v>14.0800566027672</c:v>
                </c:pt>
                <c:pt idx="6">
                  <c:v>13.6435776358702</c:v>
                </c:pt>
                <c:pt idx="7">
                  <c:v>13.0058719457048</c:v>
                </c:pt>
                <c:pt idx="8">
                  <c:v>12.2686767601931</c:v>
                </c:pt>
              </c:numCache>
            </c:numRef>
          </c:yVal>
          <c:smooth val="0"/>
        </c:ser>
        <c:axId val="64290574"/>
        <c:axId val="39226492"/>
      </c:scatterChart>
      <c:valAx>
        <c:axId val="64290574"/>
        <c:scaling>
          <c:orientation val="minMax"/>
        </c:scaling>
        <c:delete val="0"/>
        <c:axPos val="b"/>
        <c:majorGridlines>
          <c:spPr>
            <a:ln w="9360">
              <a:solidFill>
                <a:srgbClr val="878787"/>
              </a:solidFill>
              <a:round/>
            </a:ln>
          </c:spPr>
        </c:majorGridlines>
        <c:title>
          <c:tx>
            <c:rich>
              <a:bodyPr rot="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Masse totale</a:t>
                </a:r>
              </a:p>
            </c:rich>
          </c:tx>
          <c:layout>
            <c:manualLayout>
              <c:xMode val="edge"/>
              <c:yMode val="edge"/>
              <c:x val="0.251419800460476"/>
              <c:y val="0.808999721370855"/>
            </c:manualLayout>
          </c:layout>
          <c:overlay val="0"/>
          <c:spPr>
            <a:noFill/>
            <a:ln w="0">
              <a:noFill/>
            </a:ln>
          </c:spPr>
        </c:title>
        <c:numFmt formatCode="General&quot; kg&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39226492"/>
        <c:crosses val="autoZero"/>
        <c:crossBetween val="midCat"/>
      </c:valAx>
      <c:valAx>
        <c:axId val="39226492"/>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Temps de culmination</a:t>
                </a:r>
              </a:p>
            </c:rich>
          </c:tx>
          <c:layout>
            <c:manualLayout>
              <c:xMode val="edge"/>
              <c:yMode val="edge"/>
              <c:x val="0.1415963161934"/>
              <c:y val="0.0575369183616606"/>
            </c:manualLayout>
          </c:layout>
          <c:overlay val="0"/>
          <c:spPr>
            <a:noFill/>
            <a:ln w="0">
              <a:noFill/>
            </a:ln>
          </c:spPr>
        </c:title>
        <c:numFmt formatCode="General&quot; s&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64290574"/>
        <c:crosses val="autoZero"/>
        <c:crossBetween val="midCat"/>
      </c:valAx>
      <c:spPr>
        <a:noFill/>
        <a:ln w="0">
          <a:noFill/>
        </a:ln>
      </c:spPr>
    </c:plotArea>
    <c:legend>
      <c:legendPos val="r"/>
      <c:layout>
        <c:manualLayout>
          <c:xMode val="edge"/>
          <c:yMode val="edge"/>
          <c:x val="0.723577449160318"/>
          <c:y val="0.183962635566781"/>
          <c:w val="0.203252032520325"/>
          <c:h val="0.252358861981875"/>
        </c:manualLayout>
      </c:layout>
      <c:overlay val="0"/>
      <c:spPr>
        <a:solidFill>
          <a:srgbClr val="ffffff"/>
        </a:solidFill>
        <a:ln w="0">
          <a:noFill/>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000" spc="-1" strike="noStrike">
                <a:solidFill>
                  <a:srgbClr val="000000"/>
                </a:solidFill>
                <a:latin typeface="Calibri"/>
                <a:ea typeface="Calibri"/>
              </a:defRPr>
            </a:pPr>
            <a:r>
              <a:rPr b="0" sz="1000" spc="-1" strike="noStrike">
                <a:solidFill>
                  <a:srgbClr val="000000"/>
                </a:solidFill>
                <a:latin typeface="Calibri"/>
                <a:ea typeface="Calibri"/>
              </a:rPr>
              <a:t>Diagramme des critères de stabilité</a:t>
            </a:r>
          </a:p>
        </c:rich>
      </c:tx>
      <c:layout>
        <c:manualLayout>
          <c:xMode val="edge"/>
          <c:yMode val="edge"/>
          <c:x val="0.196443489676572"/>
          <c:y val="0.0802757393818101"/>
        </c:manualLayout>
      </c:layout>
      <c:overlay val="0"/>
      <c:spPr>
        <a:solidFill>
          <a:srgbClr val="ffffff"/>
        </a:solidFill>
        <a:ln w="25560">
          <a:noFill/>
        </a:ln>
      </c:spPr>
    </c:title>
    <c:autoTitleDeleted val="0"/>
    <c:plotArea>
      <c:layout>
        <c:manualLayout>
          <c:layoutTarget val="inner"/>
          <c:xMode val="edge"/>
          <c:yMode val="edge"/>
          <c:x val="0.0451127819548872"/>
          <c:y val="0.0589281743384479"/>
          <c:w val="0.938775510204082"/>
          <c:h val="0.828329997776295"/>
        </c:manualLayout>
      </c:layout>
      <c:scatterChart>
        <c:scatterStyle val="lineMarker"/>
        <c:varyColors val="0"/>
        <c:ser>
          <c:idx val="0"/>
          <c:order val="0"/>
          <c:tx>
            <c:strRef>
              <c:f>"Cna min"</c:f>
              <c:strCache>
                <c:ptCount val="1"/>
                <c:pt idx="0">
                  <c:v>Cna min</c:v>
                </c:pt>
              </c:strCache>
            </c:strRef>
          </c:tx>
          <c:spPr>
            <a:solidFill>
              <a:srgbClr val="ff0000"/>
            </a:solidFill>
            <a:ln w="12600">
              <a:solidFill>
                <a:srgbClr val="ff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ser>
        <c:ser>
          <c:idx val="1"/>
          <c:order val="1"/>
          <c:tx>
            <c:strRef>
              <c:f>"Cna max"</c:f>
              <c:strCache>
                <c:ptCount val="1"/>
                <c:pt idx="0">
                  <c:v>Cna max</c:v>
                </c:pt>
              </c:strCache>
            </c:strRef>
          </c:tx>
          <c:spPr>
            <a:solidFill>
              <a:srgbClr val="ff0000"/>
            </a:solidFill>
            <a:ln w="12600">
              <a:solidFill>
                <a:srgbClr val="ff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Stabilito!$B$184:$B$185</c:f>
              <c:numCache>
                <c:formatCode>General</c:formatCode>
                <c:ptCount val="2"/>
                <c:pt idx="0">
                  <c:v>0</c:v>
                </c:pt>
                <c:pt idx="1">
                  <c:v>7</c:v>
                </c:pt>
              </c:numCache>
            </c:numRef>
          </c:xVal>
          <c:yVal>
            <c:numRef>
              <c:f>Stabilito!$C$184:$C$185</c:f>
              <c:numCache>
                <c:formatCode>General</c:formatCode>
                <c:ptCount val="2"/>
                <c:pt idx="0">
                  <c:v>30</c:v>
                </c:pt>
                <c:pt idx="1">
                  <c:v>30</c:v>
                </c:pt>
              </c:numCache>
            </c:numRef>
          </c:yVal>
          <c:smooth val="1"/>
        </c:ser>
        <c:ser>
          <c:idx val="2"/>
          <c:order val="2"/>
          <c:tx>
            <c:strRef>
              <c:f>"MS min"</c:f>
              <c:strCache>
                <c:ptCount val="1"/>
                <c:pt idx="0">
                  <c:v>MS min</c:v>
                </c:pt>
              </c:strCache>
            </c:strRef>
          </c:tx>
          <c:spPr>
            <a:solidFill>
              <a:srgbClr val="ff0000"/>
            </a:solidFill>
            <a:ln w="12600">
              <a:solidFill>
                <a:srgbClr val="ff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Stabilito!$B$186:$B$187</c:f>
              <c:numCache>
                <c:formatCode>General</c:formatCode>
                <c:ptCount val="2"/>
                <c:pt idx="0">
                  <c:v>1.5</c:v>
                </c:pt>
                <c:pt idx="1">
                  <c:v>1.5</c:v>
                </c:pt>
              </c:numCache>
            </c:numRef>
          </c:xVal>
          <c:yVal>
            <c:numRef>
              <c:f>Stabilito!$C$186:$C$187</c:f>
              <c:numCache>
                <c:formatCode>General</c:formatCode>
                <c:ptCount val="2"/>
                <c:pt idx="0">
                  <c:v>0</c:v>
                </c:pt>
                <c:pt idx="1">
                  <c:v>55</c:v>
                </c:pt>
              </c:numCache>
            </c:numRef>
          </c:yVal>
          <c:smooth val="1"/>
        </c:ser>
        <c:ser>
          <c:idx val="3"/>
          <c:order val="3"/>
          <c:tx>
            <c:strRef>
              <c:f>"MS max"</c:f>
              <c:strCache>
                <c:ptCount val="1"/>
                <c:pt idx="0">
                  <c:v>MS max</c:v>
                </c:pt>
              </c:strCache>
            </c:strRef>
          </c:tx>
          <c:spPr>
            <a:solidFill>
              <a:srgbClr val="ff0000"/>
            </a:solidFill>
            <a:ln w="12600">
              <a:solidFill>
                <a:srgbClr val="ff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ser>
        <c:ser>
          <c:idx val="4"/>
          <c:order val="4"/>
          <c:tx>
            <c:strRef>
              <c:f>"MS*Cna min"</c:f>
              <c:strCache>
                <c:ptCount val="1"/>
                <c:pt idx="0">
                  <c:v>MS*Cna min</c:v>
                </c:pt>
              </c:strCache>
            </c:strRef>
          </c:tx>
          <c:spPr>
            <a:solidFill>
              <a:srgbClr val="ff0000"/>
            </a:solidFill>
            <a:ln w="12600">
              <a:solidFill>
                <a:srgbClr val="ff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60</c:v>
                </c:pt>
                <c:pt idx="1">
                  <c:v>30</c:v>
                </c:pt>
                <c:pt idx="2">
                  <c:v>15</c:v>
                </c:pt>
                <c:pt idx="3">
                  <c:v>10</c:v>
                </c:pt>
                <c:pt idx="4">
                  <c:v>6</c:v>
                </c:pt>
                <c:pt idx="5">
                  <c:v>4.28571428571429</c:v>
                </c:pt>
              </c:numCache>
            </c:numRef>
          </c:yVal>
          <c:smooth val="1"/>
        </c:ser>
        <c:ser>
          <c:idx val="5"/>
          <c:order val="5"/>
          <c:tx>
            <c:strRef>
              <c:f>"MS*Cna max"</c:f>
              <c:strCache>
                <c:ptCount val="1"/>
                <c:pt idx="0">
                  <c:v>MS*Cna max</c:v>
                </c:pt>
              </c:strCache>
            </c:strRef>
          </c:tx>
          <c:spPr>
            <a:solidFill>
              <a:srgbClr val="ff0000"/>
            </a:solidFill>
            <a:ln w="12600">
              <a:solidFill>
                <a:srgbClr val="ff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c:v>
                </c:pt>
                <c:pt idx="3">
                  <c:v>25</c:v>
                </c:pt>
                <c:pt idx="4">
                  <c:v>16.6666666666667</c:v>
                </c:pt>
                <c:pt idx="5">
                  <c:v>14.2857142857143</c:v>
                </c:pt>
              </c:numCache>
            </c:numRef>
          </c:yVal>
          <c:smooth val="1"/>
        </c:ser>
        <c:ser>
          <c:idx val="6"/>
          <c:order val="6"/>
          <c:tx>
            <c:strRef>
              <c:f>"Cna moy"</c:f>
              <c:strCache>
                <c:ptCount val="1"/>
                <c:pt idx="0">
                  <c:v>Cna moy</c:v>
                </c:pt>
              </c:strCache>
            </c:strRef>
          </c:tx>
          <c:spPr>
            <a:solidFill>
              <a:srgbClr val="ff0000"/>
            </a:solidFill>
            <a:ln w="12600">
              <a:solidFill>
                <a:srgbClr val="ff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Stabilito!$B$195:$B$196</c:f>
              <c:numCache>
                <c:formatCode>General</c:formatCode>
                <c:ptCount val="2"/>
                <c:pt idx="0">
                  <c:v>0</c:v>
                </c:pt>
                <c:pt idx="1">
                  <c:v>1.5</c:v>
                </c:pt>
              </c:numCache>
            </c:numRef>
          </c:xVal>
          <c:yVal>
            <c:numRef>
              <c:f>Stabilito!$C$195:$C$196</c:f>
              <c:numCache>
                <c:formatCode>General</c:formatCode>
                <c:ptCount val="2"/>
                <c:pt idx="0">
                  <c:v>22.5</c:v>
                </c:pt>
                <c:pt idx="1">
                  <c:v>22.5</c:v>
                </c:pt>
              </c:numCache>
            </c:numRef>
          </c:yVal>
          <c:smooth val="1"/>
        </c:ser>
        <c:ser>
          <c:idx val="7"/>
          <c:order val="7"/>
          <c:tx>
            <c:strRef>
              <c:f>"Cna moy2"</c:f>
              <c:strCache>
                <c:ptCount val="1"/>
                <c:pt idx="0">
                  <c:v>Cna moy2</c:v>
                </c:pt>
              </c:strCache>
            </c:strRef>
          </c:tx>
          <c:spPr>
            <a:solidFill>
              <a:srgbClr val="ff0000"/>
            </a:solidFill>
            <a:ln w="12600">
              <a:solidFill>
                <a:srgbClr val="ff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Stabilito!$B$197:$B$198</c:f>
              <c:numCache>
                <c:formatCode>General</c:formatCode>
                <c:ptCount val="2"/>
                <c:pt idx="0">
                  <c:v>4.44444444444445</c:v>
                </c:pt>
                <c:pt idx="1">
                  <c:v>7</c:v>
                </c:pt>
              </c:numCache>
            </c:numRef>
          </c:xVal>
          <c:yVal>
            <c:numRef>
              <c:f>Stabilito!$C$197:$C$198</c:f>
              <c:numCache>
                <c:formatCode>General</c:formatCode>
                <c:ptCount val="2"/>
                <c:pt idx="0">
                  <c:v>22.5</c:v>
                </c:pt>
                <c:pt idx="1">
                  <c:v>22.5</c:v>
                </c:pt>
              </c:numCache>
            </c:numRef>
          </c:yVal>
          <c:smooth val="1"/>
        </c:ser>
        <c:ser>
          <c:idx val="8"/>
          <c:order val="8"/>
          <c:tx>
            <c:strRef>
              <c:f>"MS moy"</c:f>
              <c:strCache>
                <c:ptCount val="1"/>
                <c:pt idx="0">
                  <c:v>MS moy</c:v>
                </c:pt>
              </c:strCache>
            </c:strRef>
          </c:tx>
          <c:spPr>
            <a:solidFill>
              <a:srgbClr val="ff0000"/>
            </a:solidFill>
            <a:ln w="12600">
              <a:solidFill>
                <a:srgbClr val="ff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Stabilito!$B$199:$B$200</c:f>
              <c:numCache>
                <c:formatCode>General</c:formatCode>
                <c:ptCount val="2"/>
                <c:pt idx="0">
                  <c:v>3.75</c:v>
                </c:pt>
                <c:pt idx="1">
                  <c:v>3.75</c:v>
                </c:pt>
              </c:numCache>
            </c:numRef>
          </c:xVal>
          <c:yVal>
            <c:numRef>
              <c:f>Stabilito!$C$199:$C$200</c:f>
              <c:numCache>
                <c:formatCode>General</c:formatCode>
                <c:ptCount val="2"/>
                <c:pt idx="0">
                  <c:v>0</c:v>
                </c:pt>
                <c:pt idx="1">
                  <c:v>15</c:v>
                </c:pt>
              </c:numCache>
            </c:numRef>
          </c:yVal>
          <c:smooth val="1"/>
        </c:ser>
        <c:ser>
          <c:idx val="9"/>
          <c:order val="9"/>
          <c:tx>
            <c:strRef>
              <c:f>"MS moy2"</c:f>
              <c:strCache>
                <c:ptCount val="1"/>
                <c:pt idx="0">
                  <c:v>MS moy2</c:v>
                </c:pt>
              </c:strCache>
            </c:strRef>
          </c:tx>
          <c:spPr>
            <a:solidFill>
              <a:srgbClr val="ff0000"/>
            </a:solidFill>
            <a:ln w="12600">
              <a:solidFill>
                <a:srgbClr val="ff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Stabilito!$B$201:$B$202</c:f>
              <c:numCache>
                <c:formatCode>General</c:formatCode>
                <c:ptCount val="2"/>
                <c:pt idx="0">
                  <c:v>3.75</c:v>
                </c:pt>
                <c:pt idx="1">
                  <c:v>3.75</c:v>
                </c:pt>
              </c:numCache>
            </c:numRef>
          </c:xVal>
          <c:yVal>
            <c:numRef>
              <c:f>Stabilito!$C$201:$C$202</c:f>
              <c:numCache>
                <c:formatCode>General</c:formatCode>
                <c:ptCount val="2"/>
                <c:pt idx="0">
                  <c:v>26.6666666666667</c:v>
                </c:pt>
                <c:pt idx="1">
                  <c:v>55</c:v>
                </c:pt>
              </c:numCache>
            </c:numRef>
          </c:yVal>
          <c:smooth val="1"/>
        </c:ser>
        <c:ser>
          <c:idx val="10"/>
          <c:order val="10"/>
          <c:tx>
            <c:strRef>
              <c:f>"Fusée en cours"</c:f>
              <c:strCache>
                <c:ptCount val="1"/>
                <c:pt idx="0">
                  <c:v>Fusée en cours</c:v>
                </c:pt>
              </c:strCache>
            </c:strRef>
          </c:tx>
          <c:spPr>
            <a:solidFill>
              <a:srgbClr val="000000"/>
            </a:solidFill>
            <a:ln w="25560">
              <a:solidFill>
                <a:srgbClr val="000000"/>
              </a:solidFill>
              <a:round/>
            </a:ln>
          </c:spPr>
          <c:marker>
            <c:symbol val="diamond"/>
            <c:size val="7"/>
            <c:spPr>
              <a:solidFill>
                <a:srgbClr val="000000"/>
              </a:solidFill>
            </c:spPr>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Stabilito!$B$190:$B$193</c:f>
              <c:numCache>
                <c:formatCode>General</c:formatCode>
                <c:ptCount val="4"/>
                <c:pt idx="1">
                  <c:v>0.716061259732934</c:v>
                </c:pt>
                <c:pt idx="2">
                  <c:v>1.45397797113045</c:v>
                </c:pt>
              </c:numCache>
            </c:numRef>
          </c:xVal>
          <c:yVal>
            <c:numRef>
              <c:f>Stabilito!$C$190:$C$193</c:f>
              <c:numCache>
                <c:formatCode>General</c:formatCode>
                <c:ptCount val="4"/>
                <c:pt idx="0">
                  <c:v>21.4975242818324</c:v>
                </c:pt>
                <c:pt idx="1">
                  <c:v>21.4975242818324</c:v>
                </c:pt>
                <c:pt idx="2">
                  <c:v>21.4975242818324</c:v>
                </c:pt>
                <c:pt idx="3">
                  <c:v>21.4975242818324</c:v>
                </c:pt>
              </c:numCache>
            </c:numRef>
          </c:yVal>
          <c:smooth val="1"/>
        </c:ser>
        <c:ser>
          <c:idx val="11"/>
          <c:order val="11"/>
          <c:tx>
            <c:strRef>
              <c:f>"Fusée en cours0"</c:f>
              <c:strCache>
                <c:ptCount val="1"/>
                <c:pt idx="0">
                  <c:v>Fusée en cours0</c:v>
                </c:pt>
              </c:strCache>
            </c:strRef>
          </c:tx>
          <c:spPr>
            <a:solidFill>
              <a:srgbClr val="000000"/>
            </a:solidFill>
            <a:ln w="25560">
              <a:solidFill>
                <a:srgbClr val="00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Stabilito!$B$193:$B$194</c:f>
              <c:numCache>
                <c:formatCode>General</c:formatCode>
                <c:ptCount val="2"/>
              </c:numCache>
            </c:numRef>
          </c:xVal>
          <c:yVal>
            <c:numRef>
              <c:f>Stabilito!$C$193:$C$194</c:f>
              <c:numCache>
                <c:formatCode>General</c:formatCode>
                <c:ptCount val="2"/>
                <c:pt idx="0">
                  <c:v>21.4975242818324</c:v>
                </c:pt>
                <c:pt idx="1">
                  <c:v>21.4975242818324</c:v>
                </c:pt>
              </c:numCache>
            </c:numRef>
          </c:yVal>
          <c:smooth val="1"/>
        </c:ser>
        <c:axId val="47982301"/>
        <c:axId val="44686458"/>
      </c:scatterChart>
      <c:valAx>
        <c:axId val="47982301"/>
        <c:scaling>
          <c:orientation val="minMax"/>
          <c:max val="7"/>
          <c:min val="0"/>
        </c:scaling>
        <c:delete val="0"/>
        <c:axPos val="b"/>
        <c:title>
          <c:tx>
            <c:rich>
              <a:bodyPr rot="0"/>
              <a:lstStyle/>
              <a:p>
                <a:pPr>
                  <a:defRPr b="0" sz="1000" spc="-1" strike="noStrike">
                    <a:solidFill>
                      <a:srgbClr val="000000"/>
                    </a:solidFill>
                    <a:latin typeface="Calibri"/>
                    <a:ea typeface="Calibri"/>
                  </a:defRPr>
                </a:pPr>
                <a:r>
                  <a:rPr b="0" sz="1000" spc="-1" strike="noStrike">
                    <a:solidFill>
                      <a:srgbClr val="000000"/>
                    </a:solidFill>
                    <a:latin typeface="Calibri"/>
                    <a:ea typeface="Calibri"/>
                  </a:rPr>
                  <a:t>Marge Statique (MS)</a:t>
                </a:r>
              </a:p>
            </c:rich>
          </c:tx>
          <c:layout>
            <c:manualLayout>
              <c:xMode val="edge"/>
              <c:yMode val="edge"/>
              <c:x val="0.517245494689104"/>
              <c:y val="0.730709361796753"/>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44686458"/>
        <c:crosses val="autoZero"/>
        <c:crossBetween val="midCat"/>
      </c:valAx>
      <c:valAx>
        <c:axId val="44686458"/>
        <c:scaling>
          <c:orientation val="minMax"/>
          <c:max val="55"/>
          <c:min val="0"/>
        </c:scaling>
        <c:delete val="0"/>
        <c:axPos val="l"/>
        <c:title>
          <c:tx>
            <c:rich>
              <a:bodyPr rot="-5400000"/>
              <a:lstStyle/>
              <a:p>
                <a:pPr>
                  <a:defRPr b="0" sz="1000" spc="-1" strike="noStrike">
                    <a:solidFill>
                      <a:srgbClr val="000000"/>
                    </a:solidFill>
                    <a:latin typeface="Calibri"/>
                    <a:ea typeface="Calibri"/>
                  </a:defRPr>
                </a:pPr>
                <a:r>
                  <a:rPr b="0" sz="1000" spc="-1" strike="noStrike">
                    <a:solidFill>
                      <a:srgbClr val="000000"/>
                    </a:solidFill>
                    <a:latin typeface="Calibri"/>
                    <a:ea typeface="Calibri"/>
                  </a:rPr>
                  <a:t>Portance Cnα</a:t>
                </a:r>
              </a:p>
            </c:rich>
          </c:tx>
          <c:layout>
            <c:manualLayout>
              <c:xMode val="edge"/>
              <c:yMode val="edge"/>
              <c:x val="0.0689819787564149"/>
              <c:y val="0.240382477207027"/>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47982301"/>
        <c:crosses val="autoZero"/>
        <c:crossBetween val="midCat"/>
      </c:valAx>
      <c:spPr>
        <a:noFill/>
        <a:ln w="12600">
          <a:solidFill>
            <a:srgbClr val="808080"/>
          </a:solidFill>
          <a:round/>
        </a:ln>
      </c:spPr>
    </c:plotArea>
    <c:plotVisOnly val="1"/>
    <c:dispBlanksAs val="gap"/>
  </c:chart>
  <c:spPr>
    <a:solidFill>
      <a:srgbClr val="ffffff"/>
    </a:solidFill>
    <a:ln w="3240">
      <a:solidFill>
        <a:srgbClr val="000000"/>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Trajectoire (x z)</a:t>
            </a:r>
          </a:p>
        </c:rich>
      </c:tx>
      <c:layout>
        <c:manualLayout>
          <c:xMode val="edge"/>
          <c:yMode val="edge"/>
          <c:x val="0.668799479449084"/>
          <c:y val="0.0386190754827384"/>
        </c:manualLayout>
      </c:layout>
      <c:overlay val="0"/>
      <c:spPr>
        <a:noFill/>
        <a:ln w="25560">
          <a:noFill/>
        </a:ln>
      </c:spPr>
    </c:title>
    <c:autoTitleDeleted val="0"/>
    <c:plotArea>
      <c:layout>
        <c:manualLayout>
          <c:layoutTarget val="inner"/>
          <c:xMode val="edge"/>
          <c:yMode val="edge"/>
          <c:x val="0.0697321331742761"/>
          <c:y val="0.0355763604447045"/>
          <c:w val="0.896757401583342"/>
          <c:h val="0.895962551199532"/>
        </c:manualLayout>
      </c:layout>
      <c:scatterChart>
        <c:scatterStyle val="lineMarker"/>
        <c:varyColors val="0"/>
        <c:ser>
          <c:idx val="0"/>
          <c:order val="0"/>
          <c:tx>
            <c:strRef>
              <c:f>"Point invisible pour mise à l'echelle"</c:f>
              <c:strCache>
                <c:ptCount val="1"/>
                <c:pt idx="0">
                  <c:v>Point invisible pour mise à l'echelle</c:v>
                </c:pt>
              </c:strCache>
            </c:strRef>
          </c:tx>
          <c:spPr>
            <a:solidFill>
              <a:srgbClr val="99ccff"/>
            </a:solidFill>
            <a:ln w="3240">
              <a:solidFill>
                <a:srgbClr val="99ccff"/>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Trajecto!$B$120</c:f>
              <c:numCache>
                <c:formatCode>General</c:formatCode>
                <c:ptCount val="1"/>
                <c:pt idx="0">
                  <c:v>1468.27102651883</c:v>
                </c:pt>
              </c:numCache>
            </c:numRef>
          </c:xVal>
          <c:yVal>
            <c:numRef>
              <c:f>Trajecto!$C$118</c:f>
              <c:numCache>
                <c:formatCode>General</c:formatCode>
                <c:ptCount val="1"/>
                <c:pt idx="0">
                  <c:v>1468.27102651883</c:v>
                </c:pt>
              </c:numCache>
            </c:numRef>
          </c:yVal>
          <c:smooth val="1"/>
        </c:ser>
        <c:ser>
          <c:idx val="1"/>
          <c:order val="1"/>
          <c:tx>
            <c:strRef>
              <c:f>"1 point par seconde"</c:f>
              <c:strCache>
                <c:ptCount val="1"/>
                <c:pt idx="0">
                  <c:v>1 point par seconde</c:v>
                </c:pt>
              </c:strCache>
            </c:strRef>
          </c:tx>
          <c:spPr>
            <a:solidFill>
              <a:srgbClr val="000000"/>
            </a:solidFill>
            <a:ln w="28440">
              <a:noFill/>
            </a:ln>
          </c:spPr>
          <c:marker>
            <c:symbol val="plus"/>
            <c:size val="7"/>
            <c:spPr>
              <a:solidFill>
                <a:srgbClr val="000000"/>
              </a:solidFill>
            </c:spPr>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Calculs!$AD$4:$AD$1004</c:f>
              <c:numCache>
                <c:formatCode>General</c:formatCode>
                <c:ptCount val="1001"/>
                <c:pt idx="0">
                  <c:v>0</c:v>
                </c:pt>
                <c:pt idx="100">
                  <c:v>8.02665260692689</c:v>
                </c:pt>
                <c:pt idx="200">
                  <c:v>33.001661434993</c:v>
                </c:pt>
                <c:pt idx="300">
                  <c:v>71.7364508565766</c:v>
                </c:pt>
                <c:pt idx="400">
                  <c:v>116.151123584996</c:v>
                </c:pt>
                <c:pt idx="410">
                  <c:v>157.373962845959</c:v>
                </c:pt>
                <c:pt idx="420">
                  <c:v>195.56528690478</c:v>
                </c:pt>
                <c:pt idx="430">
                  <c:v>231.328229013003</c:v>
                </c:pt>
                <c:pt idx="440">
                  <c:v>265.120484141669</c:v>
                </c:pt>
                <c:pt idx="450">
                  <c:v>297.299511550981</c:v>
                </c:pt>
                <c:pt idx="460">
                  <c:v>328.151428112475</c:v>
                </c:pt>
                <c:pt idx="470">
                  <c:v>357.910119010677</c:v>
                </c:pt>
                <c:pt idx="480">
                  <c:v>386.770139945606</c:v>
                </c:pt>
                <c:pt idx="490">
                  <c:v>414.895381201202</c:v>
                </c:pt>
                <c:pt idx="500">
                  <c:v>442.424460233371</c:v>
                </c:pt>
                <c:pt idx="510">
                  <c:v>469.473002208175</c:v>
                </c:pt>
                <c:pt idx="520">
                  <c:v>496.13218231598</c:v>
                </c:pt>
                <c:pt idx="530">
                  <c:v>522.46277238776</c:v>
                </c:pt>
                <c:pt idx="540">
                  <c:v>548.487102349326</c:v>
                </c:pt>
                <c:pt idx="550">
                  <c:v>574.187436910772</c:v>
                </c:pt>
                <c:pt idx="560">
                  <c:v>599.515589048261</c:v>
                </c:pt>
                <c:pt idx="570">
                  <c:v>624.40658171647</c:v>
                </c:pt>
                <c:pt idx="580">
                  <c:v>648.789155149892</c:v>
                </c:pt>
                <c:pt idx="590">
                  <c:v>672.592294831946</c:v>
                </c:pt>
                <c:pt idx="600">
                  <c:v>695.74915728288</c:v>
                </c:pt>
                <c:pt idx="610">
                  <c:v>718.199470253529</c:v>
                </c:pt>
                <c:pt idx="620">
                  <c:v>739.890987828321</c:v>
                </c:pt>
                <c:pt idx="630">
                  <c:v>760.780301944803</c:v>
                </c:pt>
                <c:pt idx="640">
                  <c:v>780.83318048432</c:v>
                </c:pt>
                <c:pt idx="650">
                  <c:v>800.02454230625</c:v>
                </c:pt>
                <c:pt idx="660">
                  <c:v>818.33815169519</c:v>
                </c:pt>
                <c:pt idx="670">
                  <c:v>835.766100316395</c:v>
                </c:pt>
                <c:pt idx="680">
                  <c:v>852.308135691034</c:v>
                </c:pt>
                <c:pt idx="690">
                  <c:v>867.970887836509</c:v>
                </c:pt>
                <c:pt idx="700">
                  <c:v>882.767038674099</c:v>
                </c:pt>
                <c:pt idx="710">
                  <c:v>896.714471708646</c:v>
                </c:pt>
                <c:pt idx="720">
                  <c:v>909.835432403945</c:v>
                </c:pt>
              </c:numCache>
            </c:numRef>
          </c:xVal>
          <c:yVal>
            <c:numRef>
              <c:f>Calculs!$K$4:$K$1004</c:f>
              <c:numCache>
                <c:formatCode>General</c:formatCode>
                <c:ptCount val="1001"/>
                <c:pt idx="0">
                  <c:v>0</c:v>
                </c:pt>
                <c:pt idx="1">
                  <c:v>4.71066430277206E-005</c:v>
                </c:pt>
                <c:pt idx="2">
                  <c:v>0.00123430985045809</c:v>
                </c:pt>
                <c:pt idx="3">
                  <c:v>0.00565398827554792</c:v>
                </c:pt>
                <c:pt idx="4">
                  <c:v>0.0154000738490383</c:v>
                </c:pt>
                <c:pt idx="5">
                  <c:v>0.032568704976589</c:v>
                </c:pt>
                <c:pt idx="6">
                  <c:v>0.0587286030075707</c:v>
                </c:pt>
                <c:pt idx="7">
                  <c:v>0.0943900694407182</c:v>
                </c:pt>
                <c:pt idx="8">
                  <c:v>0.139533610440935</c:v>
                </c:pt>
                <c:pt idx="9">
                  <c:v>0.194139616707074</c:v>
                </c:pt>
                <c:pt idx="10">
                  <c:v>0.25818836387632</c:v>
                </c:pt>
                <c:pt idx="11">
                  <c:v>0.331660012933674</c:v>
                </c:pt>
                <c:pt idx="12">
                  <c:v>0.414534610626495</c:v>
                </c:pt>
                <c:pt idx="13">
                  <c:v>0.506792089884068</c:v>
                </c:pt>
                <c:pt idx="14">
                  <c:v>0.608412270242167</c:v>
                </c:pt>
                <c:pt idx="15">
                  <c:v>0.719374858272552</c:v>
                </c:pt>
                <c:pt idx="16">
                  <c:v>0.839659448017392</c:v>
                </c:pt>
                <c:pt idx="17">
                  <c:v>0.969245521428544</c:v>
                </c:pt>
                <c:pt idx="18">
                  <c:v>1.10811244881168</c:v>
                </c:pt>
                <c:pt idx="19">
                  <c:v>1.25623948927518</c:v>
                </c:pt>
                <c:pt idx="20">
                  <c:v>1.4136057911838</c:v>
                </c:pt>
                <c:pt idx="21">
                  <c:v>1.58019039261706</c:v>
                </c:pt>
                <c:pt idx="22">
                  <c:v>1.75597222183222</c:v>
                </c:pt>
                <c:pt idx="23">
                  <c:v>1.94093009773201</c:v>
                </c:pt>
                <c:pt idx="24">
                  <c:v>2.13504273033682</c:v>
                </c:pt>
                <c:pt idx="25">
                  <c:v>2.33828872126149</c:v>
                </c:pt>
                <c:pt idx="26">
                  <c:v>2.55064656419662</c:v>
                </c:pt>
                <c:pt idx="27">
                  <c:v>2.77209464539425</c:v>
                </c:pt>
                <c:pt idx="28">
                  <c:v>3.00261124415803</c:v>
                </c:pt>
                <c:pt idx="29">
                  <c:v>3.24217453333772</c:v>
                </c:pt>
                <c:pt idx="30">
                  <c:v>3.49076257982799</c:v>
                </c:pt>
                <c:pt idx="31">
                  <c:v>3.74835334507152</c:v>
                </c:pt>
                <c:pt idx="32">
                  <c:v>4.01492468556632</c:v>
                </c:pt>
                <c:pt idx="33">
                  <c:v>4.29043955550623</c:v>
                </c:pt>
                <c:pt idx="34">
                  <c:v>4.57486029065876</c:v>
                </c:pt>
                <c:pt idx="35">
                  <c:v>4.86816341380027</c:v>
                </c:pt>
                <c:pt idx="36">
                  <c:v>5.17032536614843</c:v>
                </c:pt>
                <c:pt idx="37">
                  <c:v>5.48132251439453</c:v>
                </c:pt>
                <c:pt idx="38">
                  <c:v>5.80113114984989</c:v>
                </c:pt>
                <c:pt idx="39">
                  <c:v>6.12972748770731</c:v>
                </c:pt>
                <c:pt idx="40">
                  <c:v>6.46708766640578</c:v>
                </c:pt>
                <c:pt idx="41">
                  <c:v>6.81318774708791</c:v>
                </c:pt>
                <c:pt idx="42">
                  <c:v>7.16800371314139</c:v>
                </c:pt>
                <c:pt idx="43">
                  <c:v>7.53151146981626</c:v>
                </c:pt>
                <c:pt idx="44">
                  <c:v>7.90368684391139</c:v>
                </c:pt>
                <c:pt idx="45">
                  <c:v>8.28450558352366</c:v>
                </c:pt>
                <c:pt idx="46">
                  <c:v>8.67394335785479</c:v>
                </c:pt>
                <c:pt idx="47">
                  <c:v>9.07197575707059</c:v>
                </c:pt>
                <c:pt idx="48">
                  <c:v>9.47857829220871</c:v>
                </c:pt>
                <c:pt idx="49">
                  <c:v>9.89372639513068</c:v>
                </c:pt>
                <c:pt idx="50">
                  <c:v>10.3173954185151</c:v>
                </c:pt>
                <c:pt idx="51">
                  <c:v>10.7495634267414</c:v>
                </c:pt>
                <c:pt idx="52">
                  <c:v>11.1902139904642</c:v>
                </c:pt>
                <c:pt idx="53">
                  <c:v>11.6393334007848</c:v>
                </c:pt>
                <c:pt idx="54">
                  <c:v>12.096907879664</c:v>
                </c:pt>
                <c:pt idx="55">
                  <c:v>12.5629235798068</c:v>
                </c:pt>
                <c:pt idx="56">
                  <c:v>13.0373665845716</c:v>
                </c:pt>
                <c:pt idx="57">
                  <c:v>13.5202229079007</c:v>
                </c:pt>
                <c:pt idx="58">
                  <c:v>14.0114784942715</c:v>
                </c:pt>
                <c:pt idx="59">
                  <c:v>14.5111192186678</c:v>
                </c:pt>
                <c:pt idx="60">
                  <c:v>15.0191308865683</c:v>
                </c:pt>
                <c:pt idx="61">
                  <c:v>15.5354992339537</c:v>
                </c:pt>
                <c:pt idx="62">
                  <c:v>16.0602099273289</c:v>
                </c:pt>
                <c:pt idx="63">
                  <c:v>16.5932485637618</c:v>
                </c:pt>
                <c:pt idx="64">
                  <c:v>17.1346006709362</c:v>
                </c:pt>
                <c:pt idx="65">
                  <c:v>17.6842517072186</c:v>
                </c:pt>
                <c:pt idx="66">
                  <c:v>18.2421870617386</c:v>
                </c:pt>
                <c:pt idx="67">
                  <c:v>18.8083920544817</c:v>
                </c:pt>
                <c:pt idx="68">
                  <c:v>19.3828519363943</c:v>
                </c:pt>
                <c:pt idx="69">
                  <c:v>19.9655518894997</c:v>
                </c:pt>
                <c:pt idx="70">
                  <c:v>20.5564770270259</c:v>
                </c:pt>
                <c:pt idx="71">
                  <c:v>21.1556123935431</c:v>
                </c:pt>
                <c:pt idx="72">
                  <c:v>21.7629429651116</c:v>
                </c:pt>
                <c:pt idx="73">
                  <c:v>22.3784536494392</c:v>
                </c:pt>
                <c:pt idx="74">
                  <c:v>23.002129286048</c:v>
                </c:pt>
                <c:pt idx="75">
                  <c:v>23.6339546464496</c:v>
                </c:pt>
                <c:pt idx="76">
                  <c:v>24.2739144343295</c:v>
                </c:pt>
                <c:pt idx="77">
                  <c:v>24.9219932857388</c:v>
                </c:pt>
                <c:pt idx="78">
                  <c:v>25.5781757692946</c:v>
                </c:pt>
                <c:pt idx="79">
                  <c:v>26.2424463863875</c:v>
                </c:pt>
                <c:pt idx="80">
                  <c:v>26.9147895713961</c:v>
                </c:pt>
                <c:pt idx="81">
                  <c:v>27.5951896919097</c:v>
                </c:pt>
                <c:pt idx="82">
                  <c:v>28.283631048956</c:v>
                </c:pt>
                <c:pt idx="83">
                  <c:v>28.9800978772374</c:v>
                </c:pt>
                <c:pt idx="84">
                  <c:v>29.6845743453716</c:v>
                </c:pt>
                <c:pt idx="85">
                  <c:v>30.3970445561403</c:v>
                </c:pt>
                <c:pt idx="86">
                  <c:v>31.1174925467421</c:v>
                </c:pt>
                <c:pt idx="87">
                  <c:v>31.8459022890522</c:v>
                </c:pt>
                <c:pt idx="88">
                  <c:v>32.5822576898873</c:v>
                </c:pt>
                <c:pt idx="89">
                  <c:v>33.3265425912761</c:v>
                </c:pt>
                <c:pt idx="90">
                  <c:v>34.0787407707346</c:v>
                </c:pt>
                <c:pt idx="91">
                  <c:v>34.8388359415468</c:v>
                </c:pt>
                <c:pt idx="92">
                  <c:v>35.6068117530504</c:v>
                </c:pt>
                <c:pt idx="93">
                  <c:v>36.382651790927</c:v>
                </c:pt>
                <c:pt idx="94">
                  <c:v>37.166339577497</c:v>
                </c:pt>
                <c:pt idx="95">
                  <c:v>37.9578585720189</c:v>
                </c:pt>
                <c:pt idx="96">
                  <c:v>38.7571921709936</c:v>
                </c:pt>
                <c:pt idx="97">
                  <c:v>39.5643237084719</c:v>
                </c:pt>
                <c:pt idx="98">
                  <c:v>40.3792364563671</c:v>
                </c:pt>
                <c:pt idx="99">
                  <c:v>41.2019136247711</c:v>
                </c:pt>
                <c:pt idx="100">
                  <c:v>42.0323383622743</c:v>
                </c:pt>
                <c:pt idx="101">
                  <c:v>42.8704924708862</c:v>
                </c:pt>
                <c:pt idx="102">
                  <c:v>43.716355119818</c:v>
                </c:pt>
                <c:pt idx="103">
                  <c:v>44.569904130051</c:v>
                </c:pt>
                <c:pt idx="104">
                  <c:v>45.4311172601144</c:v>
                </c:pt>
                <c:pt idx="105">
                  <c:v>46.2999722065565</c:v>
                </c:pt>
                <c:pt idx="106">
                  <c:v>47.1764466044198</c:v>
                </c:pt>
                <c:pt idx="107">
                  <c:v>48.060518027718</c:v>
                </c:pt>
                <c:pt idx="108">
                  <c:v>48.9521639899168</c:v>
                </c:pt>
                <c:pt idx="109">
                  <c:v>49.851361944418</c:v>
                </c:pt>
                <c:pt idx="110">
                  <c:v>50.7580892850451</c:v>
                </c:pt>
                <c:pt idx="111">
                  <c:v>51.6723233465329</c:v>
                </c:pt>
                <c:pt idx="112">
                  <c:v>52.5940414050188</c:v>
                </c:pt>
                <c:pt idx="113">
                  <c:v>53.5232206785372</c:v>
                </c:pt>
                <c:pt idx="114">
                  <c:v>54.4598383275164</c:v>
                </c:pt>
                <c:pt idx="115">
                  <c:v>55.403871455277</c:v>
                </c:pt>
                <c:pt idx="116">
                  <c:v>56.3552971085334</c:v>
                </c:pt>
                <c:pt idx="117">
                  <c:v>57.3140922778975</c:v>
                </c:pt>
                <c:pt idx="118">
                  <c:v>58.2802338983836</c:v>
                </c:pt>
                <c:pt idx="119">
                  <c:v>59.2536988499165</c:v>
                </c:pt>
                <c:pt idx="120">
                  <c:v>60.2344639578404</c:v>
                </c:pt>
                <c:pt idx="121">
                  <c:v>61.2225059934308</c:v>
                </c:pt>
                <c:pt idx="122">
                  <c:v>62.217801674407</c:v>
                </c:pt>
                <c:pt idx="123">
                  <c:v>63.2203276654471</c:v>
                </c:pt>
                <c:pt idx="124">
                  <c:v>64.2300605787047</c:v>
                </c:pt>
                <c:pt idx="125">
                  <c:v>65.2469769743264</c:v>
                </c:pt>
                <c:pt idx="126">
                  <c:v>66.2710533609717</c:v>
                </c:pt>
                <c:pt idx="127">
                  <c:v>67.3022661963334</c:v>
                </c:pt>
                <c:pt idx="128">
                  <c:v>68.3405918876606</c:v>
                </c:pt>
                <c:pt idx="129">
                  <c:v>69.3860067922815</c:v>
                </c:pt>
                <c:pt idx="130">
                  <c:v>70.4384872181287</c:v>
                </c:pt>
                <c:pt idx="131">
                  <c:v>71.4980094242647</c:v>
                </c:pt>
                <c:pt idx="132">
                  <c:v>72.5645496214094</c:v>
                </c:pt>
                <c:pt idx="133">
                  <c:v>73.6380839724678</c:v>
                </c:pt>
                <c:pt idx="134">
                  <c:v>74.7185885930593</c:v>
                </c:pt>
                <c:pt idx="135">
                  <c:v>75.8060395520476</c:v>
                </c:pt>
                <c:pt idx="136">
                  <c:v>76.9004128720713</c:v>
                </c:pt>
                <c:pt idx="137">
                  <c:v>78.0016845300758</c:v>
                </c:pt>
                <c:pt idx="138">
                  <c:v>79.1098304578455</c:v>
                </c:pt>
                <c:pt idx="139">
                  <c:v>80.2248265425371</c:v>
                </c:pt>
                <c:pt idx="140">
                  <c:v>81.3466486272129</c:v>
                </c:pt>
                <c:pt idx="141">
                  <c:v>82.4752725113751</c:v>
                </c:pt>
                <c:pt idx="142">
                  <c:v>83.6106739515009</c:v>
                </c:pt>
                <c:pt idx="143">
                  <c:v>84.7528286615774</c:v>
                </c:pt>
                <c:pt idx="144">
                  <c:v>85.9017123136373</c:v>
                </c:pt>
                <c:pt idx="145">
                  <c:v>87.0573005382948</c:v>
                </c:pt>
                <c:pt idx="146">
                  <c:v>88.2195689252822</c:v>
                </c:pt>
                <c:pt idx="147">
                  <c:v>89.3884930239861</c:v>
                </c:pt>
                <c:pt idx="148">
                  <c:v>90.5640483439844</c:v>
                </c:pt>
                <c:pt idx="149">
                  <c:v>91.7462103555831</c:v>
                </c:pt>
                <c:pt idx="150">
                  <c:v>92.9349544903534</c:v>
                </c:pt>
                <c:pt idx="151">
                  <c:v>94.1302565788154</c:v>
                </c:pt>
                <c:pt idx="152">
                  <c:v>95.3320932882854</c:v>
                </c:pt>
                <c:pt idx="153">
                  <c:v>96.5404416862398</c:v>
                </c:pt>
                <c:pt idx="154">
                  <c:v>97.7552788034952</c:v>
                </c:pt>
                <c:pt idx="155">
                  <c:v>98.9765816347021</c:v>
                </c:pt>
                <c:pt idx="156">
                  <c:v>100.20432713884</c:v>
                </c:pt>
                <c:pt idx="157">
                  <c:v>101.438492239708</c:v>
                </c:pt>
                <c:pt idx="158">
                  <c:v>102.679053826426</c:v>
                </c:pt>
                <c:pt idx="159">
                  <c:v>103.925988753919</c:v>
                </c:pt>
                <c:pt idx="160">
                  <c:v>105.179273843418</c:v>
                </c:pt>
                <c:pt idx="161">
                  <c:v>106.438885882952</c:v>
                </c:pt>
                <c:pt idx="162">
                  <c:v>107.704801627838</c:v>
                </c:pt>
                <c:pt idx="163">
                  <c:v>108.976997801179</c:v>
                </c:pt>
                <c:pt idx="164">
                  <c:v>110.255451094353</c:v>
                </c:pt>
                <c:pt idx="165">
                  <c:v>111.540138167508</c:v>
                </c:pt>
                <c:pt idx="166">
                  <c:v>112.831035650051</c:v>
                </c:pt>
                <c:pt idx="167">
                  <c:v>114.128120141145</c:v>
                </c:pt>
                <c:pt idx="168">
                  <c:v>115.431368210194</c:v>
                </c:pt>
                <c:pt idx="169">
                  <c:v>116.740756397338</c:v>
                </c:pt>
                <c:pt idx="170">
                  <c:v>118.056261213942</c:v>
                </c:pt>
                <c:pt idx="171">
                  <c:v>119.377859143086</c:v>
                </c:pt>
                <c:pt idx="172">
                  <c:v>120.705526640052</c:v>
                </c:pt>
                <c:pt idx="173">
                  <c:v>122.039240132817</c:v>
                </c:pt>
                <c:pt idx="174">
                  <c:v>123.378976022538</c:v>
                </c:pt>
                <c:pt idx="175">
                  <c:v>124.724710684037</c:v>
                </c:pt>
                <c:pt idx="176">
                  <c:v>126.076420466293</c:v>
                </c:pt>
                <c:pt idx="177">
                  <c:v>127.434081692924</c:v>
                </c:pt>
                <c:pt idx="178">
                  <c:v>128.797670662672</c:v>
                </c:pt>
                <c:pt idx="179">
                  <c:v>130.167163649887</c:v>
                </c:pt>
                <c:pt idx="180">
                  <c:v>131.542536905014</c:v>
                </c:pt>
                <c:pt idx="181">
                  <c:v>132.923766655069</c:v>
                </c:pt>
                <c:pt idx="182">
                  <c:v>134.310829104127</c:v>
                </c:pt>
                <c:pt idx="183">
                  <c:v>135.703700433798</c:v>
                </c:pt>
                <c:pt idx="184">
                  <c:v>137.102356803708</c:v>
                </c:pt>
                <c:pt idx="185">
                  <c:v>138.506774351979</c:v>
                </c:pt>
                <c:pt idx="186">
                  <c:v>139.916929195703</c:v>
                </c:pt>
                <c:pt idx="187">
                  <c:v>141.332797431424</c:v>
                </c:pt>
                <c:pt idx="188">
                  <c:v>142.754355135606</c:v>
                </c:pt>
                <c:pt idx="189">
                  <c:v>144.181578365115</c:v>
                </c:pt>
                <c:pt idx="190">
                  <c:v>145.614443157687</c:v>
                </c:pt>
                <c:pt idx="191">
                  <c:v>147.0529255324</c:v>
                </c:pt>
                <c:pt idx="192">
                  <c:v>148.497001490148</c:v>
                </c:pt>
                <c:pt idx="193">
                  <c:v>149.946647014108</c:v>
                </c:pt>
                <c:pt idx="194">
                  <c:v>151.401838070208</c:v>
                </c:pt>
                <c:pt idx="195">
                  <c:v>152.862550607597</c:v>
                </c:pt>
                <c:pt idx="196">
                  <c:v>154.328760559107</c:v>
                </c:pt>
                <c:pt idx="197">
                  <c:v>155.800443841716</c:v>
                </c:pt>
                <c:pt idx="198">
                  <c:v>157.277576357019</c:v>
                </c:pt>
                <c:pt idx="199">
                  <c:v>158.760133991679</c:v>
                </c:pt>
                <c:pt idx="200">
                  <c:v>160.248092617895</c:v>
                </c:pt>
                <c:pt idx="201">
                  <c:v>161.741428093858</c:v>
                </c:pt>
                <c:pt idx="202">
                  <c:v>163.240116264207</c:v>
                </c:pt>
                <c:pt idx="203">
                  <c:v>164.744132960485</c:v>
                </c:pt>
                <c:pt idx="204">
                  <c:v>166.253454001595</c:v>
                </c:pt>
                <c:pt idx="205">
                  <c:v>167.768055194253</c:v>
                </c:pt>
                <c:pt idx="206">
                  <c:v>169.287912333435</c:v>
                </c:pt>
                <c:pt idx="207">
                  <c:v>170.81300120283</c:v>
                </c:pt>
                <c:pt idx="208">
                  <c:v>172.343297575289</c:v>
                </c:pt>
                <c:pt idx="209">
                  <c:v>173.878777213267</c:v>
                </c:pt>
                <c:pt idx="210">
                  <c:v>175.419415869271</c:v>
                </c:pt>
                <c:pt idx="211">
                  <c:v>176.965189286301</c:v>
                </c:pt>
                <c:pt idx="212">
                  <c:v>178.516073198294</c:v>
                </c:pt>
                <c:pt idx="213">
                  <c:v>180.07204333056</c:v>
                </c:pt>
                <c:pt idx="214">
                  <c:v>181.633075400222</c:v>
                </c:pt>
                <c:pt idx="215">
                  <c:v>183.199145116653</c:v>
                </c:pt>
                <c:pt idx="216">
                  <c:v>184.770228181906</c:v>
                </c:pt>
                <c:pt idx="217">
                  <c:v>186.346300291152</c:v>
                </c:pt>
                <c:pt idx="218">
                  <c:v>187.927337133106</c:v>
                </c:pt>
                <c:pt idx="219">
                  <c:v>189.51331439046</c:v>
                </c:pt>
                <c:pt idx="220">
                  <c:v>191.104207740305</c:v>
                </c:pt>
                <c:pt idx="221">
                  <c:v>192.699992854561</c:v>
                </c:pt>
                <c:pt idx="222">
                  <c:v>194.300645400397</c:v>
                </c:pt>
                <c:pt idx="223">
                  <c:v>195.906141040655</c:v>
                </c:pt>
                <c:pt idx="224">
                  <c:v>197.516455434266</c:v>
                </c:pt>
                <c:pt idx="225">
                  <c:v>199.13156423667</c:v>
                </c:pt>
                <c:pt idx="226">
                  <c:v>200.751443100231</c:v>
                </c:pt>
                <c:pt idx="227">
                  <c:v>202.376067674649</c:v>
                </c:pt>
                <c:pt idx="228">
                  <c:v>204.005413607376</c:v>
                </c:pt>
                <c:pt idx="229">
                  <c:v>205.639456544018</c:v>
                </c:pt>
                <c:pt idx="230">
                  <c:v>207.27817212875</c:v>
                </c:pt>
                <c:pt idx="231">
                  <c:v>208.921536004717</c:v>
                </c:pt>
                <c:pt idx="232">
                  <c:v>210.56952381444</c:v>
                </c:pt>
                <c:pt idx="233">
                  <c:v>212.222111200213</c:v>
                </c:pt>
                <c:pt idx="234">
                  <c:v>213.879273804509</c:v>
                </c:pt>
                <c:pt idx="235">
                  <c:v>215.540987270371</c:v>
                </c:pt>
                <c:pt idx="236">
                  <c:v>217.207227241811</c:v>
                </c:pt>
                <c:pt idx="237">
                  <c:v>218.8779693642</c:v>
                </c:pt>
                <c:pt idx="238">
                  <c:v>220.553189284663</c:v>
                </c:pt>
                <c:pt idx="239">
                  <c:v>222.232862652461</c:v>
                </c:pt>
                <c:pt idx="240">
                  <c:v>223.916965119385</c:v>
                </c:pt>
                <c:pt idx="241">
                  <c:v>225.605472340134</c:v>
                </c:pt>
                <c:pt idx="242">
                  <c:v>227.298359972703</c:v>
                </c:pt>
                <c:pt idx="243">
                  <c:v>228.995603678757</c:v>
                </c:pt>
                <c:pt idx="244">
                  <c:v>230.697179124013</c:v>
                </c:pt>
                <c:pt idx="245">
                  <c:v>232.403061978614</c:v>
                </c:pt>
                <c:pt idx="246">
                  <c:v>234.113227917502</c:v>
                </c:pt>
                <c:pt idx="247">
                  <c:v>235.82765262079</c:v>
                </c:pt>
                <c:pt idx="248">
                  <c:v>237.54631177413</c:v>
                </c:pt>
                <c:pt idx="249">
                  <c:v>239.26918106908</c:v>
                </c:pt>
                <c:pt idx="250">
                  <c:v>240.996236203467</c:v>
                </c:pt>
                <c:pt idx="251">
                  <c:v>242.727450997963</c:v>
                </c:pt>
                <c:pt idx="252">
                  <c:v>244.46279551367</c:v>
                </c:pt>
                <c:pt idx="253">
                  <c:v>246.202237939506</c:v>
                </c:pt>
                <c:pt idx="254">
                  <c:v>247.945746478657</c:v>
                </c:pt>
                <c:pt idx="255">
                  <c:v>249.693289349061</c:v>
                </c:pt>
                <c:pt idx="256">
                  <c:v>251.444834783895</c:v>
                </c:pt>
                <c:pt idx="257">
                  <c:v>253.200351032058</c:v>
                </c:pt>
                <c:pt idx="258">
                  <c:v>254.959806358648</c:v>
                </c:pt>
                <c:pt idx="259">
                  <c:v>256.723169045439</c:v>
                </c:pt>
                <c:pt idx="260">
                  <c:v>258.490407391346</c:v>
                </c:pt>
                <c:pt idx="261">
                  <c:v>260.261489712894</c:v>
                </c:pt>
                <c:pt idx="262">
                  <c:v>262.036384344682</c:v>
                </c:pt>
                <c:pt idx="263">
                  <c:v>263.815059639837</c:v>
                </c:pt>
                <c:pt idx="264">
                  <c:v>265.597483970473</c:v>
                </c:pt>
                <c:pt idx="265">
                  <c:v>267.383625728138</c:v>
                </c:pt>
                <c:pt idx="266">
                  <c:v>269.173453324261</c:v>
                </c:pt>
                <c:pt idx="267">
                  <c:v>270.966935190597</c:v>
                </c:pt>
                <c:pt idx="268">
                  <c:v>272.764039779661</c:v>
                </c:pt>
                <c:pt idx="269">
                  <c:v>274.564735565166</c:v>
                </c:pt>
                <c:pt idx="270">
                  <c:v>276.368991042453</c:v>
                </c:pt>
                <c:pt idx="271">
                  <c:v>278.176774728917</c:v>
                </c:pt>
                <c:pt idx="272">
                  <c:v>279.988055164428</c:v>
                </c:pt>
                <c:pt idx="273">
                  <c:v>281.802800911753</c:v>
                </c:pt>
                <c:pt idx="274">
                  <c:v>283.620980556967</c:v>
                </c:pt>
                <c:pt idx="275">
                  <c:v>285.442562709865</c:v>
                </c:pt>
                <c:pt idx="276">
                  <c:v>287.26751600437</c:v>
                </c:pt>
                <c:pt idx="277">
                  <c:v>289.095809098934</c:v>
                </c:pt>
                <c:pt idx="278">
                  <c:v>290.927410676934</c:v>
                </c:pt>
                <c:pt idx="279">
                  <c:v>292.762289447072</c:v>
                </c:pt>
                <c:pt idx="280">
                  <c:v>294.600414143763</c:v>
                </c:pt>
                <c:pt idx="281">
                  <c:v>296.441753527518</c:v>
                </c:pt>
                <c:pt idx="282">
                  <c:v>298.286276385332</c:v>
                </c:pt>
                <c:pt idx="283">
                  <c:v>300.133951531061</c:v>
                </c:pt>
                <c:pt idx="284">
                  <c:v>301.984747805795</c:v>
                </c:pt>
                <c:pt idx="285">
                  <c:v>303.838634078227</c:v>
                </c:pt>
                <c:pt idx="286">
                  <c:v>305.695579245027</c:v>
                </c:pt>
                <c:pt idx="287">
                  <c:v>307.555552231193</c:v>
                </c:pt>
                <c:pt idx="288">
                  <c:v>309.418521990423</c:v>
                </c:pt>
                <c:pt idx="289">
                  <c:v>311.284457505456</c:v>
                </c:pt>
                <c:pt idx="290">
                  <c:v>313.153327788433</c:v>
                </c:pt>
                <c:pt idx="291">
                  <c:v>315.025101881241</c:v>
                </c:pt>
                <c:pt idx="292">
                  <c:v>316.89974885585</c:v>
                </c:pt>
                <c:pt idx="293">
                  <c:v>318.777237814659</c:v>
                </c:pt>
                <c:pt idx="294">
                  <c:v>320.657537890829</c:v>
                </c:pt>
                <c:pt idx="295">
                  <c:v>322.540618248611</c:v>
                </c:pt>
                <c:pt idx="296">
                  <c:v>324.426448083675</c:v>
                </c:pt>
                <c:pt idx="297">
                  <c:v>326.314996623431</c:v>
                </c:pt>
                <c:pt idx="298">
                  <c:v>328.206212466285</c:v>
                </c:pt>
                <c:pt idx="299">
                  <c:v>330.100002941184</c:v>
                </c:pt>
                <c:pt idx="300">
                  <c:v>331.996254820626</c:v>
                </c:pt>
                <c:pt idx="301">
                  <c:v>333.89485501445</c:v>
                </c:pt>
                <c:pt idx="302">
                  <c:v>335.795690572298</c:v>
                </c:pt>
                <c:pt idx="303">
                  <c:v>337.698648686044</c:v>
                </c:pt>
                <c:pt idx="304">
                  <c:v>339.603616692162</c:v>
                </c:pt>
                <c:pt idx="305">
                  <c:v>341.510482074057</c:v>
                </c:pt>
                <c:pt idx="306">
                  <c:v>343.419132464343</c:v>
                </c:pt>
                <c:pt idx="307">
                  <c:v>345.329455647081</c:v>
                </c:pt>
                <c:pt idx="308">
                  <c:v>347.241339559963</c:v>
                </c:pt>
                <c:pt idx="309">
                  <c:v>349.154672296456</c:v>
                </c:pt>
                <c:pt idx="310">
                  <c:v>351.069342107896</c:v>
                </c:pt>
                <c:pt idx="311">
                  <c:v>352.985237405536</c:v>
                </c:pt>
                <c:pt idx="312">
                  <c:v>354.902246762553</c:v>
                </c:pt>
                <c:pt idx="313">
                  <c:v>356.820258916</c:v>
                </c:pt>
                <c:pt idx="314">
                  <c:v>358.739162768723</c:v>
                </c:pt>
                <c:pt idx="315">
                  <c:v>360.658847391222</c:v>
                </c:pt>
                <c:pt idx="316">
                  <c:v>362.579202023477</c:v>
                </c:pt>
                <c:pt idx="317">
                  <c:v>364.50011607672</c:v>
                </c:pt>
                <c:pt idx="318">
                  <c:v>366.421479135169</c:v>
                </c:pt>
                <c:pt idx="319">
                  <c:v>368.343180957711</c:v>
                </c:pt>
                <c:pt idx="320">
                  <c:v>370.265111479548</c:v>
                </c:pt>
                <c:pt idx="321">
                  <c:v>372.1871690264</c:v>
                </c:pt>
                <c:pt idx="322">
                  <c:v>374.109268515989</c:v>
                </c:pt>
                <c:pt idx="323">
                  <c:v>376.031333219358</c:v>
                </c:pt>
                <c:pt idx="324">
                  <c:v>377.953286534437</c:v>
                </c:pt>
                <c:pt idx="325">
                  <c:v>379.875051986663</c:v>
                </c:pt>
                <c:pt idx="326">
                  <c:v>381.796553229589</c:v>
                </c:pt>
                <c:pt idx="327">
                  <c:v>383.717714045467</c:v>
                </c:pt>
                <c:pt idx="328">
                  <c:v>385.638458345807</c:v>
                </c:pt>
                <c:pt idx="329">
                  <c:v>387.558710171922</c:v>
                </c:pt>
                <c:pt idx="330">
                  <c:v>389.478393695449</c:v>
                </c:pt>
                <c:pt idx="331">
                  <c:v>391.39743321885</c:v>
                </c:pt>
                <c:pt idx="332">
                  <c:v>393.315753175894</c:v>
                </c:pt>
                <c:pt idx="333">
                  <c:v>395.233278132115</c:v>
                </c:pt>
                <c:pt idx="334">
                  <c:v>397.149932785254</c:v>
                </c:pt>
                <c:pt idx="335">
                  <c:v>399.065641965684</c:v>
                </c:pt>
                <c:pt idx="336">
                  <c:v>400.980330636806</c:v>
                </c:pt>
                <c:pt idx="337">
                  <c:v>402.893923895431</c:v>
                </c:pt>
                <c:pt idx="338">
                  <c:v>404.806346972149</c:v>
                </c:pt>
                <c:pt idx="339">
                  <c:v>406.717525231664</c:v>
                </c:pt>
                <c:pt idx="340">
                  <c:v>408.627384173124</c:v>
                </c:pt>
                <c:pt idx="341">
                  <c:v>410.535849430424</c:v>
                </c:pt>
                <c:pt idx="342">
                  <c:v>412.442846772492</c:v>
                </c:pt>
                <c:pt idx="343">
                  <c:v>414.34830210356</c:v>
                </c:pt>
                <c:pt idx="344">
                  <c:v>416.252141463406</c:v>
                </c:pt>
                <c:pt idx="345">
                  <c:v>418.154291027595</c:v>
                </c:pt>
                <c:pt idx="346">
                  <c:v>420.054677107683</c:v>
                </c:pt>
                <c:pt idx="347">
                  <c:v>421.953226151417</c:v>
                </c:pt>
                <c:pt idx="348">
                  <c:v>423.849865627964</c:v>
                </c:pt>
                <c:pt idx="349">
                  <c:v>425.744524911418</c:v>
                </c:pt>
                <c:pt idx="350">
                  <c:v>427.637134392424</c:v>
                </c:pt>
                <c:pt idx="351">
                  <c:v>429.527624591481</c:v>
                </c:pt>
                <c:pt idx="352">
                  <c:v>431.415926159006</c:v>
                </c:pt>
                <c:pt idx="353">
                  <c:v>433.301969875388</c:v>
                </c:pt>
                <c:pt idx="354">
                  <c:v>435.185686651018</c:v>
                </c:pt>
                <c:pt idx="355">
                  <c:v>437.067007526316</c:v>
                </c:pt>
                <c:pt idx="356">
                  <c:v>438.945863671729</c:v>
                </c:pt>
                <c:pt idx="357">
                  <c:v>440.822186387727</c:v>
                </c:pt>
                <c:pt idx="358">
                  <c:v>442.695907104775</c:v>
                </c:pt>
                <c:pt idx="359">
                  <c:v>444.566957383295</c:v>
                </c:pt>
                <c:pt idx="360">
                  <c:v>446.435287313958</c:v>
                </c:pt>
                <c:pt idx="361">
                  <c:v>448.300883879948</c:v>
                </c:pt>
                <c:pt idx="362">
                  <c:v>450.163752481729</c:v>
                </c:pt>
                <c:pt idx="363">
                  <c:v>452.023898499902</c:v>
                </c:pt>
                <c:pt idx="364">
                  <c:v>453.881327295308</c:v>
                </c:pt>
                <c:pt idx="365">
                  <c:v>455.73604420912</c:v>
                </c:pt>
                <c:pt idx="366">
                  <c:v>457.588054562936</c:v>
                </c:pt>
                <c:pt idx="367">
                  <c:v>459.437363658876</c:v>
                </c:pt>
                <c:pt idx="368">
                  <c:v>461.283976779679</c:v>
                </c:pt>
                <c:pt idx="369">
                  <c:v>463.12789918879</c:v>
                </c:pt>
                <c:pt idx="370">
                  <c:v>464.969136130456</c:v>
                </c:pt>
                <c:pt idx="371">
                  <c:v>466.80769282982</c:v>
                </c:pt>
                <c:pt idx="372">
                  <c:v>468.64357449301</c:v>
                </c:pt>
                <c:pt idx="373">
                  <c:v>470.476786307231</c:v>
                </c:pt>
                <c:pt idx="374">
                  <c:v>472.307333440856</c:v>
                </c:pt>
                <c:pt idx="375">
                  <c:v>474.135221043514</c:v>
                </c:pt>
                <c:pt idx="376">
                  <c:v>475.960454246184</c:v>
                </c:pt>
                <c:pt idx="377">
                  <c:v>477.783038161279</c:v>
                </c:pt>
                <c:pt idx="378">
                  <c:v>479.602977882736</c:v>
                </c:pt>
                <c:pt idx="379">
                  <c:v>481.420278486108</c:v>
                </c:pt>
                <c:pt idx="380">
                  <c:v>483.234945028644</c:v>
                </c:pt>
                <c:pt idx="381">
                  <c:v>485.04698254938</c:v>
                </c:pt>
                <c:pt idx="382">
                  <c:v>486.856396069227</c:v>
                </c:pt>
                <c:pt idx="383">
                  <c:v>488.663190591054</c:v>
                </c:pt>
                <c:pt idx="384">
                  <c:v>490.467371099771</c:v>
                </c:pt>
                <c:pt idx="385">
                  <c:v>492.268942562421</c:v>
                </c:pt>
                <c:pt idx="386">
                  <c:v>494.067909928258</c:v>
                </c:pt>
                <c:pt idx="387">
                  <c:v>495.864278128833</c:v>
                </c:pt>
                <c:pt idx="388">
                  <c:v>497.658052078076</c:v>
                </c:pt>
                <c:pt idx="389">
                  <c:v>499.449236672381</c:v>
                </c:pt>
                <c:pt idx="390">
                  <c:v>501.237836790687</c:v>
                </c:pt>
                <c:pt idx="391">
                  <c:v>503.023857294559</c:v>
                </c:pt>
                <c:pt idx="392">
                  <c:v>504.80730302827</c:v>
                </c:pt>
                <c:pt idx="393">
                  <c:v>506.588178818884</c:v>
                </c:pt>
                <c:pt idx="394">
                  <c:v>508.366489476332</c:v>
                </c:pt>
                <c:pt idx="395">
                  <c:v>510.142239793496</c:v>
                </c:pt>
                <c:pt idx="396">
                  <c:v>511.915434546283</c:v>
                </c:pt>
                <c:pt idx="397">
                  <c:v>513.686078493713</c:v>
                </c:pt>
                <c:pt idx="398">
                  <c:v>515.454176377986</c:v>
                </c:pt>
                <c:pt idx="399">
                  <c:v>517.219732924571</c:v>
                </c:pt>
                <c:pt idx="400">
                  <c:v>518.982752842275</c:v>
                </c:pt>
                <c:pt idx="401">
                  <c:v>536.473800892352</c:v>
                </c:pt>
                <c:pt idx="402">
                  <c:v>553.714204690806</c:v>
                </c:pt>
                <c:pt idx="403">
                  <c:v>570.708514530673</c:v>
                </c:pt>
                <c:pt idx="404">
                  <c:v>587.461124033914</c:v>
                </c:pt>
                <c:pt idx="405">
                  <c:v>603.976277161297</c:v>
                </c:pt>
                <c:pt idx="406">
                  <c:v>620.258074828367</c:v>
                </c:pt>
                <c:pt idx="407">
                  <c:v>636.310481153894</c:v>
                </c:pt>
                <c:pt idx="408">
                  <c:v>652.137329365098</c:v>
                </c:pt>
                <c:pt idx="409">
                  <c:v>667.74232738213</c:v>
                </c:pt>
                <c:pt idx="410">
                  <c:v>683.129063102546</c:v>
                </c:pt>
                <c:pt idx="411">
                  <c:v>698.301009404979</c:v>
                </c:pt>
                <c:pt idx="412">
                  <c:v>713.261528889775</c:v>
                </c:pt>
                <c:pt idx="413">
                  <c:v>728.013878373066</c:v>
                </c:pt>
                <c:pt idx="414">
                  <c:v>742.561213149541</c:v>
                </c:pt>
                <c:pt idx="415">
                  <c:v>756.906591038096</c:v>
                </c:pt>
                <c:pt idx="416">
                  <c:v>771.052976223531</c:v>
                </c:pt>
                <c:pt idx="417">
                  <c:v>785.003242906522</c:v>
                </c:pt>
                <c:pt idx="418">
                  <c:v>798.760178773266</c:v>
                </c:pt>
                <c:pt idx="419">
                  <c:v>812.326488295387</c:v>
                </c:pt>
                <c:pt idx="420">
                  <c:v>825.704795869996</c:v>
                </c:pt>
                <c:pt idx="421">
                  <c:v>838.897648809097</c:v>
                </c:pt>
                <c:pt idx="422">
                  <c:v>851.907520186954</c:v>
                </c:pt>
                <c:pt idx="423">
                  <c:v>864.736811553414</c:v>
                </c:pt>
                <c:pt idx="424">
                  <c:v>877.387855520712</c:v>
                </c:pt>
                <c:pt idx="425">
                  <c:v>889.862918230744</c:v>
                </c:pt>
                <c:pt idx="426">
                  <c:v>902.164201709387</c:v>
                </c:pt>
                <c:pt idx="427">
                  <c:v>914.29384611398</c:v>
                </c:pt>
                <c:pt idx="428">
                  <c:v>926.253931879745</c:v>
                </c:pt>
                <c:pt idx="429">
                  <c:v>938.04648177052</c:v>
                </c:pt>
                <c:pt idx="430">
                  <c:v>949.673462838862</c:v>
                </c:pt>
                <c:pt idx="431">
                  <c:v>961.13678830028</c:v>
                </c:pt>
                <c:pt idx="432">
                  <c:v>972.438319326032</c:v>
                </c:pt>
                <c:pt idx="433">
                  <c:v>983.579866758694</c:v>
                </c:pt>
                <c:pt idx="434">
                  <c:v>994.563192754425</c:v>
                </c:pt>
                <c:pt idx="435">
                  <c:v>1005.39001235563</c:v>
                </c:pt>
                <c:pt idx="436">
                  <c:v>1016.06199499751</c:v>
                </c:pt>
                <c:pt idx="437">
                  <c:v>1026.58076595179</c:v>
                </c:pt>
                <c:pt idx="438">
                  <c:v>1036.94790771068</c:v>
                </c:pt>
                <c:pt idx="439">
                  <c:v>1047.16496131404</c:v>
                </c:pt>
                <c:pt idx="440">
                  <c:v>1057.23342762243</c:v>
                </c:pt>
                <c:pt idx="441">
                  <c:v>1067.15476853871</c:v>
                </c:pt>
                <c:pt idx="442">
                  <c:v>1076.9304081806</c:v>
                </c:pt>
                <c:pt idx="443">
                  <c:v>1086.56173400643</c:v>
                </c:pt>
                <c:pt idx="444">
                  <c:v>1096.05009789652</c:v>
                </c:pt>
                <c:pt idx="445">
                  <c:v>1105.39681719191</c:v>
                </c:pt>
                <c:pt idx="446">
                  <c:v>1114.60317569265</c:v>
                </c:pt>
                <c:pt idx="447">
                  <c:v>1123.67042461744</c:v>
                </c:pt>
                <c:pt idx="448">
                  <c:v>1132.59978352632</c:v>
                </c:pt>
                <c:pt idx="449">
                  <c:v>1141.39244120804</c:v>
                </c:pt>
                <c:pt idx="450">
                  <c:v>1150.04955653388</c:v>
                </c:pt>
                <c:pt idx="451">
                  <c:v>1158.57225927911</c:v>
                </c:pt>
                <c:pt idx="452">
                  <c:v>1166.96165091378</c:v>
                </c:pt>
                <c:pt idx="453">
                  <c:v>1175.21880536399</c:v>
                </c:pt>
                <c:pt idx="454">
                  <c:v>1183.34476974504</c:v>
                </c:pt>
                <c:pt idx="455">
                  <c:v>1191.34056506756</c:v>
                </c:pt>
                <c:pt idx="456">
                  <c:v>1199.20718691783</c:v>
                </c:pt>
                <c:pt idx="457">
                  <c:v>1206.94560611347</c:v>
                </c:pt>
                <c:pt idx="458">
                  <c:v>1214.55676933526</c:v>
                </c:pt>
                <c:pt idx="459">
                  <c:v>1222.04159973646</c:v>
                </c:pt>
                <c:pt idx="460">
                  <c:v>1229.40099753023</c:v>
                </c:pt>
                <c:pt idx="461">
                  <c:v>1236.63584055626</c:v>
                </c:pt>
                <c:pt idx="462">
                  <c:v>1243.74698482738</c:v>
                </c:pt>
                <c:pt idx="463">
                  <c:v>1250.73526505695</c:v>
                </c:pt>
                <c:pt idx="464">
                  <c:v>1257.60149516792</c:v>
                </c:pt>
                <c:pt idx="465">
                  <c:v>1264.3464687841</c:v>
                </c:pt>
                <c:pt idx="466">
                  <c:v>1270.97095970457</c:v>
                </c:pt>
                <c:pt idx="467">
                  <c:v>1277.47572236175</c:v>
                </c:pt>
                <c:pt idx="468">
                  <c:v>1283.8614922639</c:v>
                </c:pt>
                <c:pt idx="469">
                  <c:v>1290.1289864225</c:v>
                </c:pt>
                <c:pt idx="470">
                  <c:v>1296.27890376534</c:v>
                </c:pt>
                <c:pt idx="471">
                  <c:v>1302.31192553567</c:v>
                </c:pt>
                <c:pt idx="472">
                  <c:v>1308.22871567811</c:v>
                </c:pt>
                <c:pt idx="473">
                  <c:v>1314.02992121177</c:v>
                </c:pt>
                <c:pt idx="474">
                  <c:v>1319.71617259112</c:v>
                </c:pt>
                <c:pt idx="475">
                  <c:v>1325.28808405511</c:v>
                </c:pt>
                <c:pt idx="476">
                  <c:v>1330.74625396496</c:v>
                </c:pt>
                <c:pt idx="477">
                  <c:v>1336.09126513115</c:v>
                </c:pt>
                <c:pt idx="478">
                  <c:v>1341.32368513</c:v>
                </c:pt>
                <c:pt idx="479">
                  <c:v>1346.44406661033</c:v>
                </c:pt>
                <c:pt idx="480">
                  <c:v>1351.45294759054</c:v>
                </c:pt>
                <c:pt idx="481">
                  <c:v>1356.3508517466</c:v>
                </c:pt>
                <c:pt idx="482">
                  <c:v>1361.13828869131</c:v>
                </c:pt>
                <c:pt idx="483">
                  <c:v>1365.81575424524</c:v>
                </c:pt>
                <c:pt idx="484">
                  <c:v>1370.38373069974</c:v>
                </c:pt>
                <c:pt idx="485">
                  <c:v>1374.8426870724</c:v>
                </c:pt>
                <c:pt idx="486">
                  <c:v>1379.19307935538</c:v>
                </c:pt>
                <c:pt idx="487">
                  <c:v>1383.43535075694</c:v>
                </c:pt>
                <c:pt idx="488">
                  <c:v>1387.5699319366</c:v>
                </c:pt>
                <c:pt idx="489">
                  <c:v>1391.59724123428</c:v>
                </c:pt>
                <c:pt idx="490">
                  <c:v>1395.51768489392</c:v>
                </c:pt>
                <c:pt idx="491">
                  <c:v>1399.33165728179</c:v>
                </c:pt>
                <c:pt idx="492">
                  <c:v>1403.03954110011</c:v>
                </c:pt>
                <c:pt idx="493">
                  <c:v>1406.64170759628</c:v>
                </c:pt>
                <c:pt idx="494">
                  <c:v>1410.13851676822</c:v>
                </c:pt>
                <c:pt idx="495">
                  <c:v>1413.53031756616</c:v>
                </c:pt>
                <c:pt idx="496">
                  <c:v>1416.81744809161</c:v>
                </c:pt>
                <c:pt idx="497">
                  <c:v>1420.00023579371</c:v>
                </c:pt>
                <c:pt idx="498">
                  <c:v>1423.0789976637</c:v>
                </c:pt>
                <c:pt idx="499">
                  <c:v>1426.05404042801</c:v>
                </c:pt>
                <c:pt idx="500">
                  <c:v>1428.92566074053</c:v>
                </c:pt>
                <c:pt idx="501">
                  <c:v>1431.69414537473</c:v>
                </c:pt>
                <c:pt idx="502">
                  <c:v>1434.35977141632</c:v>
                </c:pt>
                <c:pt idx="503">
                  <c:v>1436.92280645707</c:v>
                </c:pt>
                <c:pt idx="504">
                  <c:v>1439.38350879069</c:v>
                </c:pt>
                <c:pt idx="505">
                  <c:v>1441.74212761151</c:v>
                </c:pt>
                <c:pt idx="506">
                  <c:v>1443.99890321673</c:v>
                </c:pt>
                <c:pt idx="507">
                  <c:v>1446.15406721341</c:v>
                </c:pt>
                <c:pt idx="508">
                  <c:v>1448.20784273087</c:v>
                </c:pt>
                <c:pt idx="509">
                  <c:v>1450.1604446397</c:v>
                </c:pt>
                <c:pt idx="510">
                  <c:v>1452.01207977844</c:v>
                </c:pt>
                <c:pt idx="511">
                  <c:v>1453.76294718888</c:v>
                </c:pt>
                <c:pt idx="512">
                  <c:v>1455.41323836126</c:v>
                </c:pt>
                <c:pt idx="513">
                  <c:v>1456.96313749045</c:v>
                </c:pt>
                <c:pt idx="514">
                  <c:v>1458.41282174416</c:v>
                </c:pt>
                <c:pt idx="515">
                  <c:v>1459.7624615444</c:v>
                </c:pt>
                <c:pt idx="516">
                  <c:v>1461.01222086315</c:v>
                </c:pt>
                <c:pt idx="517">
                  <c:v>1462.16225753319</c:v>
                </c:pt>
                <c:pt idx="518">
                  <c:v>1463.21272357493</c:v>
                </c:pt>
                <c:pt idx="519">
                  <c:v>1464.16376553986</c:v>
                </c:pt>
                <c:pt idx="520">
                  <c:v>1465.01552487109</c:v>
                </c:pt>
                <c:pt idx="521">
                  <c:v>1465.76813828109</c:v>
                </c:pt>
                <c:pt idx="522">
                  <c:v>1466.42173814652</c:v>
                </c:pt>
                <c:pt idx="523">
                  <c:v>1466.97645291975</c:v>
                </c:pt>
                <c:pt idx="524">
                  <c:v>1467.43240755602</c:v>
                </c:pt>
                <c:pt idx="525">
                  <c:v>1467.78972395522</c:v>
                </c:pt>
                <c:pt idx="526">
                  <c:v>1468.04852141647</c:v>
                </c:pt>
                <c:pt idx="527">
                  <c:v>1468.20891710357</c:v>
                </c:pt>
                <c:pt idx="528">
                  <c:v>1468.27102651883</c:v>
                </c:pt>
                <c:pt idx="529">
                  <c:v>1468.23496398257</c:v>
                </c:pt>
                <c:pt idx="530">
                  <c:v>1468.10084311547</c:v>
                </c:pt>
                <c:pt idx="531">
                  <c:v>1467.86877732031</c:v>
                </c:pt>
                <c:pt idx="532">
                  <c:v>1467.53888026027</c:v>
                </c:pt>
                <c:pt idx="533">
                  <c:v>1467.11126633019</c:v>
                </c:pt>
                <c:pt idx="534">
                  <c:v>1466.58605111802</c:v>
                </c:pt>
                <c:pt idx="535">
                  <c:v>1465.96335185332</c:v>
                </c:pt>
                <c:pt idx="536">
                  <c:v>1465.2432878402</c:v>
                </c:pt>
                <c:pt idx="537">
                  <c:v>1464.42598087253</c:v>
                </c:pt>
                <c:pt idx="538">
                  <c:v>1463.51155562929</c:v>
                </c:pt>
                <c:pt idx="539">
                  <c:v>1462.50014004868</c:v>
                </c:pt>
                <c:pt idx="540">
                  <c:v>1461.39186567972</c:v>
                </c:pt>
                <c:pt idx="541">
                  <c:v>1460.18686801067</c:v>
                </c:pt>
                <c:pt idx="542">
                  <c:v>1458.88528677394</c:v>
                </c:pt>
                <c:pt idx="543">
                  <c:v>1457.48726622733</c:v>
                </c:pt>
                <c:pt idx="544">
                  <c:v>1455.99295541192</c:v>
                </c:pt>
                <c:pt idx="545">
                  <c:v>1454.40250838716</c:v>
                </c:pt>
                <c:pt idx="546">
                  <c:v>1452.71608444375</c:v>
                </c:pt>
                <c:pt idx="547">
                  <c:v>1450.93384829522</c:v>
                </c:pt>
                <c:pt idx="548">
                  <c:v>1449.0559702493</c:v>
                </c:pt>
                <c:pt idx="549">
                  <c:v>1447.08262635987</c:v>
                </c:pt>
                <c:pt idx="550">
                  <c:v>1445.01399856081</c:v>
                </c:pt>
                <c:pt idx="551">
                  <c:v>1442.85027478285</c:v>
                </c:pt>
                <c:pt idx="552">
                  <c:v>1440.59164905434</c:v>
                </c:pt>
                <c:pt idx="553">
                  <c:v>1438.23832158725</c:v>
                </c:pt>
                <c:pt idx="554">
                  <c:v>1435.79049884932</c:v>
                </c:pt>
                <c:pt idx="555">
                  <c:v>1433.24839362339</c:v>
                </c:pt>
                <c:pt idx="556">
                  <c:v>1430.61222505487</c:v>
                </c:pt>
                <c:pt idx="557">
                  <c:v>1427.88221868822</c:v>
                </c:pt>
                <c:pt idx="558">
                  <c:v>1425.05860649334</c:v>
                </c:pt>
                <c:pt idx="559">
                  <c:v>1422.14162688253</c:v>
                </c:pt>
                <c:pt idx="560">
                  <c:v>1419.13152471887</c:v>
                </c:pt>
                <c:pt idx="561">
                  <c:v>1416.0285513166</c:v>
                </c:pt>
                <c:pt idx="562">
                  <c:v>1412.83296443412</c:v>
                </c:pt>
                <c:pt idx="563">
                  <c:v>1409.54502826015</c:v>
                </c:pt>
                <c:pt idx="564">
                  <c:v>1406.16501339372</c:v>
                </c:pt>
                <c:pt idx="565">
                  <c:v>1402.69319681818</c:v>
                </c:pt>
                <c:pt idx="566">
                  <c:v>1399.12986186992</c:v>
                </c:pt>
                <c:pt idx="567">
                  <c:v>1395.47529820205</c:v>
                </c:pt>
                <c:pt idx="568">
                  <c:v>1391.72980174344</c:v>
                </c:pt>
                <c:pt idx="569">
                  <c:v>1387.89367465347</c:v>
                </c:pt>
                <c:pt idx="570">
                  <c:v>1383.96722527276</c:v>
                </c:pt>
                <c:pt idx="571">
                  <c:v>1379.95076807015</c:v>
                </c:pt>
                <c:pt idx="572">
                  <c:v>1375.84462358623</c:v>
                </c:pt>
                <c:pt idx="573">
                  <c:v>1371.64911837363</c:v>
                </c:pt>
                <c:pt idx="574">
                  <c:v>1367.36458493421</c:v>
                </c:pt>
                <c:pt idx="575">
                  <c:v>1362.99136165352</c:v>
                </c:pt>
                <c:pt idx="576">
                  <c:v>1358.52979273258</c:v>
                </c:pt>
                <c:pt idx="577">
                  <c:v>1353.98022811707</c:v>
                </c:pt>
                <c:pt idx="578">
                  <c:v>1349.34302342442</c:v>
                </c:pt>
                <c:pt idx="579">
                  <c:v>1344.6185398685</c:v>
                </c:pt>
                <c:pt idx="580">
                  <c:v>1339.80714418241</c:v>
                </c:pt>
                <c:pt idx="581">
                  <c:v>1334.90920853935</c:v>
                </c:pt>
                <c:pt idx="582">
                  <c:v>1329.92511047161</c:v>
                </c:pt>
                <c:pt idx="583">
                  <c:v>1324.85523278801</c:v>
                </c:pt>
                <c:pt idx="584">
                  <c:v>1319.69996348968</c:v>
                </c:pt>
                <c:pt idx="585">
                  <c:v>1314.4596956844</c:v>
                </c:pt>
                <c:pt idx="586">
                  <c:v>1309.1348274996</c:v>
                </c:pt>
                <c:pt idx="587">
                  <c:v>1303.72576199401</c:v>
                </c:pt>
                <c:pt idx="588">
                  <c:v>1298.23290706814</c:v>
                </c:pt>
                <c:pt idx="589">
                  <c:v>1292.65667537374</c:v>
                </c:pt>
                <c:pt idx="590">
                  <c:v>1286.99748422204</c:v>
                </c:pt>
                <c:pt idx="591">
                  <c:v>1281.25575549121</c:v>
                </c:pt>
                <c:pt idx="592">
                  <c:v>1275.43191553285</c:v>
                </c:pt>
                <c:pt idx="593">
                  <c:v>1269.52639507765</c:v>
                </c:pt>
                <c:pt idx="594">
                  <c:v>1263.53962914035</c:v>
                </c:pt>
                <c:pt idx="595">
                  <c:v>1257.472056924</c:v>
                </c:pt>
                <c:pt idx="596">
                  <c:v>1251.32412172357</c:v>
                </c:pt>
                <c:pt idx="597">
                  <c:v>1245.09627082908</c:v>
                </c:pt>
                <c:pt idx="598">
                  <c:v>1238.78895542813</c:v>
                </c:pt>
                <c:pt idx="599">
                  <c:v>1232.40263050806</c:v>
                </c:pt>
                <c:pt idx="600">
                  <c:v>1225.9377547577</c:v>
                </c:pt>
                <c:pt idx="601">
                  <c:v>1219.3947904688</c:v>
                </c:pt>
                <c:pt idx="602">
                  <c:v>1212.77420343716</c:v>
                </c:pt>
                <c:pt idx="603">
                  <c:v>1206.07646286358</c:v>
                </c:pt>
                <c:pt idx="604">
                  <c:v>1199.30204125453</c:v>
                </c:pt>
                <c:pt idx="605">
                  <c:v>1192.45141432287</c:v>
                </c:pt>
                <c:pt idx="606">
                  <c:v>1185.52506088827</c:v>
                </c:pt>
                <c:pt idx="607">
                  <c:v>1178.52346277779</c:v>
                </c:pt>
                <c:pt idx="608">
                  <c:v>1171.44710472639</c:v>
                </c:pt>
                <c:pt idx="609">
                  <c:v>1164.29647427745</c:v>
                </c:pt>
                <c:pt idx="610">
                  <c:v>1157.0720616835</c:v>
                </c:pt>
                <c:pt idx="611">
                  <c:v>1149.77435980699</c:v>
                </c:pt>
                <c:pt idx="612">
                  <c:v>1142.40386402133</c:v>
                </c:pt>
                <c:pt idx="613">
                  <c:v>1134.96107211209</c:v>
                </c:pt>
                <c:pt idx="614">
                  <c:v>1127.44648417848</c:v>
                </c:pt>
                <c:pt idx="615">
                  <c:v>1119.86060253517</c:v>
                </c:pt>
                <c:pt idx="616">
                  <c:v>1112.20393161441</c:v>
                </c:pt>
                <c:pt idx="617">
                  <c:v>1104.47697786853</c:v>
                </c:pt>
                <c:pt idx="618">
                  <c:v>1096.68024967288</c:v>
                </c:pt>
                <c:pt idx="619">
                  <c:v>1088.81425722916</c:v>
                </c:pt>
                <c:pt idx="620">
                  <c:v>1080.87951246934</c:v>
                </c:pt>
                <c:pt idx="621">
                  <c:v>1072.87652895995</c:v>
                </c:pt>
                <c:pt idx="622">
                  <c:v>1064.80582180704</c:v>
                </c:pt>
                <c:pt idx="623">
                  <c:v>1056.66790756166</c:v>
                </c:pt>
                <c:pt idx="624">
                  <c:v>1048.46330412594</c:v>
                </c:pt>
                <c:pt idx="625">
                  <c:v>1040.19253065983</c:v>
                </c:pt>
                <c:pt idx="626">
                  <c:v>1031.85610748854</c:v>
                </c:pt>
                <c:pt idx="627">
                  <c:v>1023.45455601056</c:v>
                </c:pt>
                <c:pt idx="628">
                  <c:v>1014.98839860653</c:v>
                </c:pt>
                <c:pt idx="629">
                  <c:v>1006.45815854882</c:v>
                </c:pt>
                <c:pt idx="630">
                  <c:v>997.864359911785</c:v>
                </c:pt>
                <c:pt idx="631">
                  <c:v>989.207527482981</c:v>
                </c:pt>
                <c:pt idx="632">
                  <c:v>980.488186675064</c:v>
                </c:pt>
                <c:pt idx="633">
                  <c:v>971.706863438598</c:v>
                </c:pt>
                <c:pt idx="634">
                  <c:v>962.864084175715</c:v>
                </c:pt>
                <c:pt idx="635">
                  <c:v>953.960375654654</c:v>
                </c:pt>
                <c:pt idx="636">
                  <c:v>944.996264925206</c:v>
                </c:pt>
                <c:pt idx="637">
                  <c:v>935.972279235095</c:v>
                </c:pt>
                <c:pt idx="638">
                  <c:v>926.888945947285</c:v>
                </c:pt>
                <c:pt idx="639">
                  <c:v>917.746792458262</c:v>
                </c:pt>
                <c:pt idx="640">
                  <c:v>908.546346117288</c:v>
                </c:pt>
                <c:pt idx="641">
                  <c:v>899.28813414665</c:v>
                </c:pt>
                <c:pt idx="642">
                  <c:v>889.972683562918</c:v>
                </c:pt>
                <c:pt idx="643">
                  <c:v>880.600521099227</c:v>
                </c:pt>
                <c:pt idx="644">
                  <c:v>871.172173128597</c:v>
                </c:pt>
                <c:pt idx="645">
                  <c:v>861.688165588304</c:v>
                </c:pt>
                <c:pt idx="646">
                  <c:v>852.149023905314</c:v>
                </c:pt>
                <c:pt idx="647">
                  <c:v>842.555272922789</c:v>
                </c:pt>
                <c:pt idx="648">
                  <c:v>832.907436827685</c:v>
                </c:pt>
                <c:pt idx="649">
                  <c:v>823.206039079432</c:v>
                </c:pt>
                <c:pt idx="650">
                  <c:v>813.451602339736</c:v>
                </c:pt>
                <c:pt idx="651">
                  <c:v>803.64464840348</c:v>
                </c:pt>
                <c:pt idx="652">
                  <c:v>793.785698130749</c:v>
                </c:pt>
                <c:pt idx="653">
                  <c:v>783.87527137999</c:v>
                </c:pt>
                <c:pt idx="654">
                  <c:v>773.913886942299</c:v>
                </c:pt>
                <c:pt idx="655">
                  <c:v>763.902062476848</c:v>
                </c:pt>
                <c:pt idx="656">
                  <c:v>753.840314447465</c:v>
                </c:pt>
                <c:pt idx="657">
                  <c:v>743.729158060357</c:v>
                </c:pt>
                <c:pt idx="658">
                  <c:v>733.569107202988</c:v>
                </c:pt>
                <c:pt idx="659">
                  <c:v>723.360674384119</c:v>
                </c:pt>
                <c:pt idx="660">
                  <c:v>713.104370674998</c:v>
                </c:pt>
                <c:pt idx="661">
                  <c:v>702.800705651723</c:v>
                </c:pt>
                <c:pt idx="662">
                  <c:v>692.450187338759</c:v>
                </c:pt>
                <c:pt idx="663">
                  <c:v>682.053322153623</c:v>
                </c:pt>
                <c:pt idx="664">
                  <c:v>671.610614852733</c:v>
                </c:pt>
                <c:pt idx="665">
                  <c:v>661.122568478419</c:v>
                </c:pt>
                <c:pt idx="666">
                  <c:v>650.589684307097</c:v>
                </c:pt>
                <c:pt idx="667">
                  <c:v>640.012461798606</c:v>
                </c:pt>
                <c:pt idx="668">
                  <c:v>629.391398546705</c:v>
                </c:pt>
                <c:pt idx="669">
                  <c:v>618.726990230722</c:v>
                </c:pt>
                <c:pt idx="670">
                  <c:v>608.019730568364</c:v>
                </c:pt>
                <c:pt idx="671">
                  <c:v>597.27011126967</c:v>
                </c:pt>
                <c:pt idx="672">
                  <c:v>586.478621992121</c:v>
                </c:pt>
                <c:pt idx="673">
                  <c:v>575.645750296878</c:v>
                </c:pt>
                <c:pt idx="674">
                  <c:v>564.771981606174</c:v>
                </c:pt>
                <c:pt idx="675">
                  <c:v>553.857799161824</c:v>
                </c:pt>
                <c:pt idx="676">
                  <c:v>542.903683984871</c:v>
                </c:pt>
                <c:pt idx="677">
                  <c:v>531.910114836345</c:v>
                </c:pt>
                <c:pt idx="678">
                  <c:v>520.877568179148</c:v>
                </c:pt>
                <c:pt idx="679">
                  <c:v>509.806518141028</c:v>
                </c:pt>
                <c:pt idx="680">
                  <c:v>498.697436478672</c:v>
                </c:pt>
                <c:pt idx="681">
                  <c:v>487.55079254288</c:v>
                </c:pt>
                <c:pt idx="682">
                  <c:v>476.367053244825</c:v>
                </c:pt>
                <c:pt idx="683">
                  <c:v>465.146683023392</c:v>
                </c:pt>
                <c:pt idx="684">
                  <c:v>453.890143813586</c:v>
                </c:pt>
                <c:pt idx="685">
                  <c:v>442.59789501599</c:v>
                </c:pt>
                <c:pt idx="686">
                  <c:v>431.270393467287</c:v>
                </c:pt>
                <c:pt idx="687">
                  <c:v>419.908093411806</c:v>
                </c:pt>
                <c:pt idx="688">
                  <c:v>408.511446474114</c:v>
                </c:pt>
                <c:pt idx="689">
                  <c:v>397.080901632617</c:v>
                </c:pt>
                <c:pt idx="690">
                  <c:v>385.616905194179</c:v>
                </c:pt>
                <c:pt idx="691">
                  <c:v>374.119900769733</c:v>
                </c:pt>
                <c:pt idx="692">
                  <c:v>362.59032925089</c:v>
                </c:pt>
                <c:pt idx="693">
                  <c:v>351.028628787522</c:v>
                </c:pt>
                <c:pt idx="694">
                  <c:v>339.43523476631</c:v>
                </c:pt>
                <c:pt idx="695">
                  <c:v>327.810579790254</c:v>
                </c:pt>
                <c:pt idx="696">
                  <c:v>316.155093659119</c:v>
                </c:pt>
                <c:pt idx="697">
                  <c:v>304.469203350827</c:v>
                </c:pt>
                <c:pt idx="698">
                  <c:v>292.753333003753</c:v>
                </c:pt>
                <c:pt idx="699">
                  <c:v>281.007903899948</c:v>
                </c:pt>
                <c:pt idx="700">
                  <c:v>269.233334449244</c:v>
                </c:pt>
                <c:pt idx="701">
                  <c:v>257.430040174258</c:v>
                </c:pt>
                <c:pt idx="702">
                  <c:v>245.598433696256</c:v>
                </c:pt>
                <c:pt idx="703">
                  <c:v>233.738924721883</c:v>
                </c:pt>
                <c:pt idx="704">
                  <c:v>221.851920030746</c:v>
                </c:pt>
                <c:pt idx="705">
                  <c:v>209.937823463824</c:v>
                </c:pt>
                <c:pt idx="706">
                  <c:v>197.997035912704</c:v>
                </c:pt>
                <c:pt idx="707">
                  <c:v>186.029955309629</c:v>
                </c:pt>
                <c:pt idx="708">
                  <c:v>174.03697661834</c:v>
                </c:pt>
                <c:pt idx="709">
                  <c:v>162.018491825703</c:v>
                </c:pt>
                <c:pt idx="710">
                  <c:v>149.97488993411</c:v>
                </c:pt>
                <c:pt idx="711">
                  <c:v>137.906556954638</c:v>
                </c:pt>
                <c:pt idx="712">
                  <c:v>125.813875900948</c:v>
                </c:pt>
                <c:pt idx="713">
                  <c:v>113.697226783927</c:v>
                </c:pt>
                <c:pt idx="714">
                  <c:v>101.55698660704</c:v>
                </c:pt>
                <c:pt idx="715">
                  <c:v>89.3935293623948</c:v>
                </c:pt>
                <c:pt idx="716">
                  <c:v>77.2072260275001</c:v>
                </c:pt>
                <c:pt idx="717">
                  <c:v>64.9984445627005</c:v>
                </c:pt>
                <c:pt idx="718">
                  <c:v>52.7675499092845</c:v>
                </c:pt>
                <c:pt idx="719">
                  <c:v>40.5149039882447</c:v>
                </c:pt>
                <c:pt idx="720">
                  <c:v>28.2408656996809</c:v>
                </c:pt>
                <c:pt idx="721">
                  <c:v>15.945790922833</c:v>
                </c:pt>
                <c:pt idx="722">
                  <c:v>3.63003251672989</c:v>
                </c:pt>
                <c:pt idx="723">
                  <c:v>-8.70605967855783</c:v>
                </c:pt>
                <c:pt idx="724">
                  <c:v>-8.71840586047211</c:v>
                </c:pt>
                <c:pt idx="725">
                  <c:v>-8.73075206220054</c:v>
                </c:pt>
                <c:pt idx="726">
                  <c:v>-8.74309828374276</c:v>
                </c:pt>
                <c:pt idx="727">
                  <c:v>-8.75544452509844</c:v>
                </c:pt>
                <c:pt idx="728">
                  <c:v>-8.76779078626723</c:v>
                </c:pt>
                <c:pt idx="729">
                  <c:v>-8.7801370672488</c:v>
                </c:pt>
                <c:pt idx="730">
                  <c:v>-8.79248336804279</c:v>
                </c:pt>
                <c:pt idx="731">
                  <c:v>-8.80482968864887</c:v>
                </c:pt>
                <c:pt idx="732">
                  <c:v>-8.8171760290667</c:v>
                </c:pt>
                <c:pt idx="733">
                  <c:v>-8.82952238929593</c:v>
                </c:pt>
                <c:pt idx="734">
                  <c:v>-8.84186876933622</c:v>
                </c:pt>
                <c:pt idx="735">
                  <c:v>-8.85421516918724</c:v>
                </c:pt>
                <c:pt idx="736">
                  <c:v>-8.86656158884864</c:v>
                </c:pt>
                <c:pt idx="737">
                  <c:v>-8.87890802832007</c:v>
                </c:pt>
                <c:pt idx="738">
                  <c:v>-8.8912544876012</c:v>
                </c:pt>
                <c:pt idx="739">
                  <c:v>-8.90360096669169</c:v>
                </c:pt>
                <c:pt idx="740">
                  <c:v>-8.91594746559119</c:v>
                </c:pt>
                <c:pt idx="741">
                  <c:v>-8.92829398429936</c:v>
                </c:pt>
                <c:pt idx="742">
                  <c:v>-8.94064052281587</c:v>
                </c:pt>
                <c:pt idx="743">
                  <c:v>-8.95298708114036</c:v>
                </c:pt>
                <c:pt idx="744">
                  <c:v>-8.9653336592725</c:v>
                </c:pt>
                <c:pt idx="745">
                  <c:v>-8.97768025721194</c:v>
                </c:pt>
                <c:pt idx="746">
                  <c:v>-8.99002687495835</c:v>
                </c:pt>
                <c:pt idx="747">
                  <c:v>-9.00237351251138</c:v>
                </c:pt>
                <c:pt idx="748">
                  <c:v>-9.0147201698707</c:v>
                </c:pt>
                <c:pt idx="749">
                  <c:v>-9.02706684703595</c:v>
                </c:pt>
                <c:pt idx="750">
                  <c:v>-9.0394135440068</c:v>
                </c:pt>
                <c:pt idx="751">
                  <c:v>-9.0517602607829</c:v>
                </c:pt>
                <c:pt idx="752">
                  <c:v>-9.06410699736392</c:v>
                </c:pt>
                <c:pt idx="753">
                  <c:v>-9.07645375374952</c:v>
                </c:pt>
                <c:pt idx="754">
                  <c:v>-9.08880052993934</c:v>
                </c:pt>
                <c:pt idx="755">
                  <c:v>-9.10114732593305</c:v>
                </c:pt>
                <c:pt idx="756">
                  <c:v>-9.11349414173032</c:v>
                </c:pt>
                <c:pt idx="757">
                  <c:v>-9.12584097733079</c:v>
                </c:pt>
                <c:pt idx="758">
                  <c:v>-9.13818783273412</c:v>
                </c:pt>
                <c:pt idx="759">
                  <c:v>-9.15053470793998</c:v>
                </c:pt>
                <c:pt idx="760">
                  <c:v>-9.16288160294802</c:v>
                </c:pt>
                <c:pt idx="761">
                  <c:v>-9.1752285177579</c:v>
                </c:pt>
                <c:pt idx="762">
                  <c:v>-9.18757545236928</c:v>
                </c:pt>
                <c:pt idx="763">
                  <c:v>-9.19992240678182</c:v>
                </c:pt>
                <c:pt idx="764">
                  <c:v>-9.21226938099518</c:v>
                </c:pt>
                <c:pt idx="765">
                  <c:v>-9.224616375009</c:v>
                </c:pt>
                <c:pt idx="766">
                  <c:v>-9.23696338882297</c:v>
                </c:pt>
                <c:pt idx="767">
                  <c:v>-9.24931042243672</c:v>
                </c:pt>
                <c:pt idx="768">
                  <c:v>-9.26165747584992</c:v>
                </c:pt>
                <c:pt idx="769">
                  <c:v>-9.27400454906223</c:v>
                </c:pt>
                <c:pt idx="770">
                  <c:v>-9.28635164207331</c:v>
                </c:pt>
                <c:pt idx="771">
                  <c:v>-9.29869875488282</c:v>
                </c:pt>
                <c:pt idx="772">
                  <c:v>-9.3110458874904</c:v>
                </c:pt>
                <c:pt idx="773">
                  <c:v>-9.32339303989573</c:v>
                </c:pt>
                <c:pt idx="774">
                  <c:v>-9.33574021209846</c:v>
                </c:pt>
                <c:pt idx="775">
                  <c:v>-9.34808740409825</c:v>
                </c:pt>
                <c:pt idx="776">
                  <c:v>-9.36043461589476</c:v>
                </c:pt>
                <c:pt idx="777">
                  <c:v>-9.37278184748765</c:v>
                </c:pt>
                <c:pt idx="778">
                  <c:v>-9.38512909887657</c:v>
                </c:pt>
                <c:pt idx="779">
                  <c:v>-9.39747637006118</c:v>
                </c:pt>
                <c:pt idx="780">
                  <c:v>-9.40982366104115</c:v>
                </c:pt>
                <c:pt idx="781">
                  <c:v>-9.42217097181612</c:v>
                </c:pt>
                <c:pt idx="782">
                  <c:v>-9.43451830238577</c:v>
                </c:pt>
                <c:pt idx="783">
                  <c:v>-9.44686565274974</c:v>
                </c:pt>
                <c:pt idx="784">
                  <c:v>-9.4592130229077</c:v>
                </c:pt>
                <c:pt idx="785">
                  <c:v>-9.4715604128593</c:v>
                </c:pt>
                <c:pt idx="786">
                  <c:v>-9.4839078226042</c:v>
                </c:pt>
                <c:pt idx="787">
                  <c:v>-9.49625525214207</c:v>
                </c:pt>
                <c:pt idx="788">
                  <c:v>-9.50860270147256</c:v>
                </c:pt>
                <c:pt idx="789">
                  <c:v>-9.52095017059532</c:v>
                </c:pt>
                <c:pt idx="790">
                  <c:v>-9.53329765951003</c:v>
                </c:pt>
                <c:pt idx="791">
                  <c:v>-9.54564516821633</c:v>
                </c:pt>
                <c:pt idx="792">
                  <c:v>-9.55799269671388</c:v>
                </c:pt>
                <c:pt idx="793">
                  <c:v>-9.57034024500235</c:v>
                </c:pt>
                <c:pt idx="794">
                  <c:v>-9.58268781308139</c:v>
                </c:pt>
                <c:pt idx="795">
                  <c:v>-9.59503540095066</c:v>
                </c:pt>
                <c:pt idx="796">
                  <c:v>-9.60738300860981</c:v>
                </c:pt>
                <c:pt idx="797">
                  <c:v>-9.61973063605852</c:v>
                </c:pt>
                <c:pt idx="798">
                  <c:v>-9.63207828329643</c:v>
                </c:pt>
                <c:pt idx="799">
                  <c:v>-9.6444259503232</c:v>
                </c:pt>
                <c:pt idx="800">
                  <c:v>-9.6567736371385</c:v>
                </c:pt>
                <c:pt idx="801">
                  <c:v>-9.66912134374197</c:v>
                </c:pt>
                <c:pt idx="802">
                  <c:v>-9.68146907013329</c:v>
                </c:pt>
                <c:pt idx="803">
                  <c:v>-9.69381681631211</c:v>
                </c:pt>
                <c:pt idx="804">
                  <c:v>-9.70616458227809</c:v>
                </c:pt>
                <c:pt idx="805">
                  <c:v>-9.71851236803088</c:v>
                </c:pt>
                <c:pt idx="806">
                  <c:v>-9.73086017357014</c:v>
                </c:pt>
                <c:pt idx="807">
                  <c:v>-9.74320799889554</c:v>
                </c:pt>
                <c:pt idx="808">
                  <c:v>-9.75555584400673</c:v>
                </c:pt>
                <c:pt idx="809">
                  <c:v>-9.76790370890337</c:v>
                </c:pt>
                <c:pt idx="810">
                  <c:v>-9.78025159358512</c:v>
                </c:pt>
                <c:pt idx="811">
                  <c:v>-9.79259949805163</c:v>
                </c:pt>
                <c:pt idx="812">
                  <c:v>-9.80494742230258</c:v>
                </c:pt>
                <c:pt idx="813">
                  <c:v>-9.8172953663376</c:v>
                </c:pt>
                <c:pt idx="814">
                  <c:v>-9.82964333015637</c:v>
                </c:pt>
                <c:pt idx="815">
                  <c:v>-9.84199131375855</c:v>
                </c:pt>
                <c:pt idx="816">
                  <c:v>-9.85433931714378</c:v>
                </c:pt>
                <c:pt idx="817">
                  <c:v>-9.86668734031173</c:v>
                </c:pt>
                <c:pt idx="818">
                  <c:v>-9.87903538326206</c:v>
                </c:pt>
                <c:pt idx="819">
                  <c:v>-9.89138344599443</c:v>
                </c:pt>
                <c:pt idx="820">
                  <c:v>-9.90373152850849</c:v>
                </c:pt>
                <c:pt idx="821">
                  <c:v>-9.9160796308039</c:v>
                </c:pt>
                <c:pt idx="822">
                  <c:v>-9.92842775288033</c:v>
                </c:pt>
                <c:pt idx="823">
                  <c:v>-9.94077589473742</c:v>
                </c:pt>
                <c:pt idx="824">
                  <c:v>-9.95312405637485</c:v>
                </c:pt>
                <c:pt idx="825">
                  <c:v>-9.96547223779227</c:v>
                </c:pt>
                <c:pt idx="826">
                  <c:v>-9.97782043898933</c:v>
                </c:pt>
                <c:pt idx="827">
                  <c:v>-9.9901686599657</c:v>
                </c:pt>
                <c:pt idx="828">
                  <c:v>-10.002516900721</c:v>
                </c:pt>
                <c:pt idx="829">
                  <c:v>-10.014865161255</c:v>
                </c:pt>
                <c:pt idx="830">
                  <c:v>-10.0272134415672</c:v>
                </c:pt>
                <c:pt idx="831">
                  <c:v>-10.0395617416574</c:v>
                </c:pt>
                <c:pt idx="832">
                  <c:v>-10.0519100615252</c:v>
                </c:pt>
                <c:pt idx="833">
                  <c:v>-10.0642584011702</c:v>
                </c:pt>
                <c:pt idx="834">
                  <c:v>-10.0766067605922</c:v>
                </c:pt>
                <c:pt idx="835">
                  <c:v>-10.0889551397907</c:v>
                </c:pt>
                <c:pt idx="836">
                  <c:v>-10.1013035387655</c:v>
                </c:pt>
                <c:pt idx="837">
                  <c:v>-10.1136519575161</c:v>
                </c:pt>
                <c:pt idx="838">
                  <c:v>-10.1260003960423</c:v>
                </c:pt>
                <c:pt idx="839">
                  <c:v>-10.1383488543437</c:v>
                </c:pt>
                <c:pt idx="840">
                  <c:v>-10.15069733242</c:v>
                </c:pt>
                <c:pt idx="841">
                  <c:v>-10.1630458302708</c:v>
                </c:pt>
                <c:pt idx="842">
                  <c:v>-10.1753943478958</c:v>
                </c:pt>
                <c:pt idx="843">
                  <c:v>-10.1877428852946</c:v>
                </c:pt>
                <c:pt idx="844">
                  <c:v>-10.200091442467</c:v>
                </c:pt>
                <c:pt idx="845">
                  <c:v>-10.2124400194125</c:v>
                </c:pt>
                <c:pt idx="846">
                  <c:v>-10.2247886161308</c:v>
                </c:pt>
                <c:pt idx="847">
                  <c:v>-10.2371372326216</c:v>
                </c:pt>
                <c:pt idx="848">
                  <c:v>-10.2494858688846</c:v>
                </c:pt>
                <c:pt idx="849">
                  <c:v>-10.2618345249193</c:v>
                </c:pt>
                <c:pt idx="850">
                  <c:v>-10.2741832007255</c:v>
                </c:pt>
                <c:pt idx="851">
                  <c:v>-10.2865318963028</c:v>
                </c:pt>
                <c:pt idx="852">
                  <c:v>-10.2988806116509</c:v>
                </c:pt>
                <c:pt idx="853">
                  <c:v>-10.3112293467694</c:v>
                </c:pt>
                <c:pt idx="854">
                  <c:v>-10.323578101658</c:v>
                </c:pt>
                <c:pt idx="855">
                  <c:v>-10.3359268763164</c:v>
                </c:pt>
                <c:pt idx="856">
                  <c:v>-10.3482756707441</c:v>
                </c:pt>
                <c:pt idx="857">
                  <c:v>-10.3606244849409</c:v>
                </c:pt>
                <c:pt idx="858">
                  <c:v>-10.3729733189065</c:v>
                </c:pt>
                <c:pt idx="859">
                  <c:v>-10.3853221726404</c:v>
                </c:pt>
                <c:pt idx="860">
                  <c:v>-10.3976710461424</c:v>
                </c:pt>
                <c:pt idx="861">
                  <c:v>-10.4100199394121</c:v>
                </c:pt>
                <c:pt idx="862">
                  <c:v>-10.4223688524491</c:v>
                </c:pt>
                <c:pt idx="863">
                  <c:v>-10.4347177852532</c:v>
                </c:pt>
                <c:pt idx="864">
                  <c:v>-10.4470667378239</c:v>
                </c:pt>
                <c:pt idx="865">
                  <c:v>-10.459415710161</c:v>
                </c:pt>
                <c:pt idx="866">
                  <c:v>-10.4717647022641</c:v>
                </c:pt>
                <c:pt idx="867">
                  <c:v>-10.4841137141328</c:v>
                </c:pt>
                <c:pt idx="868">
                  <c:v>-10.4964627457668</c:v>
                </c:pt>
                <c:pt idx="869">
                  <c:v>-10.5088117971659</c:v>
                </c:pt>
                <c:pt idx="870">
                  <c:v>-10.5211608683295</c:v>
                </c:pt>
                <c:pt idx="871">
                  <c:v>-10.5335099592574</c:v>
                </c:pt>
                <c:pt idx="872">
                  <c:v>-10.5458590699493</c:v>
                </c:pt>
                <c:pt idx="873">
                  <c:v>-10.5582082004048</c:v>
                </c:pt>
                <c:pt idx="874">
                  <c:v>-10.5705573506236</c:v>
                </c:pt>
                <c:pt idx="875">
                  <c:v>-10.5829065206052</c:v>
                </c:pt>
                <c:pt idx="876">
                  <c:v>-10.5952557103495</c:v>
                </c:pt>
                <c:pt idx="877">
                  <c:v>-10.607604919856</c:v>
                </c:pt>
                <c:pt idx="878">
                  <c:v>-10.6199541491244</c:v>
                </c:pt>
                <c:pt idx="879">
                  <c:v>-10.6323033981544</c:v>
                </c:pt>
                <c:pt idx="880">
                  <c:v>-10.6446526669455</c:v>
                </c:pt>
                <c:pt idx="881">
                  <c:v>-10.6570019554976</c:v>
                </c:pt>
                <c:pt idx="882">
                  <c:v>-10.6693512638102</c:v>
                </c:pt>
                <c:pt idx="883">
                  <c:v>-10.681700591883</c:v>
                </c:pt>
                <c:pt idx="884">
                  <c:v>-10.6940499397156</c:v>
                </c:pt>
                <c:pt idx="885">
                  <c:v>-10.7063993073078</c:v>
                </c:pt>
                <c:pt idx="886">
                  <c:v>-10.7187486946591</c:v>
                </c:pt>
                <c:pt idx="887">
                  <c:v>-10.7310981017693</c:v>
                </c:pt>
                <c:pt idx="888">
                  <c:v>-10.7434475286379</c:v>
                </c:pt>
                <c:pt idx="889">
                  <c:v>-10.7557969752647</c:v>
                </c:pt>
                <c:pt idx="890">
                  <c:v>-10.7681464416493</c:v>
                </c:pt>
                <c:pt idx="891">
                  <c:v>-10.7804959277914</c:v>
                </c:pt>
                <c:pt idx="892">
                  <c:v>-10.7928454336906</c:v>
                </c:pt>
                <c:pt idx="893">
                  <c:v>-10.8051949593466</c:v>
                </c:pt>
                <c:pt idx="894">
                  <c:v>-10.817544504759</c:v>
                </c:pt>
                <c:pt idx="895">
                  <c:v>-10.8298940699275</c:v>
                </c:pt>
                <c:pt idx="896">
                  <c:v>-10.8422436548518</c:v>
                </c:pt>
                <c:pt idx="897">
                  <c:v>-10.8545932595315</c:v>
                </c:pt>
                <c:pt idx="898">
                  <c:v>-10.8669428839663</c:v>
                </c:pt>
                <c:pt idx="899">
                  <c:v>-10.8792925281558</c:v>
                </c:pt>
                <c:pt idx="900">
                  <c:v>-10.8916421920997</c:v>
                </c:pt>
                <c:pt idx="901">
                  <c:v>-10.9039918757977</c:v>
                </c:pt>
                <c:pt idx="902">
                  <c:v>-10.9163415792494</c:v>
                </c:pt>
                <c:pt idx="903">
                  <c:v>-10.9286913024544</c:v>
                </c:pt>
                <c:pt idx="904">
                  <c:v>-10.9410410454125</c:v>
                </c:pt>
                <c:pt idx="905">
                  <c:v>-10.9533908081233</c:v>
                </c:pt>
                <c:pt idx="906">
                  <c:v>-10.9657405905864</c:v>
                </c:pt>
                <c:pt idx="907">
                  <c:v>-10.9780903928015</c:v>
                </c:pt>
                <c:pt idx="908">
                  <c:v>-10.9904402147683</c:v>
                </c:pt>
                <c:pt idx="909">
                  <c:v>-11.0027900564865</c:v>
                </c:pt>
                <c:pt idx="910">
                  <c:v>-11.0151399179556</c:v>
                </c:pt>
                <c:pt idx="911">
                  <c:v>-11.0274897991753</c:v>
                </c:pt>
                <c:pt idx="912">
                  <c:v>-11.0398397001454</c:v>
                </c:pt>
                <c:pt idx="913">
                  <c:v>-11.0521896208654</c:v>
                </c:pt>
                <c:pt idx="914">
                  <c:v>-11.064539561335</c:v>
                </c:pt>
                <c:pt idx="915">
                  <c:v>-11.0768895215539</c:v>
                </c:pt>
                <c:pt idx="916">
                  <c:v>-11.0892395015218</c:v>
                </c:pt>
                <c:pt idx="917">
                  <c:v>-11.1015895012382</c:v>
                </c:pt>
                <c:pt idx="918">
                  <c:v>-11.1139395207029</c:v>
                </c:pt>
                <c:pt idx="919">
                  <c:v>-11.1262895599156</c:v>
                </c:pt>
                <c:pt idx="920">
                  <c:v>-11.1386396188757</c:v>
                </c:pt>
                <c:pt idx="921">
                  <c:v>-11.1509896975832</c:v>
                </c:pt>
                <c:pt idx="922">
                  <c:v>-11.1633397960375</c:v>
                </c:pt>
                <c:pt idx="923">
                  <c:v>-11.1756899142384</c:v>
                </c:pt>
                <c:pt idx="924">
                  <c:v>-11.1880400521854</c:v>
                </c:pt>
                <c:pt idx="925">
                  <c:v>-11.2003902098784</c:v>
                </c:pt>
                <c:pt idx="926">
                  <c:v>-11.2127403873169</c:v>
                </c:pt>
                <c:pt idx="927">
                  <c:v>-11.2250905845005</c:v>
                </c:pt>
                <c:pt idx="928">
                  <c:v>-11.237440801429</c:v>
                </c:pt>
                <c:pt idx="929">
                  <c:v>-11.249791038102</c:v>
                </c:pt>
                <c:pt idx="930">
                  <c:v>-11.2621412945192</c:v>
                </c:pt>
                <c:pt idx="931">
                  <c:v>-11.2744915706802</c:v>
                </c:pt>
                <c:pt idx="932">
                  <c:v>-11.2868418665847</c:v>
                </c:pt>
                <c:pt idx="933">
                  <c:v>-11.2991921822323</c:v>
                </c:pt>
                <c:pt idx="934">
                  <c:v>-11.3115425176227</c:v>
                </c:pt>
                <c:pt idx="935">
                  <c:v>-11.3238928727556</c:v>
                </c:pt>
                <c:pt idx="936">
                  <c:v>-11.3362432476306</c:v>
                </c:pt>
                <c:pt idx="937">
                  <c:v>-11.3485936422473</c:v>
                </c:pt>
                <c:pt idx="938">
                  <c:v>-11.3609440566055</c:v>
                </c:pt>
                <c:pt idx="939">
                  <c:v>-11.3732944907048</c:v>
                </c:pt>
                <c:pt idx="940">
                  <c:v>-11.3856449445449</c:v>
                </c:pt>
                <c:pt idx="941">
                  <c:v>-11.3979954181254</c:v>
                </c:pt>
                <c:pt idx="942">
                  <c:v>-11.4103459114459</c:v>
                </c:pt>
                <c:pt idx="943">
                  <c:v>-11.4226964245061</c:v>
                </c:pt>
                <c:pt idx="944">
                  <c:v>-11.4350469573058</c:v>
                </c:pt>
                <c:pt idx="945">
                  <c:v>-11.4473975098445</c:v>
                </c:pt>
                <c:pt idx="946">
                  <c:v>-11.4597480821219</c:v>
                </c:pt>
                <c:pt idx="947">
                  <c:v>-11.4720986741377</c:v>
                </c:pt>
                <c:pt idx="948">
                  <c:v>-11.4844492858915</c:v>
                </c:pt>
                <c:pt idx="949">
                  <c:v>-11.496799917383</c:v>
                </c:pt>
                <c:pt idx="950">
                  <c:v>-11.5091505686118</c:v>
                </c:pt>
                <c:pt idx="951">
                  <c:v>-11.5215012395776</c:v>
                </c:pt>
                <c:pt idx="952">
                  <c:v>-11.5338519302801</c:v>
                </c:pt>
                <c:pt idx="953">
                  <c:v>-11.5462026407189</c:v>
                </c:pt>
                <c:pt idx="954">
                  <c:v>-11.5585533708937</c:v>
                </c:pt>
                <c:pt idx="955">
                  <c:v>-11.5709041208041</c:v>
                </c:pt>
                <c:pt idx="956">
                  <c:v>-11.5832548904498</c:v>
                </c:pt>
                <c:pt idx="957">
                  <c:v>-11.5956056798305</c:v>
                </c:pt>
                <c:pt idx="958">
                  <c:v>-11.6079564889458</c:v>
                </c:pt>
                <c:pt idx="959">
                  <c:v>-11.6203073177954</c:v>
                </c:pt>
                <c:pt idx="960">
                  <c:v>-11.6326581663789</c:v>
                </c:pt>
                <c:pt idx="961">
                  <c:v>-11.645009034696</c:v>
                </c:pt>
                <c:pt idx="962">
                  <c:v>-11.6573599227463</c:v>
                </c:pt>
                <c:pt idx="963">
                  <c:v>-11.6697108305296</c:v>
                </c:pt>
                <c:pt idx="964">
                  <c:v>-11.6820617580454</c:v>
                </c:pt>
                <c:pt idx="965">
                  <c:v>-11.6944127052935</c:v>
                </c:pt>
                <c:pt idx="966">
                  <c:v>-11.7067636722734</c:v>
                </c:pt>
                <c:pt idx="967">
                  <c:v>-11.7191146589849</c:v>
                </c:pt>
                <c:pt idx="968">
                  <c:v>-11.7314656654276</c:v>
                </c:pt>
                <c:pt idx="969">
                  <c:v>-11.7438166916012</c:v>
                </c:pt>
                <c:pt idx="970">
                  <c:v>-11.7561677375053</c:v>
                </c:pt>
                <c:pt idx="971">
                  <c:v>-11.7685188031395</c:v>
                </c:pt>
                <c:pt idx="972">
                  <c:v>-11.7808698885037</c:v>
                </c:pt>
                <c:pt idx="973">
                  <c:v>-11.7932209935973</c:v>
                </c:pt>
                <c:pt idx="974">
                  <c:v>-11.80557211842</c:v>
                </c:pt>
                <c:pt idx="975">
                  <c:v>-11.8179232629716</c:v>
                </c:pt>
                <c:pt idx="976">
                  <c:v>-11.8302744272517</c:v>
                </c:pt>
                <c:pt idx="977">
                  <c:v>-11.8426256112599</c:v>
                </c:pt>
                <c:pt idx="978">
                  <c:v>-11.8549768149959</c:v>
                </c:pt>
                <c:pt idx="979">
                  <c:v>-11.8673280384594</c:v>
                </c:pt>
                <c:pt idx="980">
                  <c:v>-11.87967928165</c:v>
                </c:pt>
                <c:pt idx="981">
                  <c:v>-11.8920305445673</c:v>
                </c:pt>
                <c:pt idx="982">
                  <c:v>-11.9043818272111</c:v>
                </c:pt>
                <c:pt idx="983">
                  <c:v>-11.916733129581</c:v>
                </c:pt>
                <c:pt idx="984">
                  <c:v>-11.9290844516766</c:v>
                </c:pt>
                <c:pt idx="985">
                  <c:v>-11.9414357934977</c:v>
                </c:pt>
                <c:pt idx="986">
                  <c:v>-11.9537871550438</c:v>
                </c:pt>
                <c:pt idx="987">
                  <c:v>-11.9661385363146</c:v>
                </c:pt>
                <c:pt idx="988">
                  <c:v>-11.9784899373099</c:v>
                </c:pt>
                <c:pt idx="989">
                  <c:v>-11.9908413580292</c:v>
                </c:pt>
                <c:pt idx="990">
                  <c:v>-12.0031927984721</c:v>
                </c:pt>
                <c:pt idx="991">
                  <c:v>-12.0155442586385</c:v>
                </c:pt>
                <c:pt idx="992">
                  <c:v>-12.0278957385279</c:v>
                </c:pt>
                <c:pt idx="993">
                  <c:v>-12.0402472381399</c:v>
                </c:pt>
                <c:pt idx="994">
                  <c:v>-12.0525987574743</c:v>
                </c:pt>
                <c:pt idx="995">
                  <c:v>-12.0649502965307</c:v>
                </c:pt>
                <c:pt idx="996">
                  <c:v>-12.0773018553088</c:v>
                </c:pt>
                <c:pt idx="997">
                  <c:v>-12.0896534338082</c:v>
                </c:pt>
                <c:pt idx="998">
                  <c:v>-12.1020050320286</c:v>
                </c:pt>
                <c:pt idx="999">
                  <c:v>-12.1143566499696</c:v>
                </c:pt>
                <c:pt idx="1000">
                  <c:v>-12.1267082876309</c:v>
                </c:pt>
              </c:numCache>
            </c:numRef>
          </c:yVal>
          <c:smooth val="1"/>
        </c:ser>
        <c:ser>
          <c:idx val="2"/>
          <c:order val="2"/>
          <c:tx>
            <c:strRef>
              <c:f>Trajecto!$B$107</c:f>
              <c:strCache>
                <c:ptCount val="1"/>
                <c:pt idx="0">
                  <c:v>Descente balistique</c:v>
                </c:pt>
              </c:strCache>
            </c:strRef>
          </c:tx>
          <c:spPr>
            <a:solidFill>
              <a:srgbClr val="808080"/>
            </a:solidFill>
            <a:ln w="12600">
              <a:solidFill>
                <a:srgbClr val="808080"/>
              </a:solidFill>
              <a:prstDash val="sysDash"/>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Calculs!$J$4:$J$1004</c:f>
              <c:numCache>
                <c:formatCode>General</c:formatCode>
                <c:ptCount val="1001"/>
                <c:pt idx="0">
                  <c:v>0</c:v>
                </c:pt>
                <c:pt idx="1">
                  <c:v>8.30156361478988E-006</c:v>
                </c:pt>
                <c:pt idx="2">
                  <c:v>0.000217614475849965</c:v>
                </c:pt>
                <c:pt idx="3">
                  <c:v>0.000996863103219984</c:v>
                </c:pt>
                <c:pt idx="4">
                  <c:v>0.00271524568320063</c:v>
                </c:pt>
                <c:pt idx="5">
                  <c:v>0.00574234949463947</c:v>
                </c:pt>
                <c:pt idx="6">
                  <c:v>0.0103547686078428</c:v>
                </c:pt>
                <c:pt idx="7">
                  <c:v>0.0166424784455426</c:v>
                </c:pt>
                <c:pt idx="8">
                  <c:v>0.024602041888126</c:v>
                </c:pt>
                <c:pt idx="9">
                  <c:v>0.0342300014564965</c:v>
                </c:pt>
                <c:pt idx="10">
                  <c:v>0.0455228793833773</c:v>
                </c:pt>
                <c:pt idx="11">
                  <c:v>0.0584771776855138</c:v>
                </c:pt>
                <c:pt idx="12">
                  <c:v>0.073089378236769</c:v>
                </c:pt>
                <c:pt idx="13">
                  <c:v>0.0893559428421045</c:v>
                </c:pt>
                <c:pt idx="14">
                  <c:v>0.107273313312441</c:v>
                </c:pt>
                <c:pt idx="15">
                  <c:v>0.126837911540392</c:v>
                </c:pt>
                <c:pt idx="16">
                  <c:v>0.148046139576862</c:v>
                </c:pt>
                <c:pt idx="17">
                  <c:v>0.170894379708506</c:v>
                </c:pt>
                <c:pt idx="18">
                  <c:v>0.195378994536035</c:v>
                </c:pt>
                <c:pt idx="19">
                  <c:v>0.221496327053377</c:v>
                </c:pt>
                <c:pt idx="20">
                  <c:v>0.249242700727663</c:v>
                </c:pt>
                <c:pt idx="21">
                  <c:v>0.278614419580052</c:v>
                </c:pt>
                <c:pt idx="22">
                  <c:v>0.309607768267376</c:v>
                </c:pt>
                <c:pt idx="23">
                  <c:v>0.342219012164602</c:v>
                </c:pt>
                <c:pt idx="24">
                  <c:v>0.376444397448095</c:v>
                </c:pt>
                <c:pt idx="25">
                  <c:v>0.412280151179696</c:v>
                </c:pt>
                <c:pt idx="26">
                  <c:v>0.449722481391577</c:v>
                </c:pt>
                <c:pt idx="27">
                  <c:v>0.488767577171891</c:v>
                </c:pt>
                <c:pt idx="28">
                  <c:v>0.529411608751195</c:v>
                </c:pt>
                <c:pt idx="29">
                  <c:v>0.571650727589643</c:v>
                </c:pt>
                <c:pt idx="30">
                  <c:v>0.615481066464944</c:v>
                </c:pt>
                <c:pt idx="31">
                  <c:v>0.660898739561065</c:v>
                </c:pt>
                <c:pt idx="32">
                  <c:v>0.70789984255769</c:v>
                </c:pt>
                <c:pt idx="33">
                  <c:v>0.756564375617165</c:v>
                </c:pt>
                <c:pt idx="34">
                  <c:v>0.806975233441316</c:v>
                </c:pt>
                <c:pt idx="35">
                  <c:v>0.859134232680584</c:v>
                </c:pt>
                <c:pt idx="36">
                  <c:v>0.91304303213357</c:v>
                </c:pt>
                <c:pt idx="37">
                  <c:v>0.968703097550777</c:v>
                </c:pt>
                <c:pt idx="38">
                  <c:v>1.02611571102363</c:v>
                </c:pt>
                <c:pt idx="39">
                  <c:v>1.08528197960223</c:v>
                </c:pt>
                <c:pt idx="40">
                  <c:v>1.14620284322594</c:v>
                </c:pt>
                <c:pt idx="41">
                  <c:v>1.20887908203956</c:v>
                </c:pt>
                <c:pt idx="42">
                  <c:v>1.27331132315857</c:v>
                </c:pt>
                <c:pt idx="43">
                  <c:v>1.33950004693881</c:v>
                </c:pt>
                <c:pt idx="44">
                  <c:v>1.40744559279911</c:v>
                </c:pt>
                <c:pt idx="45">
                  <c:v>1.47714816463969</c:v>
                </c:pt>
                <c:pt idx="46">
                  <c:v>1.548607835894</c:v>
                </c:pt>
                <c:pt idx="47">
                  <c:v>1.62182455424745</c:v>
                </c:pt>
                <c:pt idx="48">
                  <c:v>1.69679814605269</c:v>
                </c:pt>
                <c:pt idx="49">
                  <c:v>1.77352832046779</c:v>
                </c:pt>
                <c:pt idx="50">
                  <c:v>1.85201467334113</c:v>
                </c:pt>
                <c:pt idx="51">
                  <c:v>1.93225720846631</c:v>
                </c:pt>
                <c:pt idx="52">
                  <c:v>2.01425686276862</c:v>
                </c:pt>
                <c:pt idx="53">
                  <c:v>2.09801499735053</c:v>
                </c:pt>
                <c:pt idx="54">
                  <c:v>2.18353288403846</c:v>
                </c:pt>
                <c:pt idx="55">
                  <c:v>2.27081170794099</c:v>
                </c:pt>
                <c:pt idx="56">
                  <c:v>2.35985256987081</c:v>
                </c:pt>
                <c:pt idx="57">
                  <c:v>2.45065648864015</c:v>
                </c:pt>
                <c:pt idx="58">
                  <c:v>2.54322440323873</c:v>
                </c:pt>
                <c:pt idx="59">
                  <c:v>2.63755717490247</c:v>
                </c:pt>
                <c:pt idx="60">
                  <c:v>2.73365558908039</c:v>
                </c:pt>
                <c:pt idx="61">
                  <c:v>2.83152035730658</c:v>
                </c:pt>
                <c:pt idx="62">
                  <c:v>2.93115211898356</c:v>
                </c:pt>
                <c:pt idx="63">
                  <c:v>3.03255144308287</c:v>
                </c:pt>
                <c:pt idx="64">
                  <c:v>3.13571882976802</c:v>
                </c:pt>
                <c:pt idx="65">
                  <c:v>3.24065471194493</c:v>
                </c:pt>
                <c:pt idx="66">
                  <c:v>3.34735945674429</c:v>
                </c:pt>
                <c:pt idx="67">
                  <c:v>3.45583336693989</c:v>
                </c:pt>
                <c:pt idx="68">
                  <c:v>3.56607668230703</c:v>
                </c:pt>
                <c:pt idx="69">
                  <c:v>3.67808958092436</c:v>
                </c:pt>
                <c:pt idx="70">
                  <c:v>3.79187218042262</c:v>
                </c:pt>
                <c:pt idx="71">
                  <c:v>3.90742453918325</c:v>
                </c:pt>
                <c:pt idx="72">
                  <c:v>4.02474665748977</c:v>
                </c:pt>
                <c:pt idx="73">
                  <c:v>4.14383847863462</c:v>
                </c:pt>
                <c:pt idx="74">
                  <c:v>4.26469988998389</c:v>
                </c:pt>
                <c:pt idx="75">
                  <c:v>4.38733072400225</c:v>
                </c:pt>
                <c:pt idx="76">
                  <c:v>4.51173075924024</c:v>
                </c:pt>
                <c:pt idx="77">
                  <c:v>4.63789972128595</c:v>
                </c:pt>
                <c:pt idx="78">
                  <c:v>4.76583728368293</c:v>
                </c:pt>
                <c:pt idx="79">
                  <c:v>4.89554306881612</c:v>
                </c:pt>
                <c:pt idx="80">
                  <c:v>5.02701664876743</c:v>
                </c:pt>
                <c:pt idx="81">
                  <c:v>5.16025754614249</c:v>
                </c:pt>
                <c:pt idx="82">
                  <c:v>5.29526523487008</c:v>
                </c:pt>
                <c:pt idx="83">
                  <c:v>5.43203914097554</c:v>
                </c:pt>
                <c:pt idx="84">
                  <c:v>5.5705786433294</c:v>
                </c:pt>
                <c:pt idx="85">
                  <c:v>5.71088307437261</c:v>
                </c:pt>
                <c:pt idx="86">
                  <c:v>5.85295172081921</c:v>
                </c:pt>
                <c:pt idx="87">
                  <c:v>5.99678382433778</c:v>
                </c:pt>
                <c:pt idx="88">
                  <c:v>6.14237858221251</c:v>
                </c:pt>
                <c:pt idx="89">
                  <c:v>6.28973514798487</c:v>
                </c:pt>
                <c:pt idx="90">
                  <c:v>6.43885263207675</c:v>
                </c:pt>
                <c:pt idx="91">
                  <c:v>6.58973010239602</c:v>
                </c:pt>
                <c:pt idx="92">
                  <c:v>6.74236658492513</c:v>
                </c:pt>
                <c:pt idx="93">
                  <c:v>6.89676106429364</c:v>
                </c:pt>
                <c:pt idx="94">
                  <c:v>7.0529124843353</c:v>
                </c:pt>
                <c:pt idx="95">
                  <c:v>7.21081974863045</c:v>
                </c:pt>
                <c:pt idx="96">
                  <c:v>7.37048172103423</c:v>
                </c:pt>
                <c:pt idx="97">
                  <c:v>7.53189722619141</c:v>
                </c:pt>
                <c:pt idx="98">
                  <c:v>7.69506505003815</c:v>
                </c:pt>
                <c:pt idx="99">
                  <c:v>7.85998394029148</c:v>
                </c:pt>
                <c:pt idx="100">
                  <c:v>8.02665260692689</c:v>
                </c:pt>
                <c:pt idx="101">
                  <c:v>8.19506946450929</c:v>
                </c:pt>
                <c:pt idx="102">
                  <c:v>8.36523237338471</c:v>
                </c:pt>
                <c:pt idx="103">
                  <c:v>8.5371388968427</c:v>
                </c:pt>
                <c:pt idx="104">
                  <c:v>8.71078655942932</c:v>
                </c:pt>
                <c:pt idx="105">
                  <c:v>8.88617284743595</c:v>
                </c:pt>
                <c:pt idx="106">
                  <c:v>9.06329520937757</c:v>
                </c:pt>
                <c:pt idx="107">
                  <c:v>9.24215105646099</c:v>
                </c:pt>
                <c:pt idx="108">
                  <c:v>9.42273776304331</c:v>
                </c:pt>
                <c:pt idx="109">
                  <c:v>9.60505266708114</c:v>
                </c:pt>
                <c:pt idx="110">
                  <c:v>9.78909307057078</c:v>
                </c:pt>
                <c:pt idx="111">
                  <c:v>9.97485623997978</c:v>
                </c:pt>
                <c:pt idx="112">
                  <c:v>10.1623394066703</c:v>
                </c:pt>
                <c:pt idx="113">
                  <c:v>10.3515397673141</c:v>
                </c:pt>
                <c:pt idx="114">
                  <c:v>10.5424544843005</c:v>
                </c:pt>
                <c:pt idx="115">
                  <c:v>10.7350806861363</c:v>
                </c:pt>
                <c:pt idx="116">
                  <c:v>10.9294154678385</c:v>
                </c:pt>
                <c:pt idx="117">
                  <c:v>11.1254558913209</c:v>
                </c:pt>
                <c:pt idx="118">
                  <c:v>11.323198985773</c:v>
                </c:pt>
                <c:pt idx="119">
                  <c:v>11.5226417480334</c:v>
                </c:pt>
                <c:pt idx="120">
                  <c:v>11.7237811429561</c:v>
                </c:pt>
                <c:pt idx="121">
                  <c:v>11.9266141037716</c:v>
                </c:pt>
                <c:pt idx="122">
                  <c:v>12.1311375324418</c:v>
                </c:pt>
                <c:pt idx="123">
                  <c:v>12.3373483000096</c:v>
                </c:pt>
                <c:pt idx="124">
                  <c:v>12.5452432469423</c:v>
                </c:pt>
                <c:pt idx="125">
                  <c:v>12.7548191834708</c:v>
                </c:pt>
                <c:pt idx="126">
                  <c:v>12.9660728899235</c:v>
                </c:pt>
                <c:pt idx="127">
                  <c:v>13.1790011170542</c:v>
                </c:pt>
                <c:pt idx="128">
                  <c:v>13.3936005863672</c:v>
                </c:pt>
                <c:pt idx="129">
                  <c:v>13.609867990436</c:v>
                </c:pt>
                <c:pt idx="130">
                  <c:v>13.8277999932185</c:v>
                </c:pt>
                <c:pt idx="131">
                  <c:v>14.0473932303678</c:v>
                </c:pt>
                <c:pt idx="132">
                  <c:v>14.2686443095388</c:v>
                </c:pt>
                <c:pt idx="133">
                  <c:v>14.4915498106901</c:v>
                </c:pt>
                <c:pt idx="134">
                  <c:v>14.7161062863833</c:v>
                </c:pt>
                <c:pt idx="135">
                  <c:v>14.942310262077</c:v>
                </c:pt>
                <c:pt idx="136">
                  <c:v>15.1701582364183</c:v>
                </c:pt>
                <c:pt idx="137">
                  <c:v>15.39964668153</c:v>
                </c:pt>
                <c:pt idx="138">
                  <c:v>15.6307720432944</c:v>
                </c:pt>
                <c:pt idx="139">
                  <c:v>15.8635307416341</c:v>
                </c:pt>
                <c:pt idx="140">
                  <c:v>16.097919170789</c:v>
                </c:pt>
                <c:pt idx="141">
                  <c:v>16.3339336995903</c:v>
                </c:pt>
                <c:pt idx="142">
                  <c:v>16.5715706717316</c:v>
                </c:pt>
                <c:pt idx="143">
                  <c:v>16.8108264060366</c:v>
                </c:pt>
                <c:pt idx="144">
                  <c:v>17.0516971967238</c:v>
                </c:pt>
                <c:pt idx="145">
                  <c:v>17.294179313669</c:v>
                </c:pt>
                <c:pt idx="146">
                  <c:v>17.5382690026642</c:v>
                </c:pt>
                <c:pt idx="147">
                  <c:v>17.7839624856741</c:v>
                </c:pt>
                <c:pt idx="148">
                  <c:v>18.0312559610898</c:v>
                </c:pt>
                <c:pt idx="149">
                  <c:v>18.2801456039805</c:v>
                </c:pt>
                <c:pt idx="150">
                  <c:v>18.5306275663416</c:v>
                </c:pt>
                <c:pt idx="151">
                  <c:v>18.7826980694912</c:v>
                </c:pt>
                <c:pt idx="152">
                  <c:v>19.0363534967229</c:v>
                </c:pt>
                <c:pt idx="153">
                  <c:v>19.2915903016917</c:v>
                </c:pt>
                <c:pt idx="154">
                  <c:v>19.5484049165283</c:v>
                </c:pt>
                <c:pt idx="155">
                  <c:v>19.8067937520616</c:v>
                </c:pt>
                <c:pt idx="156">
                  <c:v>20.0667531980385</c:v>
                </c:pt>
                <c:pt idx="157">
                  <c:v>20.3282796233424</c:v>
                </c:pt>
                <c:pt idx="158">
                  <c:v>20.5913693762085</c:v>
                </c:pt>
                <c:pt idx="159">
                  <c:v>20.8560187844386</c:v>
                </c:pt>
                <c:pt idx="160">
                  <c:v>21.1222241556134</c:v>
                </c:pt>
                <c:pt idx="161">
                  <c:v>21.3899817773028</c:v>
                </c:pt>
                <c:pt idx="162">
                  <c:v>21.6592879172748</c:v>
                </c:pt>
                <c:pt idx="163">
                  <c:v>21.9301388237025</c:v>
                </c:pt>
                <c:pt idx="164">
                  <c:v>22.2025307253692</c:v>
                </c:pt>
                <c:pt idx="165">
                  <c:v>22.4764598318725</c:v>
                </c:pt>
                <c:pt idx="166">
                  <c:v>22.7519223338257</c:v>
                </c:pt>
                <c:pt idx="167">
                  <c:v>23.0289144030588</c:v>
                </c:pt>
                <c:pt idx="168">
                  <c:v>23.3074321928168</c:v>
                </c:pt>
                <c:pt idx="169">
                  <c:v>23.587471837957</c:v>
                </c:pt>
                <c:pt idx="170">
                  <c:v>23.8690294551454</c:v>
                </c:pt>
                <c:pt idx="171">
                  <c:v>24.15210114305</c:v>
                </c:pt>
                <c:pt idx="172">
                  <c:v>24.4366829825342</c:v>
                </c:pt>
                <c:pt idx="173">
                  <c:v>24.7227710368482</c:v>
                </c:pt>
                <c:pt idx="174">
                  <c:v>25.0103613518186</c:v>
                </c:pt>
                <c:pt idx="175">
                  <c:v>25.2994499560371</c:v>
                </c:pt>
                <c:pt idx="176">
                  <c:v>25.5900328610478</c:v>
                </c:pt>
                <c:pt idx="177">
                  <c:v>25.8821060615327</c:v>
                </c:pt>
                <c:pt idx="178">
                  <c:v>26.1756655354969</c:v>
                </c:pt>
                <c:pt idx="179">
                  <c:v>26.470707244451</c:v>
                </c:pt>
                <c:pt idx="180">
                  <c:v>26.7672271335935</c:v>
                </c:pt>
                <c:pt idx="181">
                  <c:v>27.0652211319915</c:v>
                </c:pt>
                <c:pt idx="182">
                  <c:v>27.36468515276</c:v>
                </c:pt>
                <c:pt idx="183">
                  <c:v>27.66561509324</c:v>
                </c:pt>
                <c:pt idx="184">
                  <c:v>27.9680068351757</c:v>
                </c:pt>
                <c:pt idx="185">
                  <c:v>28.2718562448903</c:v>
                </c:pt>
                <c:pt idx="186">
                  <c:v>28.5771591734604</c:v>
                </c:pt>
                <c:pt idx="187">
                  <c:v>28.8839114568895</c:v>
                </c:pt>
                <c:pt idx="188">
                  <c:v>29.1921089162807</c:v>
                </c:pt>
                <c:pt idx="189">
                  <c:v>29.5017473580075</c:v>
                </c:pt>
                <c:pt idx="190">
                  <c:v>29.8128225738837</c:v>
                </c:pt>
                <c:pt idx="191">
                  <c:v>30.1253303413331</c:v>
                </c:pt>
                <c:pt idx="192">
                  <c:v>30.4392664235565</c:v>
                </c:pt>
                <c:pt idx="193">
                  <c:v>30.7546265696992</c:v>
                </c:pt>
                <c:pt idx="194">
                  <c:v>31.0714065150161</c:v>
                </c:pt>
                <c:pt idx="195">
                  <c:v>31.389601981037</c:v>
                </c:pt>
                <c:pt idx="196">
                  <c:v>31.7092086757299</c:v>
                </c:pt>
                <c:pt idx="197">
                  <c:v>32.0302222936633</c:v>
                </c:pt>
                <c:pt idx="198">
                  <c:v>32.3526385161685</c:v>
                </c:pt>
                <c:pt idx="199">
                  <c:v>32.6764530114995</c:v>
                </c:pt>
                <c:pt idx="200">
                  <c:v>33.001661434993</c:v>
                </c:pt>
                <c:pt idx="201">
                  <c:v>33.3282594292267</c:v>
                </c:pt>
                <c:pt idx="202">
                  <c:v>33.6562426241769</c:v>
                </c:pt>
                <c:pt idx="203">
                  <c:v>33.9856066373753</c:v>
                </c:pt>
                <c:pt idx="204">
                  <c:v>34.3163470740645</c:v>
                </c:pt>
                <c:pt idx="205">
                  <c:v>34.6484595273527</c:v>
                </c:pt>
                <c:pt idx="206">
                  <c:v>34.9819395783675</c:v>
                </c:pt>
                <c:pt idx="207">
                  <c:v>35.3167827964085</c:v>
                </c:pt>
                <c:pt idx="208">
                  <c:v>35.6529847390995</c:v>
                </c:pt>
                <c:pt idx="209">
                  <c:v>35.990540952539</c:v>
                </c:pt>
                <c:pt idx="210">
                  <c:v>36.3294469714506</c:v>
                </c:pt>
                <c:pt idx="211">
                  <c:v>36.6696983193319</c:v>
                </c:pt>
                <c:pt idx="212">
                  <c:v>37.0112905086028</c:v>
                </c:pt>
                <c:pt idx="213">
                  <c:v>37.3542190407525</c:v>
                </c:pt>
                <c:pt idx="214">
                  <c:v>37.6984794064862</c:v>
                </c:pt>
                <c:pt idx="215">
                  <c:v>38.0440670858706</c:v>
                </c:pt>
                <c:pt idx="216">
                  <c:v>38.3909775484782</c:v>
                </c:pt>
                <c:pt idx="217">
                  <c:v>38.7392062535314</c:v>
                </c:pt>
                <c:pt idx="218">
                  <c:v>39.0887486500452</c:v>
                </c:pt>
                <c:pt idx="219">
                  <c:v>39.4396001769691</c:v>
                </c:pt>
                <c:pt idx="220">
                  <c:v>39.7917562633285</c:v>
                </c:pt>
                <c:pt idx="221">
                  <c:v>40.1452123283645</c:v>
                </c:pt>
                <c:pt idx="222">
                  <c:v>40.499963781674</c:v>
                </c:pt>
                <c:pt idx="223">
                  <c:v>40.8560060233476</c:v>
                </c:pt>
                <c:pt idx="224">
                  <c:v>41.2133344441077</c:v>
                </c:pt>
                <c:pt idx="225">
                  <c:v>41.5719444254453</c:v>
                </c:pt>
                <c:pt idx="226">
                  <c:v>41.931831339756</c:v>
                </c:pt>
                <c:pt idx="227">
                  <c:v>42.2929905504753</c:v>
                </c:pt>
                <c:pt idx="228">
                  <c:v>42.6554174122128</c:v>
                </c:pt>
                <c:pt idx="229">
                  <c:v>43.0191072708859</c:v>
                </c:pt>
                <c:pt idx="230">
                  <c:v>43.3840554638526</c:v>
                </c:pt>
                <c:pt idx="231">
                  <c:v>43.7502573200432</c:v>
                </c:pt>
                <c:pt idx="232">
                  <c:v>44.1177081600915</c:v>
                </c:pt>
                <c:pt idx="233">
                  <c:v>44.486403296465</c:v>
                </c:pt>
                <c:pt idx="234">
                  <c:v>44.8563380335946</c:v>
                </c:pt>
                <c:pt idx="235">
                  <c:v>45.227507668003</c:v>
                </c:pt>
                <c:pt idx="236">
                  <c:v>45.5999074884327</c:v>
                </c:pt>
                <c:pt idx="237">
                  <c:v>45.9735327759731</c:v>
                </c:pt>
                <c:pt idx="238">
                  <c:v>46.3483788041864</c:v>
                </c:pt>
                <c:pt idx="239">
                  <c:v>46.7244408392337</c:v>
                </c:pt>
                <c:pt idx="240">
                  <c:v>47.1017141399991</c:v>
                </c:pt>
                <c:pt idx="241">
                  <c:v>47.4801939582138</c:v>
                </c:pt>
                <c:pt idx="242">
                  <c:v>47.8598755385794</c:v>
                </c:pt>
                <c:pt idx="243">
                  <c:v>48.2407541188897</c:v>
                </c:pt>
                <c:pt idx="244">
                  <c:v>48.6228249301526</c:v>
                </c:pt>
                <c:pt idx="245">
                  <c:v>49.006083196711</c:v>
                </c:pt>
                <c:pt idx="246">
                  <c:v>49.3905241363621</c:v>
                </c:pt>
                <c:pt idx="247">
                  <c:v>49.7761429604775</c:v>
                </c:pt>
                <c:pt idx="248">
                  <c:v>50.1629348741206</c:v>
                </c:pt>
                <c:pt idx="249">
                  <c:v>50.5508950761651</c:v>
                </c:pt>
                <c:pt idx="250">
                  <c:v>50.9400187594114</c:v>
                </c:pt>
                <c:pt idx="251">
                  <c:v>51.3303006861455</c:v>
                </c:pt>
                <c:pt idx="252">
                  <c:v>51.721734763205</c:v>
                </c:pt>
                <c:pt idx="253">
                  <c:v>52.1143144664265</c:v>
                </c:pt>
                <c:pt idx="254">
                  <c:v>52.5080332656055</c:v>
                </c:pt>
                <c:pt idx="255">
                  <c:v>52.90288462465</c:v>
                </c:pt>
                <c:pt idx="256">
                  <c:v>53.2988620017338</c:v>
                </c:pt>
                <c:pt idx="257">
                  <c:v>53.6959588494482</c:v>
                </c:pt>
                <c:pt idx="258">
                  <c:v>54.0941686149523</c:v>
                </c:pt>
                <c:pt idx="259">
                  <c:v>54.4934847401221</c:v>
                </c:pt>
                <c:pt idx="260">
                  <c:v>54.8939006616991</c:v>
                </c:pt>
                <c:pt idx="261">
                  <c:v>55.2954098114363</c:v>
                </c:pt>
                <c:pt idx="262">
                  <c:v>55.6980056162445</c:v>
                </c:pt>
                <c:pt idx="263">
                  <c:v>56.101681498336</c:v>
                </c:pt>
                <c:pt idx="264">
                  <c:v>56.5064308753686</c:v>
                </c:pt>
                <c:pt idx="265">
                  <c:v>56.9122471605865</c:v>
                </c:pt>
                <c:pt idx="266">
                  <c:v>57.3191237629619</c:v>
                </c:pt>
                <c:pt idx="267">
                  <c:v>57.7270540873342</c:v>
                </c:pt>
                <c:pt idx="268">
                  <c:v>58.1360315345484</c:v>
                </c:pt>
                <c:pt idx="269">
                  <c:v>58.546049501592</c:v>
                </c:pt>
                <c:pt idx="270">
                  <c:v>58.9571013817313</c:v>
                </c:pt>
                <c:pt idx="271">
                  <c:v>59.3691805646461</c:v>
                </c:pt>
                <c:pt idx="272">
                  <c:v>59.7822804365631</c:v>
                </c:pt>
                <c:pt idx="273">
                  <c:v>60.1963943803883</c:v>
                </c:pt>
                <c:pt idx="274">
                  <c:v>60.6115157758386</c:v>
                </c:pt>
                <c:pt idx="275">
                  <c:v>61.0276379995711</c:v>
                </c:pt>
                <c:pt idx="276">
                  <c:v>61.4447544253127</c:v>
                </c:pt>
                <c:pt idx="277">
                  <c:v>61.8628584239873</c:v>
                </c:pt>
                <c:pt idx="278">
                  <c:v>62.2819433638426</c:v>
                </c:pt>
                <c:pt idx="279">
                  <c:v>62.7020026105751</c:v>
                </c:pt>
                <c:pt idx="280">
                  <c:v>63.1230295274547</c:v>
                </c:pt>
                <c:pt idx="281">
                  <c:v>63.5450174754474</c:v>
                </c:pt>
                <c:pt idx="282">
                  <c:v>63.9679598133372</c:v>
                </c:pt>
                <c:pt idx="283">
                  <c:v>64.391849897847</c:v>
                </c:pt>
                <c:pt idx="284">
                  <c:v>64.8166810837579</c:v>
                </c:pt>
                <c:pt idx="285">
                  <c:v>65.2424467240279</c:v>
                </c:pt>
                <c:pt idx="286">
                  <c:v>65.6691401699086</c:v>
                </c:pt>
                <c:pt idx="287">
                  <c:v>66.0967547710621</c:v>
                </c:pt>
                <c:pt idx="288">
                  <c:v>66.5252838756753</c:v>
                </c:pt>
                <c:pt idx="289">
                  <c:v>66.9547208305741</c:v>
                </c:pt>
                <c:pt idx="290">
                  <c:v>67.3850589813357</c:v>
                </c:pt>
                <c:pt idx="291">
                  <c:v>67.8162916724009</c:v>
                </c:pt>
                <c:pt idx="292">
                  <c:v>68.2484122471836</c:v>
                </c:pt>
                <c:pt idx="293">
                  <c:v>68.6814140481809</c:v>
                </c:pt>
                <c:pt idx="294">
                  <c:v>69.1152904170807</c:v>
                </c:pt>
                <c:pt idx="295">
                  <c:v>69.5500346948692</c:v>
                </c:pt>
                <c:pt idx="296">
                  <c:v>69.9856402219367</c:v>
                </c:pt>
                <c:pt idx="297">
                  <c:v>70.4221003381823</c:v>
                </c:pt>
                <c:pt idx="298">
                  <c:v>70.8594036069256</c:v>
                </c:pt>
                <c:pt idx="299">
                  <c:v>71.2975290360916</c:v>
                </c:pt>
                <c:pt idx="300">
                  <c:v>71.7364508565766</c:v>
                </c:pt>
                <c:pt idx="301">
                  <c:v>72.1761433036303</c:v>
                </c:pt>
                <c:pt idx="302">
                  <c:v>72.6165806175325</c:v>
                </c:pt>
                <c:pt idx="303">
                  <c:v>73.0577370442555</c:v>
                </c:pt>
                <c:pt idx="304">
                  <c:v>73.4995868361142</c:v>
                </c:pt>
                <c:pt idx="305">
                  <c:v>73.9421042524026</c:v>
                </c:pt>
                <c:pt idx="306">
                  <c:v>74.3852635600171</c:v>
                </c:pt>
                <c:pt idx="307">
                  <c:v>74.8290390340671</c:v>
                </c:pt>
                <c:pt idx="308">
                  <c:v>75.2734049584721</c:v>
                </c:pt>
                <c:pt idx="309">
                  <c:v>75.7183356265462</c:v>
                </c:pt>
                <c:pt idx="310">
                  <c:v>76.1638053415692</c:v>
                </c:pt>
                <c:pt idx="311">
                  <c:v>76.6097884173451</c:v>
                </c:pt>
                <c:pt idx="312">
                  <c:v>77.0562591787474</c:v>
                </c:pt>
                <c:pt idx="313">
                  <c:v>77.503191962252</c:v>
                </c:pt>
                <c:pt idx="314">
                  <c:v>77.9505611164566</c:v>
                </c:pt>
                <c:pt idx="315">
                  <c:v>78.3983410025876</c:v>
                </c:pt>
                <c:pt idx="316">
                  <c:v>78.8465059949948</c:v>
                </c:pt>
                <c:pt idx="317">
                  <c:v>79.2950304816322</c:v>
                </c:pt>
                <c:pt idx="318">
                  <c:v>79.7438888645274</c:v>
                </c:pt>
                <c:pt idx="319">
                  <c:v>80.1930555602371</c:v>
                </c:pt>
                <c:pt idx="320">
                  <c:v>80.6425050002915</c:v>
                </c:pt>
                <c:pt idx="321">
                  <c:v>81.0922135526592</c:v>
                </c:pt>
                <c:pt idx="322">
                  <c:v>81.5421614431728</c:v>
                </c:pt>
                <c:pt idx="323">
                  <c:v>81.9923308323634</c:v>
                </c:pt>
                <c:pt idx="324">
                  <c:v>82.4427038922098</c:v>
                </c:pt>
                <c:pt idx="325">
                  <c:v>82.8932628063193</c:v>
                </c:pt>
                <c:pt idx="326">
                  <c:v>83.3439897701037</c:v>
                </c:pt>
                <c:pt idx="327">
                  <c:v>83.7948669909476</c:v>
                </c:pt>
                <c:pt idx="328">
                  <c:v>84.2458766883728</c:v>
                </c:pt>
                <c:pt idx="329">
                  <c:v>84.6970010941945</c:v>
                </c:pt>
                <c:pt idx="330">
                  <c:v>85.1482224526732</c:v>
                </c:pt>
                <c:pt idx="331">
                  <c:v>85.5995230206601</c:v>
                </c:pt>
                <c:pt idx="332">
                  <c:v>86.0508850677364</c:v>
                </c:pt>
                <c:pt idx="333">
                  <c:v>86.5022908763471</c:v>
                </c:pt>
                <c:pt idx="334">
                  <c:v>86.9537227419284</c:v>
                </c:pt>
                <c:pt idx="335">
                  <c:v>87.4051629730301</c:v>
                </c:pt>
                <c:pt idx="336">
                  <c:v>87.8565938914315</c:v>
                </c:pt>
                <c:pt idx="337">
                  <c:v>88.3079978322517</c:v>
                </c:pt>
                <c:pt idx="338">
                  <c:v>88.7593571440544</c:v>
                </c:pt>
                <c:pt idx="339">
                  <c:v>89.2106541889464</c:v>
                </c:pt>
                <c:pt idx="340">
                  <c:v>89.6618713426708</c:v>
                </c:pt>
                <c:pt idx="341">
                  <c:v>90.1129909946946</c:v>
                </c:pt>
                <c:pt idx="342">
                  <c:v>90.5639955482906</c:v>
                </c:pt>
                <c:pt idx="343">
                  <c:v>91.0148674206129</c:v>
                </c:pt>
                <c:pt idx="344">
                  <c:v>91.4655890427678</c:v>
                </c:pt>
                <c:pt idx="345">
                  <c:v>91.9161428598787</c:v>
                </c:pt>
                <c:pt idx="346">
                  <c:v>92.3665113311452</c:v>
                </c:pt>
                <c:pt idx="347">
                  <c:v>92.8166769298968</c:v>
                </c:pt>
                <c:pt idx="348">
                  <c:v>93.2666223535513</c:v>
                </c:pt>
                <c:pt idx="349">
                  <c:v>93.7163307334874</c:v>
                </c:pt>
                <c:pt idx="350">
                  <c:v>94.1657854247855</c:v>
                </c:pt>
                <c:pt idx="351">
                  <c:v>94.6149697960391</c:v>
                </c:pt>
                <c:pt idx="352">
                  <c:v>95.0638672293708</c:v>
                </c:pt>
                <c:pt idx="353">
                  <c:v>95.5124611204444</c:v>
                </c:pt>
                <c:pt idx="354">
                  <c:v>95.9607348784708</c:v>
                </c:pt>
                <c:pt idx="355">
                  <c:v>96.4086719262106</c:v>
                </c:pt>
                <c:pt idx="356">
                  <c:v>96.8562556999706</c:v>
                </c:pt>
                <c:pt idx="357">
                  <c:v>97.3034696495957</c:v>
                </c:pt>
                <c:pt idx="358">
                  <c:v>97.7502972384566</c:v>
                </c:pt>
                <c:pt idx="359">
                  <c:v>98.1967219434317</c:v>
                </c:pt>
                <c:pt idx="360">
                  <c:v>98.6427316462815</c:v>
                </c:pt>
                <c:pt idx="361">
                  <c:v>99.0883230228669</c:v>
                </c:pt>
                <c:pt idx="362">
                  <c:v>99.5334971430984</c:v>
                </c:pt>
                <c:pt idx="363">
                  <c:v>99.9782550730609</c:v>
                </c:pt>
                <c:pt idx="364">
                  <c:v>100.422597875033</c:v>
                </c:pt>
                <c:pt idx="365">
                  <c:v>100.866526607504</c:v>
                </c:pt>
                <c:pt idx="366">
                  <c:v>101.310042325196</c:v>
                </c:pt>
                <c:pt idx="367">
                  <c:v>101.753146079077</c:v>
                </c:pt>
                <c:pt idx="368">
                  <c:v>102.195838916384</c:v>
                </c:pt>
                <c:pt idx="369">
                  <c:v>102.638121880637</c:v>
                </c:pt>
                <c:pt idx="370">
                  <c:v>103.079996011662</c:v>
                </c:pt>
                <c:pt idx="371">
                  <c:v>103.521462345604</c:v>
                </c:pt>
                <c:pt idx="372">
                  <c:v>103.962521914947</c:v>
                </c:pt>
                <c:pt idx="373">
                  <c:v>104.403175748531</c:v>
                </c:pt>
                <c:pt idx="374">
                  <c:v>104.843424871572</c:v>
                </c:pt>
                <c:pt idx="375">
                  <c:v>105.283270305677</c:v>
                </c:pt>
                <c:pt idx="376">
                  <c:v>105.722713068859</c:v>
                </c:pt>
                <c:pt idx="377">
                  <c:v>106.161754175561</c:v>
                </c:pt>
                <c:pt idx="378">
                  <c:v>106.600394636669</c:v>
                </c:pt>
                <c:pt idx="379">
                  <c:v>107.038635459526</c:v>
                </c:pt>
                <c:pt idx="380">
                  <c:v>107.476477647957</c:v>
                </c:pt>
                <c:pt idx="381">
                  <c:v>107.913922202279</c:v>
                </c:pt>
                <c:pt idx="382">
                  <c:v>108.350970119319</c:v>
                </c:pt>
                <c:pt idx="383">
                  <c:v>108.787622392433</c:v>
                </c:pt>
                <c:pt idx="384">
                  <c:v>109.223880011522</c:v>
                </c:pt>
                <c:pt idx="385">
                  <c:v>109.659743963047</c:v>
                </c:pt>
                <c:pt idx="386">
                  <c:v>110.095215230045</c:v>
                </c:pt>
                <c:pt idx="387">
                  <c:v>110.530294792148</c:v>
                </c:pt>
                <c:pt idx="388">
                  <c:v>110.964983625596</c:v>
                </c:pt>
                <c:pt idx="389">
                  <c:v>111.399282703256</c:v>
                </c:pt>
                <c:pt idx="390">
                  <c:v>111.833192994636</c:v>
                </c:pt>
                <c:pt idx="391">
                  <c:v>112.266715465902</c:v>
                </c:pt>
                <c:pt idx="392">
                  <c:v>112.69985107989</c:v>
                </c:pt>
                <c:pt idx="393">
                  <c:v>113.132600796131</c:v>
                </c:pt>
                <c:pt idx="394">
                  <c:v>113.564965570854</c:v>
                </c:pt>
                <c:pt idx="395">
                  <c:v>113.996946357013</c:v>
                </c:pt>
                <c:pt idx="396">
                  <c:v>114.428544104294</c:v>
                </c:pt>
                <c:pt idx="397">
                  <c:v>114.859759759137</c:v>
                </c:pt>
                <c:pt idx="398">
                  <c:v>115.290594264745</c:v>
                </c:pt>
                <c:pt idx="399">
                  <c:v>115.721048561104</c:v>
                </c:pt>
                <c:pt idx="400">
                  <c:v>116.151123584996</c:v>
                </c:pt>
                <c:pt idx="401">
                  <c:v>120.43108615586</c:v>
                </c:pt>
                <c:pt idx="402">
                  <c:v>124.673722828817</c:v>
                </c:pt>
                <c:pt idx="403">
                  <c:v>128.879940956821</c:v>
                </c:pt>
                <c:pt idx="404">
                  <c:v>133.05061774256</c:v>
                </c:pt>
                <c:pt idx="405">
                  <c:v>137.186601602068</c:v>
                </c:pt>
                <c:pt idx="406">
                  <c:v>141.288713451821</c:v>
                </c:pt>
                <c:pt idx="407">
                  <c:v>145.357747924443</c:v>
                </c:pt>
                <c:pt idx="408">
                  <c:v>149.394474517759</c:v>
                </c:pt>
                <c:pt idx="409">
                  <c:v>153.399638681535</c:v>
                </c:pt>
                <c:pt idx="410">
                  <c:v>157.373962845959</c:v>
                </c:pt>
                <c:pt idx="411">
                  <c:v>161.318147395583</c:v>
                </c:pt>
                <c:pt idx="412">
                  <c:v>165.232871592175</c:v>
                </c:pt>
                <c:pt idx="413">
                  <c:v>169.118794449688</c:v>
                </c:pt>
                <c:pt idx="414">
                  <c:v>172.97655556431</c:v>
                </c:pt>
                <c:pt idx="415">
                  <c:v>176.806775902338</c:v>
                </c:pt>
                <c:pt idx="416">
                  <c:v>180.610058548456</c:v>
                </c:pt>
                <c:pt idx="417">
                  <c:v>184.386989416769</c:v>
                </c:pt>
                <c:pt idx="418">
                  <c:v>188.138137926819</c:v>
                </c:pt>
                <c:pt idx="419">
                  <c:v>191.864057646643</c:v>
                </c:pt>
                <c:pt idx="420">
                  <c:v>195.56528690478</c:v>
                </c:pt>
                <c:pt idx="421">
                  <c:v>199.242349373027</c:v>
                </c:pt>
                <c:pt idx="422">
                  <c:v>202.895754621604</c:v>
                </c:pt>
                <c:pt idx="423">
                  <c:v>206.525998648293</c:v>
                </c:pt>
                <c:pt idx="424">
                  <c:v>210.133564382998</c:v>
                </c:pt>
                <c:pt idx="425">
                  <c:v>213.718922169092</c:v>
                </c:pt>
                <c:pt idx="426">
                  <c:v>217.282530222825</c:v>
                </c:pt>
                <c:pt idx="427">
                  <c:v>220.824835071978</c:v>
                </c:pt>
                <c:pt idx="428">
                  <c:v>224.346271974882</c:v>
                </c:pt>
                <c:pt idx="429">
                  <c:v>227.847265320852</c:v>
                </c:pt>
                <c:pt idx="430">
                  <c:v>231.328229013003</c:v>
                </c:pt>
                <c:pt idx="431">
                  <c:v>234.789566834388</c:v>
                </c:pt>
                <c:pt idx="432">
                  <c:v>238.2316727983</c:v>
                </c:pt>
                <c:pt idx="433">
                  <c:v>241.65493148356</c:v>
                </c:pt>
                <c:pt idx="434">
                  <c:v>245.05971835556</c:v>
                </c:pt>
                <c:pt idx="435">
                  <c:v>248.446400073758</c:v>
                </c:pt>
                <c:pt idx="436">
                  <c:v>251.815334786317</c:v>
                </c:pt>
                <c:pt idx="437">
                  <c:v>255.166872412512</c:v>
                </c:pt>
                <c:pt idx="438">
                  <c:v>258.501354913506</c:v>
                </c:pt>
                <c:pt idx="439">
                  <c:v>261.819116552054</c:v>
                </c:pt>
                <c:pt idx="440">
                  <c:v>265.120484141669</c:v>
                </c:pt>
                <c:pt idx="441">
                  <c:v>268.405777285748</c:v>
                </c:pt>
                <c:pt idx="442">
                  <c:v>271.675308607123</c:v>
                </c:pt>
                <c:pt idx="443">
                  <c:v>274.929383968491</c:v>
                </c:pt>
                <c:pt idx="444">
                  <c:v>278.168302684136</c:v>
                </c:pt>
                <c:pt idx="445">
                  <c:v>281.392357723334</c:v>
                </c:pt>
                <c:pt idx="446">
                  <c:v>284.60183590583</c:v>
                </c:pt>
                <c:pt idx="447">
                  <c:v>287.79701808972</c:v>
                </c:pt>
                <c:pt idx="448">
                  <c:v>290.978179352083</c:v>
                </c:pt>
                <c:pt idx="449">
                  <c:v>294.145589162675</c:v>
                </c:pt>
                <c:pt idx="450">
                  <c:v>297.299511550981</c:v>
                </c:pt>
                <c:pt idx="451">
                  <c:v>300.440205266902</c:v>
                </c:pt>
                <c:pt idx="452">
                  <c:v>303.567923935356</c:v>
                </c:pt>
                <c:pt idx="453">
                  <c:v>306.682916205014</c:v>
                </c:pt>
                <c:pt idx="454">
                  <c:v>309.78542589145</c:v>
                </c:pt>
                <c:pt idx="455">
                  <c:v>312.875692114879</c:v>
                </c:pt>
                <c:pt idx="456">
                  <c:v>315.953949432739</c:v>
                </c:pt>
                <c:pt idx="457">
                  <c:v>319.020427967281</c:v>
                </c:pt>
                <c:pt idx="458">
                  <c:v>322.075353528375</c:v>
                </c:pt>
                <c:pt idx="459">
                  <c:v>325.118947731699</c:v>
                </c:pt>
                <c:pt idx="460">
                  <c:v>328.151428112475</c:v>
                </c:pt>
                <c:pt idx="461">
                  <c:v>331.173008234924</c:v>
                </c:pt>
                <c:pt idx="462">
                  <c:v>334.183897797556</c:v>
                </c:pt>
                <c:pt idx="463">
                  <c:v>337.18430273447</c:v>
                </c:pt>
                <c:pt idx="464">
                  <c:v>340.174425312756</c:v>
                </c:pt>
                <c:pt idx="465">
                  <c:v>343.154464226148</c:v>
                </c:pt>
                <c:pt idx="466">
                  <c:v>346.124614685021</c:v>
                </c:pt>
                <c:pt idx="467">
                  <c:v>349.085068502844</c:v>
                </c:pt>
                <c:pt idx="468">
                  <c:v>352.036014179179</c:v>
                </c:pt>
                <c:pt idx="469">
                  <c:v>354.977636979327</c:v>
                </c:pt>
                <c:pt idx="470">
                  <c:v>357.910119010677</c:v>
                </c:pt>
                <c:pt idx="471">
                  <c:v>360.833639295863</c:v>
                </c:pt>
                <c:pt idx="472">
                  <c:v>363.748373842763</c:v>
                </c:pt>
                <c:pt idx="473">
                  <c:v>366.654495711422</c:v>
                </c:pt>
                <c:pt idx="474">
                  <c:v>369.552175077939</c:v>
                </c:pt>
                <c:pt idx="475">
                  <c:v>372.441579295365</c:v>
                </c:pt>
                <c:pt idx="476">
                  <c:v>375.322872951645</c:v>
                </c:pt>
                <c:pt idx="477">
                  <c:v>378.196217924641</c:v>
                </c:pt>
                <c:pt idx="478">
                  <c:v>381.061773434251</c:v>
                </c:pt>
                <c:pt idx="479">
                  <c:v>383.919696091643</c:v>
                </c:pt>
                <c:pt idx="480">
                  <c:v>386.770139945606</c:v>
                </c:pt>
                <c:pt idx="481">
                  <c:v>389.613256526023</c:v>
                </c:pt>
                <c:pt idx="482">
                  <c:v>392.449194884453</c:v>
                </c:pt>
                <c:pt idx="483">
                  <c:v>395.27810163181</c:v>
                </c:pt>
                <c:pt idx="484">
                  <c:v>398.100120973105</c:v>
                </c:pt>
                <c:pt idx="485">
                  <c:v>400.91539473923</c:v>
                </c:pt>
                <c:pt idx="486">
                  <c:v>403.724062415725</c:v>
                </c:pt>
                <c:pt idx="487">
                  <c:v>406.526261168502</c:v>
                </c:pt>
                <c:pt idx="488">
                  <c:v>409.322125866429</c:v>
                </c:pt>
                <c:pt idx="489">
                  <c:v>412.111789100747</c:v>
                </c:pt>
                <c:pt idx="490">
                  <c:v>414.895381201202</c:v>
                </c:pt>
                <c:pt idx="491">
                  <c:v>417.673030248829</c:v>
                </c:pt>
                <c:pt idx="492">
                  <c:v>420.444862085277</c:v>
                </c:pt>
                <c:pt idx="493">
                  <c:v>423.211000318574</c:v>
                </c:pt>
                <c:pt idx="494">
                  <c:v>425.971566325203</c:v>
                </c:pt>
                <c:pt idx="495">
                  <c:v>428.726679248383</c:v>
                </c:pt>
                <c:pt idx="496">
                  <c:v>431.476455992391</c:v>
                </c:pt>
                <c:pt idx="497">
                  <c:v>434.221011212815</c:v>
                </c:pt>
                <c:pt idx="498">
                  <c:v>436.960457302558</c:v>
                </c:pt>
                <c:pt idx="499">
                  <c:v>439.694904373461</c:v>
                </c:pt>
                <c:pt idx="500">
                  <c:v>442.424460233371</c:v>
                </c:pt>
                <c:pt idx="501">
                  <c:v>445.149230358515</c:v>
                </c:pt>
                <c:pt idx="502">
                  <c:v>447.869317860995</c:v>
                </c:pt>
                <c:pt idx="503">
                  <c:v>450.584823451286</c:v>
                </c:pt>
                <c:pt idx="504">
                  <c:v>453.295845395575</c:v>
                </c:pt>
                <c:pt idx="505">
                  <c:v>456.002479467824</c:v>
                </c:pt>
                <c:pt idx="506">
                  <c:v>458.704818896476</c:v>
                </c:pt>
                <c:pt idx="507">
                  <c:v>461.402954305703</c:v>
                </c:pt>
                <c:pt idx="508">
                  <c:v>464.096973651201</c:v>
                </c:pt>
                <c:pt idx="509">
                  <c:v>466.786962150543</c:v>
                </c:pt>
                <c:pt idx="510">
                  <c:v>469.473002208175</c:v>
                </c:pt>
                <c:pt idx="511">
                  <c:v>472.155173335224</c:v>
                </c:pt>
                <c:pt idx="512">
                  <c:v>474.833552064369</c:v>
                </c:pt>
                <c:pt idx="513">
                  <c:v>477.508211860133</c:v>
                </c:pt>
                <c:pt idx="514">
                  <c:v>480.179223025065</c:v>
                </c:pt>
                <c:pt idx="515">
                  <c:v>482.846652602422</c:v>
                </c:pt>
                <c:pt idx="516">
                  <c:v>485.510564276111</c:v>
                </c:pt>
                <c:pt idx="517">
                  <c:v>488.171018268771</c:v>
                </c:pt>
                <c:pt idx="518">
                  <c:v>490.828071239089</c:v>
                </c:pt>
                <c:pt idx="519">
                  <c:v>493.481776179546</c:v>
                </c:pt>
                <c:pt idx="520">
                  <c:v>496.13218231598</c:v>
                </c:pt>
                <c:pt idx="521">
                  <c:v>498.779335010493</c:v>
                </c:pt>
                <c:pt idx="522">
                  <c:v>501.423275669297</c:v>
                </c:pt>
                <c:pt idx="523">
                  <c:v>504.064041657257</c:v>
                </c:pt>
                <c:pt idx="524">
                  <c:v>506.701666220844</c:v>
                </c:pt>
                <c:pt idx="525">
                  <c:v>509.336178421263</c:v>
                </c:pt>
                <c:pt idx="526">
                  <c:v>511.96760307943</c:v>
                </c:pt>
                <c:pt idx="527">
                  <c:v>514.595960734335</c:v>
                </c:pt>
                <c:pt idx="528">
                  <c:v>517.221267616161</c:v>
                </c:pt>
                <c:pt idx="529">
                  <c:v>519.843535635252</c:v>
                </c:pt>
                <c:pt idx="530">
                  <c:v>522.46277238776</c:v>
                </c:pt>
                <c:pt idx="531">
                  <c:v>525.078981178431</c:v>
                </c:pt>
                <c:pt idx="532">
                  <c:v>527.692161060646</c:v>
                </c:pt>
                <c:pt idx="533">
                  <c:v>530.302306893484</c:v>
                </c:pt>
                <c:pt idx="534">
                  <c:v>532.909409415174</c:v>
                </c:pt>
                <c:pt idx="535">
                  <c:v>535.513455332028</c:v>
                </c:pt>
                <c:pt idx="536">
                  <c:v>538.114427421636</c:v>
                </c:pt>
                <c:pt idx="537">
                  <c:v>540.712304648854</c:v>
                </c:pt>
                <c:pt idx="538">
                  <c:v>543.307062293006</c:v>
                </c:pt>
                <c:pt idx="539">
                  <c:v>545.898672084529</c:v>
                </c:pt>
                <c:pt idx="540">
                  <c:v>548.487102349326</c:v>
                </c:pt>
                <c:pt idx="541">
                  <c:v>551.072318159032</c:v>
                </c:pt>
                <c:pt idx="542">
                  <c:v>553.654281485514</c:v>
                </c:pt>
                <c:pt idx="543">
                  <c:v>556.232951357972</c:v>
                </c:pt>
                <c:pt idx="544">
                  <c:v>558.808284021189</c:v>
                </c:pt>
                <c:pt idx="545">
                  <c:v>561.380233093586</c:v>
                </c:pt>
                <c:pt idx="546">
                  <c:v>563.948749723921</c:v>
                </c:pt>
                <c:pt idx="547">
                  <c:v>566.513782745641</c:v>
                </c:pt>
                <c:pt idx="548">
                  <c:v>569.075278828046</c:v>
                </c:pt>
                <c:pt idx="549">
                  <c:v>571.633182623589</c:v>
                </c:pt>
                <c:pt idx="550">
                  <c:v>574.187436910772</c:v>
                </c:pt>
                <c:pt idx="551">
                  <c:v>576.737982732255</c:v>
                </c:pt>
                <c:pt idx="552">
                  <c:v>579.284759527873</c:v>
                </c:pt>
                <c:pt idx="553">
                  <c:v>581.82770526239</c:v>
                </c:pt>
                <c:pt idx="554">
                  <c:v>584.366756547894</c:v>
                </c:pt>
                <c:pt idx="555">
                  <c:v>586.901848760813</c:v>
                </c:pt>
                <c:pt idx="556">
                  <c:v>589.432916153575</c:v>
                </c:pt>
                <c:pt idx="557">
                  <c:v>591.959891961025</c:v>
                </c:pt>
                <c:pt idx="558">
                  <c:v>594.482708501698</c:v>
                </c:pt>
                <c:pt idx="559">
                  <c:v>597.001297274113</c:v>
                </c:pt>
                <c:pt idx="560">
                  <c:v>599.515589048261</c:v>
                </c:pt>
                <c:pt idx="561">
                  <c:v>602.025513952475</c:v>
                </c:pt>
                <c:pt idx="562">
                  <c:v>604.531001555877</c:v>
                </c:pt>
                <c:pt idx="563">
                  <c:v>607.031980946611</c:v>
                </c:pt>
                <c:pt idx="564">
                  <c:v>609.528380806054</c:v>
                </c:pt>
                <c:pt idx="565">
                  <c:v>612.020129479229</c:v>
                </c:pt>
                <c:pt idx="566">
                  <c:v>614.507155041586</c:v>
                </c:pt>
                <c:pt idx="567">
                  <c:v>616.989385362379</c:v>
                </c:pt>
                <c:pt idx="568">
                  <c:v>619.466748164792</c:v>
                </c:pt>
                <c:pt idx="569">
                  <c:v>621.939171083024</c:v>
                </c:pt>
                <c:pt idx="570">
                  <c:v>624.40658171647</c:v>
                </c:pt>
                <c:pt idx="571">
                  <c:v>626.86890768119</c:v>
                </c:pt>
                <c:pt idx="572">
                  <c:v>629.326076658802</c:v>
                </c:pt>
                <c:pt idx="573">
                  <c:v>631.778016442941</c:v>
                </c:pt>
                <c:pt idx="574">
                  <c:v>634.224654983433</c:v>
                </c:pt>
                <c:pt idx="575">
                  <c:v>636.665920428305</c:v>
                </c:pt>
                <c:pt idx="576">
                  <c:v>639.101741163744</c:v>
                </c:pt>
                <c:pt idx="577">
                  <c:v>641.53204585213</c:v>
                </c:pt>
                <c:pt idx="578">
                  <c:v>643.956763468236</c:v>
                </c:pt>
                <c:pt idx="579">
                  <c:v>646.375823333707</c:v>
                </c:pt>
                <c:pt idx="580">
                  <c:v>648.789155149892</c:v>
                </c:pt>
                <c:pt idx="581">
                  <c:v>651.196689029126</c:v>
                </c:pt>
                <c:pt idx="582">
                  <c:v>653.598355524543</c:v>
                </c:pt>
                <c:pt idx="583">
                  <c:v>655.994085658486</c:v>
                </c:pt>
                <c:pt idx="584">
                  <c:v>658.383810949588</c:v>
                </c:pt>
                <c:pt idx="585">
                  <c:v>660.767463438589</c:v>
                </c:pt>
                <c:pt idx="586">
                  <c:v>663.14497571295</c:v>
                </c:pt>
                <c:pt idx="587">
                  <c:v>665.516280930311</c:v>
                </c:pt>
                <c:pt idx="588">
                  <c:v>667.881312840862</c:v>
                </c:pt>
                <c:pt idx="589">
                  <c:v>670.240005808661</c:v>
                </c:pt>
                <c:pt idx="590">
                  <c:v>672.592294831946</c:v>
                </c:pt>
                <c:pt idx="591">
                  <c:v>674.938115562501</c:v>
                </c:pt>
                <c:pt idx="592">
                  <c:v>677.277404324083</c:v>
                </c:pt>
                <c:pt idx="593">
                  <c:v>679.610098129986</c:v>
                </c:pt>
                <c:pt idx="594">
                  <c:v>681.936134699742</c:v>
                </c:pt>
                <c:pt idx="595">
                  <c:v>684.255452475017</c:v>
                </c:pt>
                <c:pt idx="596">
                  <c:v>686.567990634717</c:v>
                </c:pt>
                <c:pt idx="597">
                  <c:v>688.873689109344</c:v>
                </c:pt>
                <c:pt idx="598">
                  <c:v>691.172488594613</c:v>
                </c:pt>
                <c:pt idx="599">
                  <c:v>693.46433056438</c:v>
                </c:pt>
                <c:pt idx="600">
                  <c:v>695.74915728288</c:v>
                </c:pt>
                <c:pt idx="601">
                  <c:v>698.026911816314</c:v>
                </c:pt>
                <c:pt idx="602">
                  <c:v>700.297538043796</c:v>
                </c:pt>
                <c:pt idx="603">
                  <c:v>702.56098066769</c:v>
                </c:pt>
                <c:pt idx="604">
                  <c:v>704.817185223351</c:v>
                </c:pt>
                <c:pt idx="605">
                  <c:v>707.066098088281</c:v>
                </c:pt>
                <c:pt idx="606">
                  <c:v>709.307666490733</c:v>
                </c:pt>
                <c:pt idx="607">
                  <c:v>711.541838517766</c:v>
                </c:pt>
                <c:pt idx="608">
                  <c:v>713.768563122772</c:v>
                </c:pt>
                <c:pt idx="609">
                  <c:v>715.987790132493</c:v>
                </c:pt>
                <c:pt idx="610">
                  <c:v>718.199470253529</c:v>
                </c:pt>
                <c:pt idx="611">
                  <c:v>720.403555078371</c:v>
                </c:pt>
                <c:pt idx="612">
                  <c:v>722.599997090954</c:v>
                </c:pt>
                <c:pt idx="613">
                  <c:v>724.788749671751</c:v>
                </c:pt>
                <c:pt idx="614">
                  <c:v>726.96976710242</c:v>
                </c:pt>
                <c:pt idx="615">
                  <c:v>729.143004570012</c:v>
                </c:pt>
                <c:pt idx="616">
                  <c:v>731.308418170754</c:v>
                </c:pt>
                <c:pt idx="617">
                  <c:v>733.465964913419</c:v>
                </c:pt>
                <c:pt idx="618">
                  <c:v>735.615602722287</c:v>
                </c:pt>
                <c:pt idx="619">
                  <c:v>737.757290439715</c:v>
                </c:pt>
                <c:pt idx="620">
                  <c:v>739.890987828321</c:v>
                </c:pt>
                <c:pt idx="621">
                  <c:v>742.016655572794</c:v>
                </c:pt>
                <c:pt idx="622">
                  <c:v>744.134255281337</c:v>
                </c:pt>
                <c:pt idx="623">
                  <c:v>746.243749486751</c:v>
                </c:pt>
                <c:pt idx="624">
                  <c:v>748.345101647173</c:v>
                </c:pt>
                <c:pt idx="625">
                  <c:v>750.438276146477</c:v>
                </c:pt>
                <c:pt idx="626">
                  <c:v>752.523238294339</c:v>
                </c:pt>
                <c:pt idx="627">
                  <c:v>754.599954325979</c:v>
                </c:pt>
                <c:pt idx="628">
                  <c:v>756.668391401591</c:v>
                </c:pt>
                <c:pt idx="629">
                  <c:v>758.728517605464</c:v>
                </c:pt>
                <c:pt idx="630">
                  <c:v>760.780301944803</c:v>
                </c:pt>
                <c:pt idx="631">
                  <c:v>762.823714348258</c:v>
                </c:pt>
                <c:pt idx="632">
                  <c:v>764.85872566417</c:v>
                </c:pt>
                <c:pt idx="633">
                  <c:v>766.885307658537</c:v>
                </c:pt>
                <c:pt idx="634">
                  <c:v>768.90343301271</c:v>
                </c:pt>
                <c:pt idx="635">
                  <c:v>770.913075320829</c:v>
                </c:pt>
                <c:pt idx="636">
                  <c:v>772.914209087</c:v>
                </c:pt>
                <c:pt idx="637">
                  <c:v>774.906809722222</c:v>
                </c:pt>
                <c:pt idx="638">
                  <c:v>776.890853541071</c:v>
                </c:pt>
                <c:pt idx="639">
                  <c:v>778.866317758153</c:v>
                </c:pt>
                <c:pt idx="640">
                  <c:v>780.83318048432</c:v>
                </c:pt>
                <c:pt idx="641">
                  <c:v>782.79142072267</c:v>
                </c:pt>
                <c:pt idx="642">
                  <c:v>784.741018364325</c:v>
                </c:pt>
                <c:pt idx="643">
                  <c:v>786.681954183998</c:v>
                </c:pt>
                <c:pt idx="644">
                  <c:v>788.614209835365</c:v>
                </c:pt>
                <c:pt idx="645">
                  <c:v>790.537767846226</c:v>
                </c:pt>
                <c:pt idx="646">
                  <c:v>792.452611613482</c:v>
                </c:pt>
                <c:pt idx="647">
                  <c:v>794.358725397926</c:v>
                </c:pt>
                <c:pt idx="648">
                  <c:v>796.256094318851</c:v>
                </c:pt>
                <c:pt idx="649">
                  <c:v>798.144704348483</c:v>
                </c:pt>
                <c:pt idx="650">
                  <c:v>800.02454230625</c:v>
                </c:pt>
                <c:pt idx="651">
                  <c:v>801.895595852884</c:v>
                </c:pt>
                <c:pt idx="652">
                  <c:v>803.757853484366</c:v>
                </c:pt>
                <c:pt idx="653">
                  <c:v>805.611304525721</c:v>
                </c:pt>
                <c:pt idx="654">
                  <c:v>807.455939124667</c:v>
                </c:pt>
                <c:pt idx="655">
                  <c:v>809.291748245123</c:v>
                </c:pt>
                <c:pt idx="656">
                  <c:v>811.118723660575</c:v>
                </c:pt>
                <c:pt idx="657">
                  <c:v>812.936857947327</c:v>
                </c:pt>
                <c:pt idx="658">
                  <c:v>814.746144477608</c:v>
                </c:pt>
                <c:pt idx="659">
                  <c:v>816.546577412575</c:v>
                </c:pt>
                <c:pt idx="660">
                  <c:v>818.33815169519</c:v>
                </c:pt>
                <c:pt idx="661">
                  <c:v>820.120863042996</c:v>
                </c:pt>
                <c:pt idx="662">
                  <c:v>821.894707940781</c:v>
                </c:pt>
                <c:pt idx="663">
                  <c:v>823.659683633145</c:v>
                </c:pt>
                <c:pt idx="664">
                  <c:v>825.415788116973</c:v>
                </c:pt>
                <c:pt idx="665">
                  <c:v>827.163020133813</c:v>
                </c:pt>
                <c:pt idx="666">
                  <c:v>828.901379162174</c:v>
                </c:pt>
                <c:pt idx="667">
                  <c:v>830.630865409736</c:v>
                </c:pt>
                <c:pt idx="668">
                  <c:v>832.35147980549</c:v>
                </c:pt>
                <c:pt idx="669">
                  <c:v>834.063223991799</c:v>
                </c:pt>
                <c:pt idx="670">
                  <c:v>835.766100316395</c:v>
                </c:pt>
                <c:pt idx="671">
                  <c:v>837.460111824312</c:v>
                </c:pt>
                <c:pt idx="672">
                  <c:v>839.145262249755</c:v>
                </c:pt>
                <c:pt idx="673">
                  <c:v>840.821556007924</c:v>
                </c:pt>
                <c:pt idx="674">
                  <c:v>842.48899818677</c:v>
                </c:pt>
                <c:pt idx="675">
                  <c:v>844.147594538722</c:v>
                </c:pt>
                <c:pt idx="676">
                  <c:v>845.797351472355</c:v>
                </c:pt>
                <c:pt idx="677">
                  <c:v>847.43827604403</c:v>
                </c:pt>
                <c:pt idx="678">
                  <c:v>849.070375949491</c:v>
                </c:pt>
                <c:pt idx="679">
                  <c:v>850.693659515431</c:v>
                </c:pt>
                <c:pt idx="680">
                  <c:v>852.308135691034</c:v>
                </c:pt>
                <c:pt idx="681">
                  <c:v>853.913814039485</c:v>
                </c:pt>
                <c:pt idx="682">
                  <c:v>855.510704729466</c:v>
                </c:pt>
                <c:pt idx="683">
                  <c:v>857.098818526629</c:v>
                </c:pt>
                <c:pt idx="684">
                  <c:v>858.678166785054</c:v>
                </c:pt>
                <c:pt idx="685">
                  <c:v>860.248761438701</c:v>
                </c:pt>
                <c:pt idx="686">
                  <c:v>861.810614992848</c:v>
                </c:pt>
                <c:pt idx="687">
                  <c:v>863.363740515527</c:v>
                </c:pt>
                <c:pt idx="688">
                  <c:v>864.908151628958</c:v>
                </c:pt>
                <c:pt idx="689">
                  <c:v>866.443862500984</c:v>
                </c:pt>
                <c:pt idx="690">
                  <c:v>867.970887836509</c:v>
                </c:pt>
                <c:pt idx="691">
                  <c:v>869.489242868944</c:v>
                </c:pt>
                <c:pt idx="692">
                  <c:v>870.998943351661</c:v>
                </c:pt>
                <c:pt idx="693">
                  <c:v>872.500005549463</c:v>
                </c:pt>
                <c:pt idx="694">
                  <c:v>873.992446230064</c:v>
                </c:pt>
                <c:pt idx="695">
                  <c:v>875.476282655593</c:v>
                </c:pt>
                <c:pt idx="696">
                  <c:v>876.95153257411</c:v>
                </c:pt>
                <c:pt idx="697">
                  <c:v>878.418214211155</c:v>
                </c:pt>
                <c:pt idx="698">
                  <c:v>879.876346261309</c:v>
                </c:pt>
                <c:pt idx="699">
                  <c:v>881.325947879795</c:v>
                </c:pt>
                <c:pt idx="700">
                  <c:v>882.767038674099</c:v>
                </c:pt>
                <c:pt idx="701">
                  <c:v>884.199638695632</c:v>
                </c:pt>
                <c:pt idx="702">
                  <c:v>885.623768431413</c:v>
                </c:pt>
                <c:pt idx="703">
                  <c:v>887.039448795801</c:v>
                </c:pt>
                <c:pt idx="704">
                  <c:v>888.446701122256</c:v>
                </c:pt>
                <c:pt idx="705">
                  <c:v>889.845547155147</c:v>
                </c:pt>
                <c:pt idx="706">
                  <c:v>891.236009041592</c:v>
                </c:pt>
                <c:pt idx="707">
                  <c:v>892.618109323349</c:v>
                </c:pt>
                <c:pt idx="708">
                  <c:v>893.991870928753</c:v>
                </c:pt>
                <c:pt idx="709">
                  <c:v>895.357317164694</c:v>
                </c:pt>
                <c:pt idx="710">
                  <c:v>896.714471708646</c:v>
                </c:pt>
                <c:pt idx="711">
                  <c:v>898.063358600748</c:v>
                </c:pt>
                <c:pt idx="712">
                  <c:v>899.404002235936</c:v>
                </c:pt>
                <c:pt idx="713">
                  <c:v>900.736427356122</c:v>
                </c:pt>
                <c:pt idx="714">
                  <c:v>902.060659042437</c:v>
                </c:pt>
                <c:pt idx="715">
                  <c:v>903.376722707525</c:v>
                </c:pt>
                <c:pt idx="716">
                  <c:v>904.68464408789</c:v>
                </c:pt>
                <c:pt idx="717">
                  <c:v>905.984449236306</c:v>
                </c:pt>
                <c:pt idx="718">
                  <c:v>907.27616451429</c:v>
                </c:pt>
                <c:pt idx="719">
                  <c:v>908.559816584623</c:v>
                </c:pt>
                <c:pt idx="720">
                  <c:v>909.835432403945</c:v>
                </c:pt>
                <c:pt idx="721">
                  <c:v>911.103039215408</c:v>
                </c:pt>
                <c:pt idx="722">
                  <c:v>912.362664541389</c:v>
                </c:pt>
                <c:pt idx="723">
                  <c:v>913.614336176273</c:v>
                </c:pt>
                <c:pt idx="724">
                  <c:v>913.614336176273</c:v>
                </c:pt>
                <c:pt idx="725">
                  <c:v>913.614336176273</c:v>
                </c:pt>
                <c:pt idx="726">
                  <c:v>913.614336176273</c:v>
                </c:pt>
                <c:pt idx="727">
                  <c:v>913.614336176273</c:v>
                </c:pt>
                <c:pt idx="728">
                  <c:v>913.614336176273</c:v>
                </c:pt>
                <c:pt idx="729">
                  <c:v>913.614336176273</c:v>
                </c:pt>
                <c:pt idx="730">
                  <c:v>913.614336176273</c:v>
                </c:pt>
                <c:pt idx="731">
                  <c:v>913.614336176273</c:v>
                </c:pt>
                <c:pt idx="732">
                  <c:v>913.614336176273</c:v>
                </c:pt>
                <c:pt idx="733">
                  <c:v>913.614336176273</c:v>
                </c:pt>
                <c:pt idx="734">
                  <c:v>913.614336176273</c:v>
                </c:pt>
                <c:pt idx="735">
                  <c:v>913.614336176273</c:v>
                </c:pt>
                <c:pt idx="736">
                  <c:v>913.614336176273</c:v>
                </c:pt>
                <c:pt idx="737">
                  <c:v>913.614336176273</c:v>
                </c:pt>
                <c:pt idx="738">
                  <c:v>913.614336176273</c:v>
                </c:pt>
                <c:pt idx="739">
                  <c:v>913.614336176273</c:v>
                </c:pt>
                <c:pt idx="740">
                  <c:v>913.614336176273</c:v>
                </c:pt>
                <c:pt idx="741">
                  <c:v>913.614336176273</c:v>
                </c:pt>
                <c:pt idx="742">
                  <c:v>913.614336176273</c:v>
                </c:pt>
                <c:pt idx="743">
                  <c:v>913.614336176273</c:v>
                </c:pt>
                <c:pt idx="744">
                  <c:v>913.614336176273</c:v>
                </c:pt>
                <c:pt idx="745">
                  <c:v>913.614336176273</c:v>
                </c:pt>
                <c:pt idx="746">
                  <c:v>913.614336176273</c:v>
                </c:pt>
                <c:pt idx="747">
                  <c:v>913.614336176273</c:v>
                </c:pt>
                <c:pt idx="748">
                  <c:v>913.614336176273</c:v>
                </c:pt>
                <c:pt idx="749">
                  <c:v>913.614336176273</c:v>
                </c:pt>
                <c:pt idx="750">
                  <c:v>913.614336176273</c:v>
                </c:pt>
                <c:pt idx="751">
                  <c:v>913.614336176273</c:v>
                </c:pt>
                <c:pt idx="752">
                  <c:v>913.614336176273</c:v>
                </c:pt>
                <c:pt idx="753">
                  <c:v>913.614336176273</c:v>
                </c:pt>
                <c:pt idx="754">
                  <c:v>913.614336176273</c:v>
                </c:pt>
                <c:pt idx="755">
                  <c:v>913.614336176273</c:v>
                </c:pt>
                <c:pt idx="756">
                  <c:v>913.614336176273</c:v>
                </c:pt>
                <c:pt idx="757">
                  <c:v>913.614336176273</c:v>
                </c:pt>
                <c:pt idx="758">
                  <c:v>913.614336176273</c:v>
                </c:pt>
                <c:pt idx="759">
                  <c:v>913.614336176273</c:v>
                </c:pt>
                <c:pt idx="760">
                  <c:v>913.614336176273</c:v>
                </c:pt>
                <c:pt idx="761">
                  <c:v>913.614336176273</c:v>
                </c:pt>
                <c:pt idx="762">
                  <c:v>913.614336176273</c:v>
                </c:pt>
                <c:pt idx="763">
                  <c:v>913.614336176273</c:v>
                </c:pt>
                <c:pt idx="764">
                  <c:v>913.614336176273</c:v>
                </c:pt>
                <c:pt idx="765">
                  <c:v>913.614336176273</c:v>
                </c:pt>
                <c:pt idx="766">
                  <c:v>913.614336176273</c:v>
                </c:pt>
                <c:pt idx="767">
                  <c:v>913.614336176273</c:v>
                </c:pt>
                <c:pt idx="768">
                  <c:v>913.614336176273</c:v>
                </c:pt>
                <c:pt idx="769">
                  <c:v>913.614336176273</c:v>
                </c:pt>
                <c:pt idx="770">
                  <c:v>913.614336176273</c:v>
                </c:pt>
                <c:pt idx="771">
                  <c:v>913.614336176273</c:v>
                </c:pt>
                <c:pt idx="772">
                  <c:v>913.614336176273</c:v>
                </c:pt>
                <c:pt idx="773">
                  <c:v>913.614336176273</c:v>
                </c:pt>
                <c:pt idx="774">
                  <c:v>913.614336176273</c:v>
                </c:pt>
                <c:pt idx="775">
                  <c:v>913.614336176273</c:v>
                </c:pt>
                <c:pt idx="776">
                  <c:v>913.614336176273</c:v>
                </c:pt>
                <c:pt idx="777">
                  <c:v>913.614336176273</c:v>
                </c:pt>
                <c:pt idx="778">
                  <c:v>913.614336176273</c:v>
                </c:pt>
                <c:pt idx="779">
                  <c:v>913.614336176273</c:v>
                </c:pt>
                <c:pt idx="780">
                  <c:v>913.614336176273</c:v>
                </c:pt>
                <c:pt idx="781">
                  <c:v>913.614336176273</c:v>
                </c:pt>
                <c:pt idx="782">
                  <c:v>913.614336176273</c:v>
                </c:pt>
                <c:pt idx="783">
                  <c:v>913.614336176273</c:v>
                </c:pt>
                <c:pt idx="784">
                  <c:v>913.614336176273</c:v>
                </c:pt>
                <c:pt idx="785">
                  <c:v>913.614336176273</c:v>
                </c:pt>
                <c:pt idx="786">
                  <c:v>913.614336176273</c:v>
                </c:pt>
                <c:pt idx="787">
                  <c:v>913.614336176273</c:v>
                </c:pt>
                <c:pt idx="788">
                  <c:v>913.614336176273</c:v>
                </c:pt>
                <c:pt idx="789">
                  <c:v>913.614336176273</c:v>
                </c:pt>
                <c:pt idx="790">
                  <c:v>913.614336176273</c:v>
                </c:pt>
                <c:pt idx="791">
                  <c:v>913.614336176273</c:v>
                </c:pt>
                <c:pt idx="792">
                  <c:v>913.614336176273</c:v>
                </c:pt>
                <c:pt idx="793">
                  <c:v>913.614336176273</c:v>
                </c:pt>
                <c:pt idx="794">
                  <c:v>913.614336176273</c:v>
                </c:pt>
                <c:pt idx="795">
                  <c:v>913.614336176273</c:v>
                </c:pt>
                <c:pt idx="796">
                  <c:v>913.614336176273</c:v>
                </c:pt>
                <c:pt idx="797">
                  <c:v>913.614336176273</c:v>
                </c:pt>
                <c:pt idx="798">
                  <c:v>913.614336176273</c:v>
                </c:pt>
                <c:pt idx="799">
                  <c:v>913.614336176273</c:v>
                </c:pt>
                <c:pt idx="800">
                  <c:v>913.614336176273</c:v>
                </c:pt>
                <c:pt idx="801">
                  <c:v>913.614336176273</c:v>
                </c:pt>
                <c:pt idx="802">
                  <c:v>913.614336176273</c:v>
                </c:pt>
                <c:pt idx="803">
                  <c:v>913.614336176273</c:v>
                </c:pt>
                <c:pt idx="804">
                  <c:v>913.614336176273</c:v>
                </c:pt>
                <c:pt idx="805">
                  <c:v>913.614336176273</c:v>
                </c:pt>
                <c:pt idx="806">
                  <c:v>913.614336176273</c:v>
                </c:pt>
                <c:pt idx="807">
                  <c:v>913.614336176273</c:v>
                </c:pt>
                <c:pt idx="808">
                  <c:v>913.614336176273</c:v>
                </c:pt>
                <c:pt idx="809">
                  <c:v>913.614336176273</c:v>
                </c:pt>
                <c:pt idx="810">
                  <c:v>913.614336176273</c:v>
                </c:pt>
                <c:pt idx="811">
                  <c:v>913.614336176273</c:v>
                </c:pt>
                <c:pt idx="812">
                  <c:v>913.614336176273</c:v>
                </c:pt>
                <c:pt idx="813">
                  <c:v>913.614336176273</c:v>
                </c:pt>
                <c:pt idx="814">
                  <c:v>913.614336176273</c:v>
                </c:pt>
                <c:pt idx="815">
                  <c:v>913.614336176273</c:v>
                </c:pt>
                <c:pt idx="816">
                  <c:v>913.614336176273</c:v>
                </c:pt>
                <c:pt idx="817">
                  <c:v>913.614336176273</c:v>
                </c:pt>
                <c:pt idx="818">
                  <c:v>913.614336176273</c:v>
                </c:pt>
                <c:pt idx="819">
                  <c:v>913.614336176273</c:v>
                </c:pt>
                <c:pt idx="820">
                  <c:v>913.614336176273</c:v>
                </c:pt>
                <c:pt idx="821">
                  <c:v>913.614336176273</c:v>
                </c:pt>
                <c:pt idx="822">
                  <c:v>913.614336176273</c:v>
                </c:pt>
                <c:pt idx="823">
                  <c:v>913.614336176273</c:v>
                </c:pt>
                <c:pt idx="824">
                  <c:v>913.614336176273</c:v>
                </c:pt>
                <c:pt idx="825">
                  <c:v>913.614336176273</c:v>
                </c:pt>
                <c:pt idx="826">
                  <c:v>913.614336176273</c:v>
                </c:pt>
                <c:pt idx="827">
                  <c:v>913.614336176273</c:v>
                </c:pt>
                <c:pt idx="828">
                  <c:v>913.614336176273</c:v>
                </c:pt>
                <c:pt idx="829">
                  <c:v>913.614336176273</c:v>
                </c:pt>
                <c:pt idx="830">
                  <c:v>913.614336176273</c:v>
                </c:pt>
                <c:pt idx="831">
                  <c:v>913.614336176273</c:v>
                </c:pt>
                <c:pt idx="832">
                  <c:v>913.614336176273</c:v>
                </c:pt>
                <c:pt idx="833">
                  <c:v>913.614336176273</c:v>
                </c:pt>
                <c:pt idx="834">
                  <c:v>913.614336176273</c:v>
                </c:pt>
                <c:pt idx="835">
                  <c:v>913.614336176273</c:v>
                </c:pt>
                <c:pt idx="836">
                  <c:v>913.614336176273</c:v>
                </c:pt>
                <c:pt idx="837">
                  <c:v>913.614336176273</c:v>
                </c:pt>
                <c:pt idx="838">
                  <c:v>913.614336176273</c:v>
                </c:pt>
                <c:pt idx="839">
                  <c:v>913.614336176273</c:v>
                </c:pt>
                <c:pt idx="840">
                  <c:v>913.614336176273</c:v>
                </c:pt>
                <c:pt idx="841">
                  <c:v>913.614336176273</c:v>
                </c:pt>
                <c:pt idx="842">
                  <c:v>913.614336176273</c:v>
                </c:pt>
                <c:pt idx="843">
                  <c:v>913.614336176273</c:v>
                </c:pt>
                <c:pt idx="844">
                  <c:v>913.614336176273</c:v>
                </c:pt>
                <c:pt idx="845">
                  <c:v>913.614336176273</c:v>
                </c:pt>
                <c:pt idx="846">
                  <c:v>913.614336176273</c:v>
                </c:pt>
                <c:pt idx="847">
                  <c:v>913.614336176273</c:v>
                </c:pt>
                <c:pt idx="848">
                  <c:v>913.614336176273</c:v>
                </c:pt>
                <c:pt idx="849">
                  <c:v>913.614336176273</c:v>
                </c:pt>
                <c:pt idx="850">
                  <c:v>913.614336176273</c:v>
                </c:pt>
                <c:pt idx="851">
                  <c:v>913.614336176273</c:v>
                </c:pt>
                <c:pt idx="852">
                  <c:v>913.614336176273</c:v>
                </c:pt>
                <c:pt idx="853">
                  <c:v>913.614336176273</c:v>
                </c:pt>
                <c:pt idx="854">
                  <c:v>913.614336176273</c:v>
                </c:pt>
                <c:pt idx="855">
                  <c:v>913.614336176273</c:v>
                </c:pt>
                <c:pt idx="856">
                  <c:v>913.614336176273</c:v>
                </c:pt>
                <c:pt idx="857">
                  <c:v>913.614336176273</c:v>
                </c:pt>
                <c:pt idx="858">
                  <c:v>913.614336176273</c:v>
                </c:pt>
                <c:pt idx="859">
                  <c:v>913.614336176273</c:v>
                </c:pt>
                <c:pt idx="860">
                  <c:v>913.614336176273</c:v>
                </c:pt>
                <c:pt idx="861">
                  <c:v>913.614336176273</c:v>
                </c:pt>
                <c:pt idx="862">
                  <c:v>913.614336176273</c:v>
                </c:pt>
                <c:pt idx="863">
                  <c:v>913.614336176273</c:v>
                </c:pt>
                <c:pt idx="864">
                  <c:v>913.614336176273</c:v>
                </c:pt>
                <c:pt idx="865">
                  <c:v>913.614336176273</c:v>
                </c:pt>
                <c:pt idx="866">
                  <c:v>913.614336176273</c:v>
                </c:pt>
                <c:pt idx="867">
                  <c:v>913.614336176273</c:v>
                </c:pt>
                <c:pt idx="868">
                  <c:v>913.614336176273</c:v>
                </c:pt>
                <c:pt idx="869">
                  <c:v>913.614336176273</c:v>
                </c:pt>
                <c:pt idx="870">
                  <c:v>913.614336176273</c:v>
                </c:pt>
                <c:pt idx="871">
                  <c:v>913.614336176273</c:v>
                </c:pt>
                <c:pt idx="872">
                  <c:v>913.614336176273</c:v>
                </c:pt>
                <c:pt idx="873">
                  <c:v>913.614336176273</c:v>
                </c:pt>
                <c:pt idx="874">
                  <c:v>913.614336176273</c:v>
                </c:pt>
                <c:pt idx="875">
                  <c:v>913.614336176273</c:v>
                </c:pt>
                <c:pt idx="876">
                  <c:v>913.614336176273</c:v>
                </c:pt>
                <c:pt idx="877">
                  <c:v>913.614336176273</c:v>
                </c:pt>
                <c:pt idx="878">
                  <c:v>913.614336176273</c:v>
                </c:pt>
                <c:pt idx="879">
                  <c:v>913.614336176273</c:v>
                </c:pt>
                <c:pt idx="880">
                  <c:v>913.614336176273</c:v>
                </c:pt>
                <c:pt idx="881">
                  <c:v>913.614336176273</c:v>
                </c:pt>
                <c:pt idx="882">
                  <c:v>913.614336176273</c:v>
                </c:pt>
                <c:pt idx="883">
                  <c:v>913.614336176273</c:v>
                </c:pt>
                <c:pt idx="884">
                  <c:v>913.614336176273</c:v>
                </c:pt>
                <c:pt idx="885">
                  <c:v>913.614336176273</c:v>
                </c:pt>
                <c:pt idx="886">
                  <c:v>913.614336176273</c:v>
                </c:pt>
                <c:pt idx="887">
                  <c:v>913.614336176273</c:v>
                </c:pt>
                <c:pt idx="888">
                  <c:v>913.614336176273</c:v>
                </c:pt>
                <c:pt idx="889">
                  <c:v>913.614336176273</c:v>
                </c:pt>
                <c:pt idx="890">
                  <c:v>913.614336176273</c:v>
                </c:pt>
                <c:pt idx="891">
                  <c:v>913.614336176273</c:v>
                </c:pt>
                <c:pt idx="892">
                  <c:v>913.614336176273</c:v>
                </c:pt>
                <c:pt idx="893">
                  <c:v>913.614336176273</c:v>
                </c:pt>
                <c:pt idx="894">
                  <c:v>913.614336176273</c:v>
                </c:pt>
                <c:pt idx="895">
                  <c:v>913.614336176273</c:v>
                </c:pt>
                <c:pt idx="896">
                  <c:v>913.614336176273</c:v>
                </c:pt>
                <c:pt idx="897">
                  <c:v>913.614336176273</c:v>
                </c:pt>
                <c:pt idx="898">
                  <c:v>913.614336176273</c:v>
                </c:pt>
                <c:pt idx="899">
                  <c:v>913.614336176273</c:v>
                </c:pt>
                <c:pt idx="900">
                  <c:v>913.614336176273</c:v>
                </c:pt>
                <c:pt idx="901">
                  <c:v>913.614336176273</c:v>
                </c:pt>
                <c:pt idx="902">
                  <c:v>913.614336176273</c:v>
                </c:pt>
                <c:pt idx="903">
                  <c:v>913.614336176273</c:v>
                </c:pt>
                <c:pt idx="904">
                  <c:v>913.614336176273</c:v>
                </c:pt>
                <c:pt idx="905">
                  <c:v>913.614336176273</c:v>
                </c:pt>
                <c:pt idx="906">
                  <c:v>913.614336176273</c:v>
                </c:pt>
                <c:pt idx="907">
                  <c:v>913.614336176273</c:v>
                </c:pt>
                <c:pt idx="908">
                  <c:v>913.614336176273</c:v>
                </c:pt>
                <c:pt idx="909">
                  <c:v>913.614336176273</c:v>
                </c:pt>
                <c:pt idx="910">
                  <c:v>913.614336176273</c:v>
                </c:pt>
                <c:pt idx="911">
                  <c:v>913.614336176273</c:v>
                </c:pt>
                <c:pt idx="912">
                  <c:v>913.614336176273</c:v>
                </c:pt>
                <c:pt idx="913">
                  <c:v>913.614336176273</c:v>
                </c:pt>
                <c:pt idx="914">
                  <c:v>913.614336176273</c:v>
                </c:pt>
                <c:pt idx="915">
                  <c:v>913.614336176273</c:v>
                </c:pt>
                <c:pt idx="916">
                  <c:v>913.614336176273</c:v>
                </c:pt>
                <c:pt idx="917">
                  <c:v>913.614336176273</c:v>
                </c:pt>
                <c:pt idx="918">
                  <c:v>913.614336176273</c:v>
                </c:pt>
                <c:pt idx="919">
                  <c:v>913.614336176273</c:v>
                </c:pt>
                <c:pt idx="920">
                  <c:v>913.614336176273</c:v>
                </c:pt>
                <c:pt idx="921">
                  <c:v>913.614336176273</c:v>
                </c:pt>
                <c:pt idx="922">
                  <c:v>913.614336176273</c:v>
                </c:pt>
                <c:pt idx="923">
                  <c:v>913.614336176273</c:v>
                </c:pt>
                <c:pt idx="924">
                  <c:v>913.614336176273</c:v>
                </c:pt>
                <c:pt idx="925">
                  <c:v>913.614336176273</c:v>
                </c:pt>
                <c:pt idx="926">
                  <c:v>913.614336176273</c:v>
                </c:pt>
                <c:pt idx="927">
                  <c:v>913.614336176273</c:v>
                </c:pt>
                <c:pt idx="928">
                  <c:v>913.614336176273</c:v>
                </c:pt>
                <c:pt idx="929">
                  <c:v>913.614336176273</c:v>
                </c:pt>
                <c:pt idx="930">
                  <c:v>913.614336176273</c:v>
                </c:pt>
                <c:pt idx="931">
                  <c:v>913.614336176273</c:v>
                </c:pt>
                <c:pt idx="932">
                  <c:v>913.614336176273</c:v>
                </c:pt>
                <c:pt idx="933">
                  <c:v>913.614336176273</c:v>
                </c:pt>
                <c:pt idx="934">
                  <c:v>913.614336176273</c:v>
                </c:pt>
                <c:pt idx="935">
                  <c:v>913.614336176273</c:v>
                </c:pt>
                <c:pt idx="936">
                  <c:v>913.614336176273</c:v>
                </c:pt>
                <c:pt idx="937">
                  <c:v>913.614336176273</c:v>
                </c:pt>
                <c:pt idx="938">
                  <c:v>913.614336176273</c:v>
                </c:pt>
                <c:pt idx="939">
                  <c:v>913.614336176273</c:v>
                </c:pt>
                <c:pt idx="940">
                  <c:v>913.614336176273</c:v>
                </c:pt>
                <c:pt idx="941">
                  <c:v>913.614336176273</c:v>
                </c:pt>
                <c:pt idx="942">
                  <c:v>913.614336176273</c:v>
                </c:pt>
                <c:pt idx="943">
                  <c:v>913.614336176273</c:v>
                </c:pt>
                <c:pt idx="944">
                  <c:v>913.614336176273</c:v>
                </c:pt>
                <c:pt idx="945">
                  <c:v>913.614336176273</c:v>
                </c:pt>
                <c:pt idx="946">
                  <c:v>913.614336176273</c:v>
                </c:pt>
                <c:pt idx="947">
                  <c:v>913.614336176273</c:v>
                </c:pt>
                <c:pt idx="948">
                  <c:v>913.614336176273</c:v>
                </c:pt>
                <c:pt idx="949">
                  <c:v>913.614336176273</c:v>
                </c:pt>
                <c:pt idx="950">
                  <c:v>913.614336176273</c:v>
                </c:pt>
                <c:pt idx="951">
                  <c:v>913.614336176273</c:v>
                </c:pt>
                <c:pt idx="952">
                  <c:v>913.614336176273</c:v>
                </c:pt>
                <c:pt idx="953">
                  <c:v>913.614336176273</c:v>
                </c:pt>
                <c:pt idx="954">
                  <c:v>913.614336176273</c:v>
                </c:pt>
                <c:pt idx="955">
                  <c:v>913.614336176273</c:v>
                </c:pt>
                <c:pt idx="956">
                  <c:v>913.614336176273</c:v>
                </c:pt>
                <c:pt idx="957">
                  <c:v>913.614336176273</c:v>
                </c:pt>
                <c:pt idx="958">
                  <c:v>913.614336176273</c:v>
                </c:pt>
                <c:pt idx="959">
                  <c:v>913.614336176273</c:v>
                </c:pt>
                <c:pt idx="960">
                  <c:v>913.614336176273</c:v>
                </c:pt>
                <c:pt idx="961">
                  <c:v>913.614336176273</c:v>
                </c:pt>
                <c:pt idx="962">
                  <c:v>913.614336176273</c:v>
                </c:pt>
                <c:pt idx="963">
                  <c:v>913.614336176273</c:v>
                </c:pt>
                <c:pt idx="964">
                  <c:v>913.614336176273</c:v>
                </c:pt>
                <c:pt idx="965">
                  <c:v>913.614336176273</c:v>
                </c:pt>
                <c:pt idx="966">
                  <c:v>913.614336176273</c:v>
                </c:pt>
                <c:pt idx="967">
                  <c:v>913.614336176273</c:v>
                </c:pt>
                <c:pt idx="968">
                  <c:v>913.614336176273</c:v>
                </c:pt>
                <c:pt idx="969">
                  <c:v>913.614336176273</c:v>
                </c:pt>
                <c:pt idx="970">
                  <c:v>913.614336176273</c:v>
                </c:pt>
                <c:pt idx="971">
                  <c:v>913.614336176273</c:v>
                </c:pt>
                <c:pt idx="972">
                  <c:v>913.614336176273</c:v>
                </c:pt>
                <c:pt idx="973">
                  <c:v>913.614336176273</c:v>
                </c:pt>
                <c:pt idx="974">
                  <c:v>913.614336176273</c:v>
                </c:pt>
                <c:pt idx="975">
                  <c:v>913.614336176273</c:v>
                </c:pt>
                <c:pt idx="976">
                  <c:v>913.614336176273</c:v>
                </c:pt>
                <c:pt idx="977">
                  <c:v>913.614336176273</c:v>
                </c:pt>
                <c:pt idx="978">
                  <c:v>913.614336176273</c:v>
                </c:pt>
                <c:pt idx="979">
                  <c:v>913.614336176273</c:v>
                </c:pt>
                <c:pt idx="980">
                  <c:v>913.614336176273</c:v>
                </c:pt>
                <c:pt idx="981">
                  <c:v>913.614336176273</c:v>
                </c:pt>
                <c:pt idx="982">
                  <c:v>913.614336176273</c:v>
                </c:pt>
                <c:pt idx="983">
                  <c:v>913.614336176273</c:v>
                </c:pt>
                <c:pt idx="984">
                  <c:v>913.614336176273</c:v>
                </c:pt>
                <c:pt idx="985">
                  <c:v>913.614336176273</c:v>
                </c:pt>
                <c:pt idx="986">
                  <c:v>913.614336176273</c:v>
                </c:pt>
                <c:pt idx="987">
                  <c:v>913.614336176273</c:v>
                </c:pt>
                <c:pt idx="988">
                  <c:v>913.614336176273</c:v>
                </c:pt>
                <c:pt idx="989">
                  <c:v>913.614336176273</c:v>
                </c:pt>
                <c:pt idx="990">
                  <c:v>913.614336176273</c:v>
                </c:pt>
                <c:pt idx="991">
                  <c:v>913.614336176273</c:v>
                </c:pt>
                <c:pt idx="992">
                  <c:v>913.614336176273</c:v>
                </c:pt>
                <c:pt idx="993">
                  <c:v>913.614336176273</c:v>
                </c:pt>
                <c:pt idx="994">
                  <c:v>913.614336176273</c:v>
                </c:pt>
                <c:pt idx="995">
                  <c:v>913.614336176273</c:v>
                </c:pt>
                <c:pt idx="996">
                  <c:v>913.614336176273</c:v>
                </c:pt>
                <c:pt idx="997">
                  <c:v>913.614336176273</c:v>
                </c:pt>
                <c:pt idx="998">
                  <c:v>913.614336176273</c:v>
                </c:pt>
                <c:pt idx="999">
                  <c:v>913.614336176273</c:v>
                </c:pt>
                <c:pt idx="1000">
                  <c:v>913.614336176273</c:v>
                </c:pt>
              </c:numCache>
            </c:numRef>
          </c:xVal>
          <c:yVal>
            <c:numRef>
              <c:f>Calculs!$K$4:$K$1004</c:f>
              <c:numCache>
                <c:formatCode>General</c:formatCode>
                <c:ptCount val="1001"/>
                <c:pt idx="0">
                  <c:v>0</c:v>
                </c:pt>
                <c:pt idx="1">
                  <c:v>4.71066430277206E-005</c:v>
                </c:pt>
                <c:pt idx="2">
                  <c:v>0.00123430985045809</c:v>
                </c:pt>
                <c:pt idx="3">
                  <c:v>0.00565398827554792</c:v>
                </c:pt>
                <c:pt idx="4">
                  <c:v>0.0154000738490383</c:v>
                </c:pt>
                <c:pt idx="5">
                  <c:v>0.032568704976589</c:v>
                </c:pt>
                <c:pt idx="6">
                  <c:v>0.0587286030075707</c:v>
                </c:pt>
                <c:pt idx="7">
                  <c:v>0.0943900694407182</c:v>
                </c:pt>
                <c:pt idx="8">
                  <c:v>0.139533610440935</c:v>
                </c:pt>
                <c:pt idx="9">
                  <c:v>0.194139616707074</c:v>
                </c:pt>
                <c:pt idx="10">
                  <c:v>0.25818836387632</c:v>
                </c:pt>
                <c:pt idx="11">
                  <c:v>0.331660012933674</c:v>
                </c:pt>
                <c:pt idx="12">
                  <c:v>0.414534610626495</c:v>
                </c:pt>
                <c:pt idx="13">
                  <c:v>0.506792089884068</c:v>
                </c:pt>
                <c:pt idx="14">
                  <c:v>0.608412270242167</c:v>
                </c:pt>
                <c:pt idx="15">
                  <c:v>0.719374858272552</c:v>
                </c:pt>
                <c:pt idx="16">
                  <c:v>0.839659448017392</c:v>
                </c:pt>
                <c:pt idx="17">
                  <c:v>0.969245521428544</c:v>
                </c:pt>
                <c:pt idx="18">
                  <c:v>1.10811244881168</c:v>
                </c:pt>
                <c:pt idx="19">
                  <c:v>1.25623948927518</c:v>
                </c:pt>
                <c:pt idx="20">
                  <c:v>1.4136057911838</c:v>
                </c:pt>
                <c:pt idx="21">
                  <c:v>1.58019039261706</c:v>
                </c:pt>
                <c:pt idx="22">
                  <c:v>1.75597222183222</c:v>
                </c:pt>
                <c:pt idx="23">
                  <c:v>1.94093009773201</c:v>
                </c:pt>
                <c:pt idx="24">
                  <c:v>2.13504273033682</c:v>
                </c:pt>
                <c:pt idx="25">
                  <c:v>2.33828872126149</c:v>
                </c:pt>
                <c:pt idx="26">
                  <c:v>2.55064656419662</c:v>
                </c:pt>
                <c:pt idx="27">
                  <c:v>2.77209464539425</c:v>
                </c:pt>
                <c:pt idx="28">
                  <c:v>3.00261124415803</c:v>
                </c:pt>
                <c:pt idx="29">
                  <c:v>3.24217453333772</c:v>
                </c:pt>
                <c:pt idx="30">
                  <c:v>3.49076257982799</c:v>
                </c:pt>
                <c:pt idx="31">
                  <c:v>3.74835334507152</c:v>
                </c:pt>
                <c:pt idx="32">
                  <c:v>4.01492468556632</c:v>
                </c:pt>
                <c:pt idx="33">
                  <c:v>4.29043955550623</c:v>
                </c:pt>
                <c:pt idx="34">
                  <c:v>4.57486029065876</c:v>
                </c:pt>
                <c:pt idx="35">
                  <c:v>4.86816341380027</c:v>
                </c:pt>
                <c:pt idx="36">
                  <c:v>5.17032536614843</c:v>
                </c:pt>
                <c:pt idx="37">
                  <c:v>5.48132251439453</c:v>
                </c:pt>
                <c:pt idx="38">
                  <c:v>5.80113114984989</c:v>
                </c:pt>
                <c:pt idx="39">
                  <c:v>6.12972748770731</c:v>
                </c:pt>
                <c:pt idx="40">
                  <c:v>6.46708766640578</c:v>
                </c:pt>
                <c:pt idx="41">
                  <c:v>6.81318774708791</c:v>
                </c:pt>
                <c:pt idx="42">
                  <c:v>7.16800371314139</c:v>
                </c:pt>
                <c:pt idx="43">
                  <c:v>7.53151146981626</c:v>
                </c:pt>
                <c:pt idx="44">
                  <c:v>7.90368684391139</c:v>
                </c:pt>
                <c:pt idx="45">
                  <c:v>8.28450558352366</c:v>
                </c:pt>
                <c:pt idx="46">
                  <c:v>8.67394335785479</c:v>
                </c:pt>
                <c:pt idx="47">
                  <c:v>9.07197575707059</c:v>
                </c:pt>
                <c:pt idx="48">
                  <c:v>9.47857829220871</c:v>
                </c:pt>
                <c:pt idx="49">
                  <c:v>9.89372639513068</c:v>
                </c:pt>
                <c:pt idx="50">
                  <c:v>10.3173954185151</c:v>
                </c:pt>
                <c:pt idx="51">
                  <c:v>10.7495634267414</c:v>
                </c:pt>
                <c:pt idx="52">
                  <c:v>11.1902139904642</c:v>
                </c:pt>
                <c:pt idx="53">
                  <c:v>11.6393334007848</c:v>
                </c:pt>
                <c:pt idx="54">
                  <c:v>12.096907879664</c:v>
                </c:pt>
                <c:pt idx="55">
                  <c:v>12.5629235798068</c:v>
                </c:pt>
                <c:pt idx="56">
                  <c:v>13.0373665845716</c:v>
                </c:pt>
                <c:pt idx="57">
                  <c:v>13.5202229079007</c:v>
                </c:pt>
                <c:pt idx="58">
                  <c:v>14.0114784942715</c:v>
                </c:pt>
                <c:pt idx="59">
                  <c:v>14.5111192186678</c:v>
                </c:pt>
                <c:pt idx="60">
                  <c:v>15.0191308865683</c:v>
                </c:pt>
                <c:pt idx="61">
                  <c:v>15.5354992339537</c:v>
                </c:pt>
                <c:pt idx="62">
                  <c:v>16.0602099273289</c:v>
                </c:pt>
                <c:pt idx="63">
                  <c:v>16.5932485637618</c:v>
                </c:pt>
                <c:pt idx="64">
                  <c:v>17.1346006709362</c:v>
                </c:pt>
                <c:pt idx="65">
                  <c:v>17.6842517072186</c:v>
                </c:pt>
                <c:pt idx="66">
                  <c:v>18.2421870617386</c:v>
                </c:pt>
                <c:pt idx="67">
                  <c:v>18.8083920544817</c:v>
                </c:pt>
                <c:pt idx="68">
                  <c:v>19.3828519363943</c:v>
                </c:pt>
                <c:pt idx="69">
                  <c:v>19.9655518894997</c:v>
                </c:pt>
                <c:pt idx="70">
                  <c:v>20.5564770270259</c:v>
                </c:pt>
                <c:pt idx="71">
                  <c:v>21.1556123935431</c:v>
                </c:pt>
                <c:pt idx="72">
                  <c:v>21.7629429651116</c:v>
                </c:pt>
                <c:pt idx="73">
                  <c:v>22.3784536494392</c:v>
                </c:pt>
                <c:pt idx="74">
                  <c:v>23.002129286048</c:v>
                </c:pt>
                <c:pt idx="75">
                  <c:v>23.6339546464496</c:v>
                </c:pt>
                <c:pt idx="76">
                  <c:v>24.2739144343295</c:v>
                </c:pt>
                <c:pt idx="77">
                  <c:v>24.9219932857388</c:v>
                </c:pt>
                <c:pt idx="78">
                  <c:v>25.5781757692946</c:v>
                </c:pt>
                <c:pt idx="79">
                  <c:v>26.2424463863875</c:v>
                </c:pt>
                <c:pt idx="80">
                  <c:v>26.9147895713961</c:v>
                </c:pt>
                <c:pt idx="81">
                  <c:v>27.5951896919097</c:v>
                </c:pt>
                <c:pt idx="82">
                  <c:v>28.283631048956</c:v>
                </c:pt>
                <c:pt idx="83">
                  <c:v>28.9800978772374</c:v>
                </c:pt>
                <c:pt idx="84">
                  <c:v>29.6845743453716</c:v>
                </c:pt>
                <c:pt idx="85">
                  <c:v>30.3970445561403</c:v>
                </c:pt>
                <c:pt idx="86">
                  <c:v>31.1174925467421</c:v>
                </c:pt>
                <c:pt idx="87">
                  <c:v>31.8459022890522</c:v>
                </c:pt>
                <c:pt idx="88">
                  <c:v>32.5822576898873</c:v>
                </c:pt>
                <c:pt idx="89">
                  <c:v>33.3265425912761</c:v>
                </c:pt>
                <c:pt idx="90">
                  <c:v>34.0787407707346</c:v>
                </c:pt>
                <c:pt idx="91">
                  <c:v>34.8388359415468</c:v>
                </c:pt>
                <c:pt idx="92">
                  <c:v>35.6068117530504</c:v>
                </c:pt>
                <c:pt idx="93">
                  <c:v>36.382651790927</c:v>
                </c:pt>
                <c:pt idx="94">
                  <c:v>37.166339577497</c:v>
                </c:pt>
                <c:pt idx="95">
                  <c:v>37.9578585720189</c:v>
                </c:pt>
                <c:pt idx="96">
                  <c:v>38.7571921709936</c:v>
                </c:pt>
                <c:pt idx="97">
                  <c:v>39.5643237084719</c:v>
                </c:pt>
                <c:pt idx="98">
                  <c:v>40.3792364563671</c:v>
                </c:pt>
                <c:pt idx="99">
                  <c:v>41.2019136247711</c:v>
                </c:pt>
                <c:pt idx="100">
                  <c:v>42.0323383622743</c:v>
                </c:pt>
                <c:pt idx="101">
                  <c:v>42.8704924708862</c:v>
                </c:pt>
                <c:pt idx="102">
                  <c:v>43.716355119818</c:v>
                </c:pt>
                <c:pt idx="103">
                  <c:v>44.569904130051</c:v>
                </c:pt>
                <c:pt idx="104">
                  <c:v>45.4311172601144</c:v>
                </c:pt>
                <c:pt idx="105">
                  <c:v>46.2999722065565</c:v>
                </c:pt>
                <c:pt idx="106">
                  <c:v>47.1764466044198</c:v>
                </c:pt>
                <c:pt idx="107">
                  <c:v>48.060518027718</c:v>
                </c:pt>
                <c:pt idx="108">
                  <c:v>48.9521639899168</c:v>
                </c:pt>
                <c:pt idx="109">
                  <c:v>49.851361944418</c:v>
                </c:pt>
                <c:pt idx="110">
                  <c:v>50.7580892850451</c:v>
                </c:pt>
                <c:pt idx="111">
                  <c:v>51.6723233465329</c:v>
                </c:pt>
                <c:pt idx="112">
                  <c:v>52.5940414050188</c:v>
                </c:pt>
                <c:pt idx="113">
                  <c:v>53.5232206785372</c:v>
                </c:pt>
                <c:pt idx="114">
                  <c:v>54.4598383275164</c:v>
                </c:pt>
                <c:pt idx="115">
                  <c:v>55.403871455277</c:v>
                </c:pt>
                <c:pt idx="116">
                  <c:v>56.3552971085334</c:v>
                </c:pt>
                <c:pt idx="117">
                  <c:v>57.3140922778975</c:v>
                </c:pt>
                <c:pt idx="118">
                  <c:v>58.2802338983836</c:v>
                </c:pt>
                <c:pt idx="119">
                  <c:v>59.2536988499165</c:v>
                </c:pt>
                <c:pt idx="120">
                  <c:v>60.2344639578404</c:v>
                </c:pt>
                <c:pt idx="121">
                  <c:v>61.2225059934308</c:v>
                </c:pt>
                <c:pt idx="122">
                  <c:v>62.217801674407</c:v>
                </c:pt>
                <c:pt idx="123">
                  <c:v>63.2203276654471</c:v>
                </c:pt>
                <c:pt idx="124">
                  <c:v>64.2300605787047</c:v>
                </c:pt>
                <c:pt idx="125">
                  <c:v>65.2469769743264</c:v>
                </c:pt>
                <c:pt idx="126">
                  <c:v>66.2710533609717</c:v>
                </c:pt>
                <c:pt idx="127">
                  <c:v>67.3022661963334</c:v>
                </c:pt>
                <c:pt idx="128">
                  <c:v>68.3405918876606</c:v>
                </c:pt>
                <c:pt idx="129">
                  <c:v>69.3860067922815</c:v>
                </c:pt>
                <c:pt idx="130">
                  <c:v>70.4384872181287</c:v>
                </c:pt>
                <c:pt idx="131">
                  <c:v>71.4980094242647</c:v>
                </c:pt>
                <c:pt idx="132">
                  <c:v>72.5645496214094</c:v>
                </c:pt>
                <c:pt idx="133">
                  <c:v>73.6380839724678</c:v>
                </c:pt>
                <c:pt idx="134">
                  <c:v>74.7185885930593</c:v>
                </c:pt>
                <c:pt idx="135">
                  <c:v>75.8060395520476</c:v>
                </c:pt>
                <c:pt idx="136">
                  <c:v>76.9004128720713</c:v>
                </c:pt>
                <c:pt idx="137">
                  <c:v>78.0016845300758</c:v>
                </c:pt>
                <c:pt idx="138">
                  <c:v>79.1098304578455</c:v>
                </c:pt>
                <c:pt idx="139">
                  <c:v>80.2248265425371</c:v>
                </c:pt>
                <c:pt idx="140">
                  <c:v>81.3466486272129</c:v>
                </c:pt>
                <c:pt idx="141">
                  <c:v>82.4752725113751</c:v>
                </c:pt>
                <c:pt idx="142">
                  <c:v>83.6106739515009</c:v>
                </c:pt>
                <c:pt idx="143">
                  <c:v>84.7528286615774</c:v>
                </c:pt>
                <c:pt idx="144">
                  <c:v>85.9017123136373</c:v>
                </c:pt>
                <c:pt idx="145">
                  <c:v>87.0573005382948</c:v>
                </c:pt>
                <c:pt idx="146">
                  <c:v>88.2195689252822</c:v>
                </c:pt>
                <c:pt idx="147">
                  <c:v>89.3884930239861</c:v>
                </c:pt>
                <c:pt idx="148">
                  <c:v>90.5640483439844</c:v>
                </c:pt>
                <c:pt idx="149">
                  <c:v>91.7462103555831</c:v>
                </c:pt>
                <c:pt idx="150">
                  <c:v>92.9349544903534</c:v>
                </c:pt>
                <c:pt idx="151">
                  <c:v>94.1302565788154</c:v>
                </c:pt>
                <c:pt idx="152">
                  <c:v>95.3320932882854</c:v>
                </c:pt>
                <c:pt idx="153">
                  <c:v>96.5404416862398</c:v>
                </c:pt>
                <c:pt idx="154">
                  <c:v>97.7552788034952</c:v>
                </c:pt>
                <c:pt idx="155">
                  <c:v>98.9765816347021</c:v>
                </c:pt>
                <c:pt idx="156">
                  <c:v>100.20432713884</c:v>
                </c:pt>
                <c:pt idx="157">
                  <c:v>101.438492239708</c:v>
                </c:pt>
                <c:pt idx="158">
                  <c:v>102.679053826426</c:v>
                </c:pt>
                <c:pt idx="159">
                  <c:v>103.925988753919</c:v>
                </c:pt>
                <c:pt idx="160">
                  <c:v>105.179273843418</c:v>
                </c:pt>
                <c:pt idx="161">
                  <c:v>106.438885882952</c:v>
                </c:pt>
                <c:pt idx="162">
                  <c:v>107.704801627838</c:v>
                </c:pt>
                <c:pt idx="163">
                  <c:v>108.976997801179</c:v>
                </c:pt>
                <c:pt idx="164">
                  <c:v>110.255451094353</c:v>
                </c:pt>
                <c:pt idx="165">
                  <c:v>111.540138167508</c:v>
                </c:pt>
                <c:pt idx="166">
                  <c:v>112.831035650051</c:v>
                </c:pt>
                <c:pt idx="167">
                  <c:v>114.128120141145</c:v>
                </c:pt>
                <c:pt idx="168">
                  <c:v>115.431368210194</c:v>
                </c:pt>
                <c:pt idx="169">
                  <c:v>116.740756397338</c:v>
                </c:pt>
                <c:pt idx="170">
                  <c:v>118.056261213942</c:v>
                </c:pt>
                <c:pt idx="171">
                  <c:v>119.377859143086</c:v>
                </c:pt>
                <c:pt idx="172">
                  <c:v>120.705526640052</c:v>
                </c:pt>
                <c:pt idx="173">
                  <c:v>122.039240132817</c:v>
                </c:pt>
                <c:pt idx="174">
                  <c:v>123.378976022538</c:v>
                </c:pt>
                <c:pt idx="175">
                  <c:v>124.724710684037</c:v>
                </c:pt>
                <c:pt idx="176">
                  <c:v>126.076420466293</c:v>
                </c:pt>
                <c:pt idx="177">
                  <c:v>127.434081692924</c:v>
                </c:pt>
                <c:pt idx="178">
                  <c:v>128.797670662672</c:v>
                </c:pt>
                <c:pt idx="179">
                  <c:v>130.167163649887</c:v>
                </c:pt>
                <c:pt idx="180">
                  <c:v>131.542536905014</c:v>
                </c:pt>
                <c:pt idx="181">
                  <c:v>132.923766655069</c:v>
                </c:pt>
                <c:pt idx="182">
                  <c:v>134.310829104127</c:v>
                </c:pt>
                <c:pt idx="183">
                  <c:v>135.703700433798</c:v>
                </c:pt>
                <c:pt idx="184">
                  <c:v>137.102356803708</c:v>
                </c:pt>
                <c:pt idx="185">
                  <c:v>138.506774351979</c:v>
                </c:pt>
                <c:pt idx="186">
                  <c:v>139.916929195703</c:v>
                </c:pt>
                <c:pt idx="187">
                  <c:v>141.332797431424</c:v>
                </c:pt>
                <c:pt idx="188">
                  <c:v>142.754355135606</c:v>
                </c:pt>
                <c:pt idx="189">
                  <c:v>144.181578365115</c:v>
                </c:pt>
                <c:pt idx="190">
                  <c:v>145.614443157687</c:v>
                </c:pt>
                <c:pt idx="191">
                  <c:v>147.0529255324</c:v>
                </c:pt>
                <c:pt idx="192">
                  <c:v>148.497001490148</c:v>
                </c:pt>
                <c:pt idx="193">
                  <c:v>149.946647014108</c:v>
                </c:pt>
                <c:pt idx="194">
                  <c:v>151.401838070208</c:v>
                </c:pt>
                <c:pt idx="195">
                  <c:v>152.862550607597</c:v>
                </c:pt>
                <c:pt idx="196">
                  <c:v>154.328760559107</c:v>
                </c:pt>
                <c:pt idx="197">
                  <c:v>155.800443841716</c:v>
                </c:pt>
                <c:pt idx="198">
                  <c:v>157.277576357019</c:v>
                </c:pt>
                <c:pt idx="199">
                  <c:v>158.760133991679</c:v>
                </c:pt>
                <c:pt idx="200">
                  <c:v>160.248092617895</c:v>
                </c:pt>
                <c:pt idx="201">
                  <c:v>161.741428093858</c:v>
                </c:pt>
                <c:pt idx="202">
                  <c:v>163.240116264207</c:v>
                </c:pt>
                <c:pt idx="203">
                  <c:v>164.744132960485</c:v>
                </c:pt>
                <c:pt idx="204">
                  <c:v>166.253454001595</c:v>
                </c:pt>
                <c:pt idx="205">
                  <c:v>167.768055194253</c:v>
                </c:pt>
                <c:pt idx="206">
                  <c:v>169.287912333435</c:v>
                </c:pt>
                <c:pt idx="207">
                  <c:v>170.81300120283</c:v>
                </c:pt>
                <c:pt idx="208">
                  <c:v>172.343297575289</c:v>
                </c:pt>
                <c:pt idx="209">
                  <c:v>173.878777213267</c:v>
                </c:pt>
                <c:pt idx="210">
                  <c:v>175.419415869271</c:v>
                </c:pt>
                <c:pt idx="211">
                  <c:v>176.965189286301</c:v>
                </c:pt>
                <c:pt idx="212">
                  <c:v>178.516073198294</c:v>
                </c:pt>
                <c:pt idx="213">
                  <c:v>180.07204333056</c:v>
                </c:pt>
                <c:pt idx="214">
                  <c:v>181.633075400222</c:v>
                </c:pt>
                <c:pt idx="215">
                  <c:v>183.199145116653</c:v>
                </c:pt>
                <c:pt idx="216">
                  <c:v>184.770228181906</c:v>
                </c:pt>
                <c:pt idx="217">
                  <c:v>186.346300291152</c:v>
                </c:pt>
                <c:pt idx="218">
                  <c:v>187.927337133106</c:v>
                </c:pt>
                <c:pt idx="219">
                  <c:v>189.51331439046</c:v>
                </c:pt>
                <c:pt idx="220">
                  <c:v>191.104207740305</c:v>
                </c:pt>
                <c:pt idx="221">
                  <c:v>192.699992854561</c:v>
                </c:pt>
                <c:pt idx="222">
                  <c:v>194.300645400397</c:v>
                </c:pt>
                <c:pt idx="223">
                  <c:v>195.906141040655</c:v>
                </c:pt>
                <c:pt idx="224">
                  <c:v>197.516455434266</c:v>
                </c:pt>
                <c:pt idx="225">
                  <c:v>199.13156423667</c:v>
                </c:pt>
                <c:pt idx="226">
                  <c:v>200.751443100231</c:v>
                </c:pt>
                <c:pt idx="227">
                  <c:v>202.376067674649</c:v>
                </c:pt>
                <c:pt idx="228">
                  <c:v>204.005413607376</c:v>
                </c:pt>
                <c:pt idx="229">
                  <c:v>205.639456544018</c:v>
                </c:pt>
                <c:pt idx="230">
                  <c:v>207.27817212875</c:v>
                </c:pt>
                <c:pt idx="231">
                  <c:v>208.921536004717</c:v>
                </c:pt>
                <c:pt idx="232">
                  <c:v>210.56952381444</c:v>
                </c:pt>
                <c:pt idx="233">
                  <c:v>212.222111200213</c:v>
                </c:pt>
                <c:pt idx="234">
                  <c:v>213.879273804509</c:v>
                </c:pt>
                <c:pt idx="235">
                  <c:v>215.540987270371</c:v>
                </c:pt>
                <c:pt idx="236">
                  <c:v>217.207227241811</c:v>
                </c:pt>
                <c:pt idx="237">
                  <c:v>218.8779693642</c:v>
                </c:pt>
                <c:pt idx="238">
                  <c:v>220.553189284663</c:v>
                </c:pt>
                <c:pt idx="239">
                  <c:v>222.232862652461</c:v>
                </c:pt>
                <c:pt idx="240">
                  <c:v>223.916965119385</c:v>
                </c:pt>
                <c:pt idx="241">
                  <c:v>225.605472340134</c:v>
                </c:pt>
                <c:pt idx="242">
                  <c:v>227.298359972703</c:v>
                </c:pt>
                <c:pt idx="243">
                  <c:v>228.995603678757</c:v>
                </c:pt>
                <c:pt idx="244">
                  <c:v>230.697179124013</c:v>
                </c:pt>
                <c:pt idx="245">
                  <c:v>232.403061978614</c:v>
                </c:pt>
                <c:pt idx="246">
                  <c:v>234.113227917502</c:v>
                </c:pt>
                <c:pt idx="247">
                  <c:v>235.82765262079</c:v>
                </c:pt>
                <c:pt idx="248">
                  <c:v>237.54631177413</c:v>
                </c:pt>
                <c:pt idx="249">
                  <c:v>239.26918106908</c:v>
                </c:pt>
                <c:pt idx="250">
                  <c:v>240.996236203467</c:v>
                </c:pt>
                <c:pt idx="251">
                  <c:v>242.727450997963</c:v>
                </c:pt>
                <c:pt idx="252">
                  <c:v>244.46279551367</c:v>
                </c:pt>
                <c:pt idx="253">
                  <c:v>246.202237939506</c:v>
                </c:pt>
                <c:pt idx="254">
                  <c:v>247.945746478657</c:v>
                </c:pt>
                <c:pt idx="255">
                  <c:v>249.693289349061</c:v>
                </c:pt>
                <c:pt idx="256">
                  <c:v>251.444834783895</c:v>
                </c:pt>
                <c:pt idx="257">
                  <c:v>253.200351032058</c:v>
                </c:pt>
                <c:pt idx="258">
                  <c:v>254.959806358648</c:v>
                </c:pt>
                <c:pt idx="259">
                  <c:v>256.723169045439</c:v>
                </c:pt>
                <c:pt idx="260">
                  <c:v>258.490407391346</c:v>
                </c:pt>
                <c:pt idx="261">
                  <c:v>260.261489712894</c:v>
                </c:pt>
                <c:pt idx="262">
                  <c:v>262.036384344682</c:v>
                </c:pt>
                <c:pt idx="263">
                  <c:v>263.815059639837</c:v>
                </c:pt>
                <c:pt idx="264">
                  <c:v>265.597483970473</c:v>
                </c:pt>
                <c:pt idx="265">
                  <c:v>267.383625728138</c:v>
                </c:pt>
                <c:pt idx="266">
                  <c:v>269.173453324261</c:v>
                </c:pt>
                <c:pt idx="267">
                  <c:v>270.966935190597</c:v>
                </c:pt>
                <c:pt idx="268">
                  <c:v>272.764039779661</c:v>
                </c:pt>
                <c:pt idx="269">
                  <c:v>274.564735565166</c:v>
                </c:pt>
                <c:pt idx="270">
                  <c:v>276.368991042453</c:v>
                </c:pt>
                <c:pt idx="271">
                  <c:v>278.176774728917</c:v>
                </c:pt>
                <c:pt idx="272">
                  <c:v>279.988055164428</c:v>
                </c:pt>
                <c:pt idx="273">
                  <c:v>281.802800911753</c:v>
                </c:pt>
                <c:pt idx="274">
                  <c:v>283.620980556967</c:v>
                </c:pt>
                <c:pt idx="275">
                  <c:v>285.442562709865</c:v>
                </c:pt>
                <c:pt idx="276">
                  <c:v>287.26751600437</c:v>
                </c:pt>
                <c:pt idx="277">
                  <c:v>289.095809098934</c:v>
                </c:pt>
                <c:pt idx="278">
                  <c:v>290.927410676934</c:v>
                </c:pt>
                <c:pt idx="279">
                  <c:v>292.762289447072</c:v>
                </c:pt>
                <c:pt idx="280">
                  <c:v>294.600414143763</c:v>
                </c:pt>
                <c:pt idx="281">
                  <c:v>296.441753527518</c:v>
                </c:pt>
                <c:pt idx="282">
                  <c:v>298.286276385332</c:v>
                </c:pt>
                <c:pt idx="283">
                  <c:v>300.133951531061</c:v>
                </c:pt>
                <c:pt idx="284">
                  <c:v>301.984747805795</c:v>
                </c:pt>
                <c:pt idx="285">
                  <c:v>303.838634078227</c:v>
                </c:pt>
                <c:pt idx="286">
                  <c:v>305.695579245027</c:v>
                </c:pt>
                <c:pt idx="287">
                  <c:v>307.555552231193</c:v>
                </c:pt>
                <c:pt idx="288">
                  <c:v>309.418521990423</c:v>
                </c:pt>
                <c:pt idx="289">
                  <c:v>311.284457505456</c:v>
                </c:pt>
                <c:pt idx="290">
                  <c:v>313.153327788433</c:v>
                </c:pt>
                <c:pt idx="291">
                  <c:v>315.025101881241</c:v>
                </c:pt>
                <c:pt idx="292">
                  <c:v>316.89974885585</c:v>
                </c:pt>
                <c:pt idx="293">
                  <c:v>318.777237814659</c:v>
                </c:pt>
                <c:pt idx="294">
                  <c:v>320.657537890829</c:v>
                </c:pt>
                <c:pt idx="295">
                  <c:v>322.540618248611</c:v>
                </c:pt>
                <c:pt idx="296">
                  <c:v>324.426448083675</c:v>
                </c:pt>
                <c:pt idx="297">
                  <c:v>326.314996623431</c:v>
                </c:pt>
                <c:pt idx="298">
                  <c:v>328.206212466285</c:v>
                </c:pt>
                <c:pt idx="299">
                  <c:v>330.100002941184</c:v>
                </c:pt>
                <c:pt idx="300">
                  <c:v>331.996254820626</c:v>
                </c:pt>
                <c:pt idx="301">
                  <c:v>333.89485501445</c:v>
                </c:pt>
                <c:pt idx="302">
                  <c:v>335.795690572298</c:v>
                </c:pt>
                <c:pt idx="303">
                  <c:v>337.698648686044</c:v>
                </c:pt>
                <c:pt idx="304">
                  <c:v>339.603616692162</c:v>
                </c:pt>
                <c:pt idx="305">
                  <c:v>341.510482074057</c:v>
                </c:pt>
                <c:pt idx="306">
                  <c:v>343.419132464343</c:v>
                </c:pt>
                <c:pt idx="307">
                  <c:v>345.329455647081</c:v>
                </c:pt>
                <c:pt idx="308">
                  <c:v>347.241339559963</c:v>
                </c:pt>
                <c:pt idx="309">
                  <c:v>349.154672296456</c:v>
                </c:pt>
                <c:pt idx="310">
                  <c:v>351.069342107896</c:v>
                </c:pt>
                <c:pt idx="311">
                  <c:v>352.985237405536</c:v>
                </c:pt>
                <c:pt idx="312">
                  <c:v>354.902246762553</c:v>
                </c:pt>
                <c:pt idx="313">
                  <c:v>356.820258916</c:v>
                </c:pt>
                <c:pt idx="314">
                  <c:v>358.739162768723</c:v>
                </c:pt>
                <c:pt idx="315">
                  <c:v>360.658847391222</c:v>
                </c:pt>
                <c:pt idx="316">
                  <c:v>362.579202023477</c:v>
                </c:pt>
                <c:pt idx="317">
                  <c:v>364.50011607672</c:v>
                </c:pt>
                <c:pt idx="318">
                  <c:v>366.421479135169</c:v>
                </c:pt>
                <c:pt idx="319">
                  <c:v>368.343180957711</c:v>
                </c:pt>
                <c:pt idx="320">
                  <c:v>370.265111479548</c:v>
                </c:pt>
                <c:pt idx="321">
                  <c:v>372.1871690264</c:v>
                </c:pt>
                <c:pt idx="322">
                  <c:v>374.109268515989</c:v>
                </c:pt>
                <c:pt idx="323">
                  <c:v>376.031333219358</c:v>
                </c:pt>
                <c:pt idx="324">
                  <c:v>377.953286534437</c:v>
                </c:pt>
                <c:pt idx="325">
                  <c:v>379.875051986663</c:v>
                </c:pt>
                <c:pt idx="326">
                  <c:v>381.796553229589</c:v>
                </c:pt>
                <c:pt idx="327">
                  <c:v>383.717714045467</c:v>
                </c:pt>
                <c:pt idx="328">
                  <c:v>385.638458345807</c:v>
                </c:pt>
                <c:pt idx="329">
                  <c:v>387.558710171922</c:v>
                </c:pt>
                <c:pt idx="330">
                  <c:v>389.478393695449</c:v>
                </c:pt>
                <c:pt idx="331">
                  <c:v>391.39743321885</c:v>
                </c:pt>
                <c:pt idx="332">
                  <c:v>393.315753175894</c:v>
                </c:pt>
                <c:pt idx="333">
                  <c:v>395.233278132115</c:v>
                </c:pt>
                <c:pt idx="334">
                  <c:v>397.149932785254</c:v>
                </c:pt>
                <c:pt idx="335">
                  <c:v>399.065641965684</c:v>
                </c:pt>
                <c:pt idx="336">
                  <c:v>400.980330636806</c:v>
                </c:pt>
                <c:pt idx="337">
                  <c:v>402.893923895431</c:v>
                </c:pt>
                <c:pt idx="338">
                  <c:v>404.806346972149</c:v>
                </c:pt>
                <c:pt idx="339">
                  <c:v>406.717525231664</c:v>
                </c:pt>
                <c:pt idx="340">
                  <c:v>408.627384173124</c:v>
                </c:pt>
                <c:pt idx="341">
                  <c:v>410.535849430424</c:v>
                </c:pt>
                <c:pt idx="342">
                  <c:v>412.442846772492</c:v>
                </c:pt>
                <c:pt idx="343">
                  <c:v>414.34830210356</c:v>
                </c:pt>
                <c:pt idx="344">
                  <c:v>416.252141463406</c:v>
                </c:pt>
                <c:pt idx="345">
                  <c:v>418.154291027595</c:v>
                </c:pt>
                <c:pt idx="346">
                  <c:v>420.054677107683</c:v>
                </c:pt>
                <c:pt idx="347">
                  <c:v>421.953226151417</c:v>
                </c:pt>
                <c:pt idx="348">
                  <c:v>423.849865627964</c:v>
                </c:pt>
                <c:pt idx="349">
                  <c:v>425.744524911418</c:v>
                </c:pt>
                <c:pt idx="350">
                  <c:v>427.637134392424</c:v>
                </c:pt>
                <c:pt idx="351">
                  <c:v>429.527624591481</c:v>
                </c:pt>
                <c:pt idx="352">
                  <c:v>431.415926159006</c:v>
                </c:pt>
                <c:pt idx="353">
                  <c:v>433.301969875388</c:v>
                </c:pt>
                <c:pt idx="354">
                  <c:v>435.185686651018</c:v>
                </c:pt>
                <c:pt idx="355">
                  <c:v>437.067007526316</c:v>
                </c:pt>
                <c:pt idx="356">
                  <c:v>438.945863671729</c:v>
                </c:pt>
                <c:pt idx="357">
                  <c:v>440.822186387727</c:v>
                </c:pt>
                <c:pt idx="358">
                  <c:v>442.695907104775</c:v>
                </c:pt>
                <c:pt idx="359">
                  <c:v>444.566957383295</c:v>
                </c:pt>
                <c:pt idx="360">
                  <c:v>446.435287313958</c:v>
                </c:pt>
                <c:pt idx="361">
                  <c:v>448.300883879948</c:v>
                </c:pt>
                <c:pt idx="362">
                  <c:v>450.163752481729</c:v>
                </c:pt>
                <c:pt idx="363">
                  <c:v>452.023898499902</c:v>
                </c:pt>
                <c:pt idx="364">
                  <c:v>453.881327295308</c:v>
                </c:pt>
                <c:pt idx="365">
                  <c:v>455.73604420912</c:v>
                </c:pt>
                <c:pt idx="366">
                  <c:v>457.588054562936</c:v>
                </c:pt>
                <c:pt idx="367">
                  <c:v>459.437363658876</c:v>
                </c:pt>
                <c:pt idx="368">
                  <c:v>461.283976779679</c:v>
                </c:pt>
                <c:pt idx="369">
                  <c:v>463.12789918879</c:v>
                </c:pt>
                <c:pt idx="370">
                  <c:v>464.969136130456</c:v>
                </c:pt>
                <c:pt idx="371">
                  <c:v>466.80769282982</c:v>
                </c:pt>
                <c:pt idx="372">
                  <c:v>468.64357449301</c:v>
                </c:pt>
                <c:pt idx="373">
                  <c:v>470.476786307231</c:v>
                </c:pt>
                <c:pt idx="374">
                  <c:v>472.307333440856</c:v>
                </c:pt>
                <c:pt idx="375">
                  <c:v>474.135221043514</c:v>
                </c:pt>
                <c:pt idx="376">
                  <c:v>475.960454246184</c:v>
                </c:pt>
                <c:pt idx="377">
                  <c:v>477.783038161279</c:v>
                </c:pt>
                <c:pt idx="378">
                  <c:v>479.602977882736</c:v>
                </c:pt>
                <c:pt idx="379">
                  <c:v>481.420278486108</c:v>
                </c:pt>
                <c:pt idx="380">
                  <c:v>483.234945028644</c:v>
                </c:pt>
                <c:pt idx="381">
                  <c:v>485.04698254938</c:v>
                </c:pt>
                <c:pt idx="382">
                  <c:v>486.856396069227</c:v>
                </c:pt>
                <c:pt idx="383">
                  <c:v>488.663190591054</c:v>
                </c:pt>
                <c:pt idx="384">
                  <c:v>490.467371099771</c:v>
                </c:pt>
                <c:pt idx="385">
                  <c:v>492.268942562421</c:v>
                </c:pt>
                <c:pt idx="386">
                  <c:v>494.067909928258</c:v>
                </c:pt>
                <c:pt idx="387">
                  <c:v>495.864278128833</c:v>
                </c:pt>
                <c:pt idx="388">
                  <c:v>497.658052078076</c:v>
                </c:pt>
                <c:pt idx="389">
                  <c:v>499.449236672381</c:v>
                </c:pt>
                <c:pt idx="390">
                  <c:v>501.237836790687</c:v>
                </c:pt>
                <c:pt idx="391">
                  <c:v>503.023857294559</c:v>
                </c:pt>
                <c:pt idx="392">
                  <c:v>504.80730302827</c:v>
                </c:pt>
                <c:pt idx="393">
                  <c:v>506.588178818884</c:v>
                </c:pt>
                <c:pt idx="394">
                  <c:v>508.366489476332</c:v>
                </c:pt>
                <c:pt idx="395">
                  <c:v>510.142239793496</c:v>
                </c:pt>
                <c:pt idx="396">
                  <c:v>511.915434546283</c:v>
                </c:pt>
                <c:pt idx="397">
                  <c:v>513.686078493713</c:v>
                </c:pt>
                <c:pt idx="398">
                  <c:v>515.454176377986</c:v>
                </c:pt>
                <c:pt idx="399">
                  <c:v>517.219732924571</c:v>
                </c:pt>
                <c:pt idx="400">
                  <c:v>518.982752842275</c:v>
                </c:pt>
                <c:pt idx="401">
                  <c:v>536.473800892352</c:v>
                </c:pt>
                <c:pt idx="402">
                  <c:v>553.714204690806</c:v>
                </c:pt>
                <c:pt idx="403">
                  <c:v>570.708514530673</c:v>
                </c:pt>
                <c:pt idx="404">
                  <c:v>587.461124033914</c:v>
                </c:pt>
                <c:pt idx="405">
                  <c:v>603.976277161297</c:v>
                </c:pt>
                <c:pt idx="406">
                  <c:v>620.258074828367</c:v>
                </c:pt>
                <c:pt idx="407">
                  <c:v>636.310481153894</c:v>
                </c:pt>
                <c:pt idx="408">
                  <c:v>652.137329365098</c:v>
                </c:pt>
                <c:pt idx="409">
                  <c:v>667.74232738213</c:v>
                </c:pt>
                <c:pt idx="410">
                  <c:v>683.129063102546</c:v>
                </c:pt>
                <c:pt idx="411">
                  <c:v>698.301009404979</c:v>
                </c:pt>
                <c:pt idx="412">
                  <c:v>713.261528889775</c:v>
                </c:pt>
                <c:pt idx="413">
                  <c:v>728.013878373066</c:v>
                </c:pt>
                <c:pt idx="414">
                  <c:v>742.561213149541</c:v>
                </c:pt>
                <c:pt idx="415">
                  <c:v>756.906591038096</c:v>
                </c:pt>
                <c:pt idx="416">
                  <c:v>771.052976223531</c:v>
                </c:pt>
                <c:pt idx="417">
                  <c:v>785.003242906522</c:v>
                </c:pt>
                <c:pt idx="418">
                  <c:v>798.760178773266</c:v>
                </c:pt>
                <c:pt idx="419">
                  <c:v>812.326488295387</c:v>
                </c:pt>
                <c:pt idx="420">
                  <c:v>825.704795869996</c:v>
                </c:pt>
                <c:pt idx="421">
                  <c:v>838.897648809097</c:v>
                </c:pt>
                <c:pt idx="422">
                  <c:v>851.907520186954</c:v>
                </c:pt>
                <c:pt idx="423">
                  <c:v>864.736811553414</c:v>
                </c:pt>
                <c:pt idx="424">
                  <c:v>877.387855520712</c:v>
                </c:pt>
                <c:pt idx="425">
                  <c:v>889.862918230744</c:v>
                </c:pt>
                <c:pt idx="426">
                  <c:v>902.164201709387</c:v>
                </c:pt>
                <c:pt idx="427">
                  <c:v>914.29384611398</c:v>
                </c:pt>
                <c:pt idx="428">
                  <c:v>926.253931879745</c:v>
                </c:pt>
                <c:pt idx="429">
                  <c:v>938.04648177052</c:v>
                </c:pt>
                <c:pt idx="430">
                  <c:v>949.673462838862</c:v>
                </c:pt>
                <c:pt idx="431">
                  <c:v>961.13678830028</c:v>
                </c:pt>
                <c:pt idx="432">
                  <c:v>972.438319326032</c:v>
                </c:pt>
                <c:pt idx="433">
                  <c:v>983.579866758694</c:v>
                </c:pt>
                <c:pt idx="434">
                  <c:v>994.563192754425</c:v>
                </c:pt>
                <c:pt idx="435">
                  <c:v>1005.39001235563</c:v>
                </c:pt>
                <c:pt idx="436">
                  <c:v>1016.06199499751</c:v>
                </c:pt>
                <c:pt idx="437">
                  <c:v>1026.58076595179</c:v>
                </c:pt>
                <c:pt idx="438">
                  <c:v>1036.94790771068</c:v>
                </c:pt>
                <c:pt idx="439">
                  <c:v>1047.16496131404</c:v>
                </c:pt>
                <c:pt idx="440">
                  <c:v>1057.23342762243</c:v>
                </c:pt>
                <c:pt idx="441">
                  <c:v>1067.15476853871</c:v>
                </c:pt>
                <c:pt idx="442">
                  <c:v>1076.9304081806</c:v>
                </c:pt>
                <c:pt idx="443">
                  <c:v>1086.56173400643</c:v>
                </c:pt>
                <c:pt idx="444">
                  <c:v>1096.05009789652</c:v>
                </c:pt>
                <c:pt idx="445">
                  <c:v>1105.39681719191</c:v>
                </c:pt>
                <c:pt idx="446">
                  <c:v>1114.60317569265</c:v>
                </c:pt>
                <c:pt idx="447">
                  <c:v>1123.67042461744</c:v>
                </c:pt>
                <c:pt idx="448">
                  <c:v>1132.59978352632</c:v>
                </c:pt>
                <c:pt idx="449">
                  <c:v>1141.39244120804</c:v>
                </c:pt>
                <c:pt idx="450">
                  <c:v>1150.04955653388</c:v>
                </c:pt>
                <c:pt idx="451">
                  <c:v>1158.57225927911</c:v>
                </c:pt>
                <c:pt idx="452">
                  <c:v>1166.96165091378</c:v>
                </c:pt>
                <c:pt idx="453">
                  <c:v>1175.21880536399</c:v>
                </c:pt>
                <c:pt idx="454">
                  <c:v>1183.34476974504</c:v>
                </c:pt>
                <c:pt idx="455">
                  <c:v>1191.34056506756</c:v>
                </c:pt>
                <c:pt idx="456">
                  <c:v>1199.20718691783</c:v>
                </c:pt>
                <c:pt idx="457">
                  <c:v>1206.94560611347</c:v>
                </c:pt>
                <c:pt idx="458">
                  <c:v>1214.55676933526</c:v>
                </c:pt>
                <c:pt idx="459">
                  <c:v>1222.04159973646</c:v>
                </c:pt>
                <c:pt idx="460">
                  <c:v>1229.40099753023</c:v>
                </c:pt>
                <c:pt idx="461">
                  <c:v>1236.63584055626</c:v>
                </c:pt>
                <c:pt idx="462">
                  <c:v>1243.74698482738</c:v>
                </c:pt>
                <c:pt idx="463">
                  <c:v>1250.73526505695</c:v>
                </c:pt>
                <c:pt idx="464">
                  <c:v>1257.60149516792</c:v>
                </c:pt>
                <c:pt idx="465">
                  <c:v>1264.3464687841</c:v>
                </c:pt>
                <c:pt idx="466">
                  <c:v>1270.97095970457</c:v>
                </c:pt>
                <c:pt idx="467">
                  <c:v>1277.47572236175</c:v>
                </c:pt>
                <c:pt idx="468">
                  <c:v>1283.8614922639</c:v>
                </c:pt>
                <c:pt idx="469">
                  <c:v>1290.1289864225</c:v>
                </c:pt>
                <c:pt idx="470">
                  <c:v>1296.27890376534</c:v>
                </c:pt>
                <c:pt idx="471">
                  <c:v>1302.31192553567</c:v>
                </c:pt>
                <c:pt idx="472">
                  <c:v>1308.22871567811</c:v>
                </c:pt>
                <c:pt idx="473">
                  <c:v>1314.02992121177</c:v>
                </c:pt>
                <c:pt idx="474">
                  <c:v>1319.71617259112</c:v>
                </c:pt>
                <c:pt idx="475">
                  <c:v>1325.28808405511</c:v>
                </c:pt>
                <c:pt idx="476">
                  <c:v>1330.74625396496</c:v>
                </c:pt>
                <c:pt idx="477">
                  <c:v>1336.09126513115</c:v>
                </c:pt>
                <c:pt idx="478">
                  <c:v>1341.32368513</c:v>
                </c:pt>
                <c:pt idx="479">
                  <c:v>1346.44406661033</c:v>
                </c:pt>
                <c:pt idx="480">
                  <c:v>1351.45294759054</c:v>
                </c:pt>
                <c:pt idx="481">
                  <c:v>1356.3508517466</c:v>
                </c:pt>
                <c:pt idx="482">
                  <c:v>1361.13828869131</c:v>
                </c:pt>
                <c:pt idx="483">
                  <c:v>1365.81575424524</c:v>
                </c:pt>
                <c:pt idx="484">
                  <c:v>1370.38373069974</c:v>
                </c:pt>
                <c:pt idx="485">
                  <c:v>1374.8426870724</c:v>
                </c:pt>
                <c:pt idx="486">
                  <c:v>1379.19307935538</c:v>
                </c:pt>
                <c:pt idx="487">
                  <c:v>1383.43535075694</c:v>
                </c:pt>
                <c:pt idx="488">
                  <c:v>1387.5699319366</c:v>
                </c:pt>
                <c:pt idx="489">
                  <c:v>1391.59724123428</c:v>
                </c:pt>
                <c:pt idx="490">
                  <c:v>1395.51768489392</c:v>
                </c:pt>
                <c:pt idx="491">
                  <c:v>1399.33165728179</c:v>
                </c:pt>
                <c:pt idx="492">
                  <c:v>1403.03954110011</c:v>
                </c:pt>
                <c:pt idx="493">
                  <c:v>1406.64170759628</c:v>
                </c:pt>
                <c:pt idx="494">
                  <c:v>1410.13851676822</c:v>
                </c:pt>
                <c:pt idx="495">
                  <c:v>1413.53031756616</c:v>
                </c:pt>
                <c:pt idx="496">
                  <c:v>1416.81744809161</c:v>
                </c:pt>
                <c:pt idx="497">
                  <c:v>1420.00023579371</c:v>
                </c:pt>
                <c:pt idx="498">
                  <c:v>1423.0789976637</c:v>
                </c:pt>
                <c:pt idx="499">
                  <c:v>1426.05404042801</c:v>
                </c:pt>
                <c:pt idx="500">
                  <c:v>1428.92566074053</c:v>
                </c:pt>
                <c:pt idx="501">
                  <c:v>1431.69414537473</c:v>
                </c:pt>
                <c:pt idx="502">
                  <c:v>1434.35977141632</c:v>
                </c:pt>
                <c:pt idx="503">
                  <c:v>1436.92280645707</c:v>
                </c:pt>
                <c:pt idx="504">
                  <c:v>1439.38350879069</c:v>
                </c:pt>
                <c:pt idx="505">
                  <c:v>1441.74212761151</c:v>
                </c:pt>
                <c:pt idx="506">
                  <c:v>1443.99890321673</c:v>
                </c:pt>
                <c:pt idx="507">
                  <c:v>1446.15406721341</c:v>
                </c:pt>
                <c:pt idx="508">
                  <c:v>1448.20784273087</c:v>
                </c:pt>
                <c:pt idx="509">
                  <c:v>1450.1604446397</c:v>
                </c:pt>
                <c:pt idx="510">
                  <c:v>1452.01207977844</c:v>
                </c:pt>
                <c:pt idx="511">
                  <c:v>1453.76294718888</c:v>
                </c:pt>
                <c:pt idx="512">
                  <c:v>1455.41323836126</c:v>
                </c:pt>
                <c:pt idx="513">
                  <c:v>1456.96313749045</c:v>
                </c:pt>
                <c:pt idx="514">
                  <c:v>1458.41282174416</c:v>
                </c:pt>
                <c:pt idx="515">
                  <c:v>1459.7624615444</c:v>
                </c:pt>
                <c:pt idx="516">
                  <c:v>1461.01222086315</c:v>
                </c:pt>
                <c:pt idx="517">
                  <c:v>1462.16225753319</c:v>
                </c:pt>
                <c:pt idx="518">
                  <c:v>1463.21272357493</c:v>
                </c:pt>
                <c:pt idx="519">
                  <c:v>1464.16376553986</c:v>
                </c:pt>
                <c:pt idx="520">
                  <c:v>1465.01552487109</c:v>
                </c:pt>
                <c:pt idx="521">
                  <c:v>1465.76813828109</c:v>
                </c:pt>
                <c:pt idx="522">
                  <c:v>1466.42173814652</c:v>
                </c:pt>
                <c:pt idx="523">
                  <c:v>1466.97645291975</c:v>
                </c:pt>
                <c:pt idx="524">
                  <c:v>1467.43240755602</c:v>
                </c:pt>
                <c:pt idx="525">
                  <c:v>1467.78972395522</c:v>
                </c:pt>
                <c:pt idx="526">
                  <c:v>1468.04852141647</c:v>
                </c:pt>
                <c:pt idx="527">
                  <c:v>1468.20891710357</c:v>
                </c:pt>
                <c:pt idx="528">
                  <c:v>1468.27102651883</c:v>
                </c:pt>
                <c:pt idx="529">
                  <c:v>1468.23496398257</c:v>
                </c:pt>
                <c:pt idx="530">
                  <c:v>1468.10084311547</c:v>
                </c:pt>
                <c:pt idx="531">
                  <c:v>1467.86877732031</c:v>
                </c:pt>
                <c:pt idx="532">
                  <c:v>1467.53888026027</c:v>
                </c:pt>
                <c:pt idx="533">
                  <c:v>1467.11126633019</c:v>
                </c:pt>
                <c:pt idx="534">
                  <c:v>1466.58605111802</c:v>
                </c:pt>
                <c:pt idx="535">
                  <c:v>1465.96335185332</c:v>
                </c:pt>
                <c:pt idx="536">
                  <c:v>1465.2432878402</c:v>
                </c:pt>
                <c:pt idx="537">
                  <c:v>1464.42598087253</c:v>
                </c:pt>
                <c:pt idx="538">
                  <c:v>1463.51155562929</c:v>
                </c:pt>
                <c:pt idx="539">
                  <c:v>1462.50014004868</c:v>
                </c:pt>
                <c:pt idx="540">
                  <c:v>1461.39186567972</c:v>
                </c:pt>
                <c:pt idx="541">
                  <c:v>1460.18686801067</c:v>
                </c:pt>
                <c:pt idx="542">
                  <c:v>1458.88528677394</c:v>
                </c:pt>
                <c:pt idx="543">
                  <c:v>1457.48726622733</c:v>
                </c:pt>
                <c:pt idx="544">
                  <c:v>1455.99295541192</c:v>
                </c:pt>
                <c:pt idx="545">
                  <c:v>1454.40250838716</c:v>
                </c:pt>
                <c:pt idx="546">
                  <c:v>1452.71608444375</c:v>
                </c:pt>
                <c:pt idx="547">
                  <c:v>1450.93384829522</c:v>
                </c:pt>
                <c:pt idx="548">
                  <c:v>1449.0559702493</c:v>
                </c:pt>
                <c:pt idx="549">
                  <c:v>1447.08262635987</c:v>
                </c:pt>
                <c:pt idx="550">
                  <c:v>1445.01399856081</c:v>
                </c:pt>
                <c:pt idx="551">
                  <c:v>1442.85027478285</c:v>
                </c:pt>
                <c:pt idx="552">
                  <c:v>1440.59164905434</c:v>
                </c:pt>
                <c:pt idx="553">
                  <c:v>1438.23832158725</c:v>
                </c:pt>
                <c:pt idx="554">
                  <c:v>1435.79049884932</c:v>
                </c:pt>
                <c:pt idx="555">
                  <c:v>1433.24839362339</c:v>
                </c:pt>
                <c:pt idx="556">
                  <c:v>1430.61222505487</c:v>
                </c:pt>
                <c:pt idx="557">
                  <c:v>1427.88221868822</c:v>
                </c:pt>
                <c:pt idx="558">
                  <c:v>1425.05860649334</c:v>
                </c:pt>
                <c:pt idx="559">
                  <c:v>1422.14162688253</c:v>
                </c:pt>
                <c:pt idx="560">
                  <c:v>1419.13152471887</c:v>
                </c:pt>
                <c:pt idx="561">
                  <c:v>1416.0285513166</c:v>
                </c:pt>
                <c:pt idx="562">
                  <c:v>1412.83296443412</c:v>
                </c:pt>
                <c:pt idx="563">
                  <c:v>1409.54502826015</c:v>
                </c:pt>
                <c:pt idx="564">
                  <c:v>1406.16501339372</c:v>
                </c:pt>
                <c:pt idx="565">
                  <c:v>1402.69319681818</c:v>
                </c:pt>
                <c:pt idx="566">
                  <c:v>1399.12986186992</c:v>
                </c:pt>
                <c:pt idx="567">
                  <c:v>1395.47529820205</c:v>
                </c:pt>
                <c:pt idx="568">
                  <c:v>1391.72980174344</c:v>
                </c:pt>
                <c:pt idx="569">
                  <c:v>1387.89367465347</c:v>
                </c:pt>
                <c:pt idx="570">
                  <c:v>1383.96722527276</c:v>
                </c:pt>
                <c:pt idx="571">
                  <c:v>1379.95076807015</c:v>
                </c:pt>
                <c:pt idx="572">
                  <c:v>1375.84462358623</c:v>
                </c:pt>
                <c:pt idx="573">
                  <c:v>1371.64911837363</c:v>
                </c:pt>
                <c:pt idx="574">
                  <c:v>1367.36458493421</c:v>
                </c:pt>
                <c:pt idx="575">
                  <c:v>1362.99136165352</c:v>
                </c:pt>
                <c:pt idx="576">
                  <c:v>1358.52979273258</c:v>
                </c:pt>
                <c:pt idx="577">
                  <c:v>1353.98022811707</c:v>
                </c:pt>
                <c:pt idx="578">
                  <c:v>1349.34302342442</c:v>
                </c:pt>
                <c:pt idx="579">
                  <c:v>1344.6185398685</c:v>
                </c:pt>
                <c:pt idx="580">
                  <c:v>1339.80714418241</c:v>
                </c:pt>
                <c:pt idx="581">
                  <c:v>1334.90920853935</c:v>
                </c:pt>
                <c:pt idx="582">
                  <c:v>1329.92511047161</c:v>
                </c:pt>
                <c:pt idx="583">
                  <c:v>1324.85523278801</c:v>
                </c:pt>
                <c:pt idx="584">
                  <c:v>1319.69996348968</c:v>
                </c:pt>
                <c:pt idx="585">
                  <c:v>1314.4596956844</c:v>
                </c:pt>
                <c:pt idx="586">
                  <c:v>1309.1348274996</c:v>
                </c:pt>
                <c:pt idx="587">
                  <c:v>1303.72576199401</c:v>
                </c:pt>
                <c:pt idx="588">
                  <c:v>1298.23290706814</c:v>
                </c:pt>
                <c:pt idx="589">
                  <c:v>1292.65667537374</c:v>
                </c:pt>
                <c:pt idx="590">
                  <c:v>1286.99748422204</c:v>
                </c:pt>
                <c:pt idx="591">
                  <c:v>1281.25575549121</c:v>
                </c:pt>
                <c:pt idx="592">
                  <c:v>1275.43191553285</c:v>
                </c:pt>
                <c:pt idx="593">
                  <c:v>1269.52639507765</c:v>
                </c:pt>
                <c:pt idx="594">
                  <c:v>1263.53962914035</c:v>
                </c:pt>
                <c:pt idx="595">
                  <c:v>1257.472056924</c:v>
                </c:pt>
                <c:pt idx="596">
                  <c:v>1251.32412172357</c:v>
                </c:pt>
                <c:pt idx="597">
                  <c:v>1245.09627082908</c:v>
                </c:pt>
                <c:pt idx="598">
                  <c:v>1238.78895542813</c:v>
                </c:pt>
                <c:pt idx="599">
                  <c:v>1232.40263050806</c:v>
                </c:pt>
                <c:pt idx="600">
                  <c:v>1225.9377547577</c:v>
                </c:pt>
                <c:pt idx="601">
                  <c:v>1219.3947904688</c:v>
                </c:pt>
                <c:pt idx="602">
                  <c:v>1212.77420343716</c:v>
                </c:pt>
                <c:pt idx="603">
                  <c:v>1206.07646286358</c:v>
                </c:pt>
                <c:pt idx="604">
                  <c:v>1199.30204125453</c:v>
                </c:pt>
                <c:pt idx="605">
                  <c:v>1192.45141432287</c:v>
                </c:pt>
                <c:pt idx="606">
                  <c:v>1185.52506088827</c:v>
                </c:pt>
                <c:pt idx="607">
                  <c:v>1178.52346277779</c:v>
                </c:pt>
                <c:pt idx="608">
                  <c:v>1171.44710472639</c:v>
                </c:pt>
                <c:pt idx="609">
                  <c:v>1164.29647427745</c:v>
                </c:pt>
                <c:pt idx="610">
                  <c:v>1157.0720616835</c:v>
                </c:pt>
                <c:pt idx="611">
                  <c:v>1149.77435980699</c:v>
                </c:pt>
                <c:pt idx="612">
                  <c:v>1142.40386402133</c:v>
                </c:pt>
                <c:pt idx="613">
                  <c:v>1134.96107211209</c:v>
                </c:pt>
                <c:pt idx="614">
                  <c:v>1127.44648417848</c:v>
                </c:pt>
                <c:pt idx="615">
                  <c:v>1119.86060253517</c:v>
                </c:pt>
                <c:pt idx="616">
                  <c:v>1112.20393161441</c:v>
                </c:pt>
                <c:pt idx="617">
                  <c:v>1104.47697786853</c:v>
                </c:pt>
                <c:pt idx="618">
                  <c:v>1096.68024967288</c:v>
                </c:pt>
                <c:pt idx="619">
                  <c:v>1088.81425722916</c:v>
                </c:pt>
                <c:pt idx="620">
                  <c:v>1080.87951246934</c:v>
                </c:pt>
                <c:pt idx="621">
                  <c:v>1072.87652895995</c:v>
                </c:pt>
                <c:pt idx="622">
                  <c:v>1064.80582180704</c:v>
                </c:pt>
                <c:pt idx="623">
                  <c:v>1056.66790756166</c:v>
                </c:pt>
                <c:pt idx="624">
                  <c:v>1048.46330412594</c:v>
                </c:pt>
                <c:pt idx="625">
                  <c:v>1040.19253065983</c:v>
                </c:pt>
                <c:pt idx="626">
                  <c:v>1031.85610748854</c:v>
                </c:pt>
                <c:pt idx="627">
                  <c:v>1023.45455601056</c:v>
                </c:pt>
                <c:pt idx="628">
                  <c:v>1014.98839860653</c:v>
                </c:pt>
                <c:pt idx="629">
                  <c:v>1006.45815854882</c:v>
                </c:pt>
                <c:pt idx="630">
                  <c:v>997.864359911785</c:v>
                </c:pt>
                <c:pt idx="631">
                  <c:v>989.207527482981</c:v>
                </c:pt>
                <c:pt idx="632">
                  <c:v>980.488186675064</c:v>
                </c:pt>
                <c:pt idx="633">
                  <c:v>971.706863438598</c:v>
                </c:pt>
                <c:pt idx="634">
                  <c:v>962.864084175715</c:v>
                </c:pt>
                <c:pt idx="635">
                  <c:v>953.960375654654</c:v>
                </c:pt>
                <c:pt idx="636">
                  <c:v>944.996264925206</c:v>
                </c:pt>
                <c:pt idx="637">
                  <c:v>935.972279235095</c:v>
                </c:pt>
                <c:pt idx="638">
                  <c:v>926.888945947285</c:v>
                </c:pt>
                <c:pt idx="639">
                  <c:v>917.746792458262</c:v>
                </c:pt>
                <c:pt idx="640">
                  <c:v>908.546346117288</c:v>
                </c:pt>
                <c:pt idx="641">
                  <c:v>899.28813414665</c:v>
                </c:pt>
                <c:pt idx="642">
                  <c:v>889.972683562918</c:v>
                </c:pt>
                <c:pt idx="643">
                  <c:v>880.600521099227</c:v>
                </c:pt>
                <c:pt idx="644">
                  <c:v>871.172173128597</c:v>
                </c:pt>
                <c:pt idx="645">
                  <c:v>861.688165588304</c:v>
                </c:pt>
                <c:pt idx="646">
                  <c:v>852.149023905314</c:v>
                </c:pt>
                <c:pt idx="647">
                  <c:v>842.555272922789</c:v>
                </c:pt>
                <c:pt idx="648">
                  <c:v>832.907436827685</c:v>
                </c:pt>
                <c:pt idx="649">
                  <c:v>823.206039079432</c:v>
                </c:pt>
                <c:pt idx="650">
                  <c:v>813.451602339736</c:v>
                </c:pt>
                <c:pt idx="651">
                  <c:v>803.64464840348</c:v>
                </c:pt>
                <c:pt idx="652">
                  <c:v>793.785698130749</c:v>
                </c:pt>
                <c:pt idx="653">
                  <c:v>783.87527137999</c:v>
                </c:pt>
                <c:pt idx="654">
                  <c:v>773.913886942299</c:v>
                </c:pt>
                <c:pt idx="655">
                  <c:v>763.902062476848</c:v>
                </c:pt>
                <c:pt idx="656">
                  <c:v>753.840314447465</c:v>
                </c:pt>
                <c:pt idx="657">
                  <c:v>743.729158060357</c:v>
                </c:pt>
                <c:pt idx="658">
                  <c:v>733.569107202988</c:v>
                </c:pt>
                <c:pt idx="659">
                  <c:v>723.360674384119</c:v>
                </c:pt>
                <c:pt idx="660">
                  <c:v>713.104370674998</c:v>
                </c:pt>
                <c:pt idx="661">
                  <c:v>702.800705651723</c:v>
                </c:pt>
                <c:pt idx="662">
                  <c:v>692.450187338759</c:v>
                </c:pt>
                <c:pt idx="663">
                  <c:v>682.053322153623</c:v>
                </c:pt>
                <c:pt idx="664">
                  <c:v>671.610614852733</c:v>
                </c:pt>
                <c:pt idx="665">
                  <c:v>661.122568478419</c:v>
                </c:pt>
                <c:pt idx="666">
                  <c:v>650.589684307097</c:v>
                </c:pt>
                <c:pt idx="667">
                  <c:v>640.012461798606</c:v>
                </c:pt>
                <c:pt idx="668">
                  <c:v>629.391398546705</c:v>
                </c:pt>
                <c:pt idx="669">
                  <c:v>618.726990230722</c:v>
                </c:pt>
                <c:pt idx="670">
                  <c:v>608.019730568364</c:v>
                </c:pt>
                <c:pt idx="671">
                  <c:v>597.27011126967</c:v>
                </c:pt>
                <c:pt idx="672">
                  <c:v>586.478621992121</c:v>
                </c:pt>
                <c:pt idx="673">
                  <c:v>575.645750296878</c:v>
                </c:pt>
                <c:pt idx="674">
                  <c:v>564.771981606174</c:v>
                </c:pt>
                <c:pt idx="675">
                  <c:v>553.857799161824</c:v>
                </c:pt>
                <c:pt idx="676">
                  <c:v>542.903683984871</c:v>
                </c:pt>
                <c:pt idx="677">
                  <c:v>531.910114836345</c:v>
                </c:pt>
                <c:pt idx="678">
                  <c:v>520.877568179148</c:v>
                </c:pt>
                <c:pt idx="679">
                  <c:v>509.806518141028</c:v>
                </c:pt>
                <c:pt idx="680">
                  <c:v>498.697436478672</c:v>
                </c:pt>
                <c:pt idx="681">
                  <c:v>487.55079254288</c:v>
                </c:pt>
                <c:pt idx="682">
                  <c:v>476.367053244825</c:v>
                </c:pt>
                <c:pt idx="683">
                  <c:v>465.146683023392</c:v>
                </c:pt>
                <c:pt idx="684">
                  <c:v>453.890143813586</c:v>
                </c:pt>
                <c:pt idx="685">
                  <c:v>442.59789501599</c:v>
                </c:pt>
                <c:pt idx="686">
                  <c:v>431.270393467287</c:v>
                </c:pt>
                <c:pt idx="687">
                  <c:v>419.908093411806</c:v>
                </c:pt>
                <c:pt idx="688">
                  <c:v>408.511446474114</c:v>
                </c:pt>
                <c:pt idx="689">
                  <c:v>397.080901632617</c:v>
                </c:pt>
                <c:pt idx="690">
                  <c:v>385.616905194179</c:v>
                </c:pt>
                <c:pt idx="691">
                  <c:v>374.119900769733</c:v>
                </c:pt>
                <c:pt idx="692">
                  <c:v>362.59032925089</c:v>
                </c:pt>
                <c:pt idx="693">
                  <c:v>351.028628787522</c:v>
                </c:pt>
                <c:pt idx="694">
                  <c:v>339.43523476631</c:v>
                </c:pt>
                <c:pt idx="695">
                  <c:v>327.810579790254</c:v>
                </c:pt>
                <c:pt idx="696">
                  <c:v>316.155093659119</c:v>
                </c:pt>
                <c:pt idx="697">
                  <c:v>304.469203350827</c:v>
                </c:pt>
                <c:pt idx="698">
                  <c:v>292.753333003753</c:v>
                </c:pt>
                <c:pt idx="699">
                  <c:v>281.007903899948</c:v>
                </c:pt>
                <c:pt idx="700">
                  <c:v>269.233334449244</c:v>
                </c:pt>
                <c:pt idx="701">
                  <c:v>257.430040174258</c:v>
                </c:pt>
                <c:pt idx="702">
                  <c:v>245.598433696256</c:v>
                </c:pt>
                <c:pt idx="703">
                  <c:v>233.738924721883</c:v>
                </c:pt>
                <c:pt idx="704">
                  <c:v>221.851920030746</c:v>
                </c:pt>
                <c:pt idx="705">
                  <c:v>209.937823463824</c:v>
                </c:pt>
                <c:pt idx="706">
                  <c:v>197.997035912704</c:v>
                </c:pt>
                <c:pt idx="707">
                  <c:v>186.029955309629</c:v>
                </c:pt>
                <c:pt idx="708">
                  <c:v>174.03697661834</c:v>
                </c:pt>
                <c:pt idx="709">
                  <c:v>162.018491825703</c:v>
                </c:pt>
                <c:pt idx="710">
                  <c:v>149.97488993411</c:v>
                </c:pt>
                <c:pt idx="711">
                  <c:v>137.906556954638</c:v>
                </c:pt>
                <c:pt idx="712">
                  <c:v>125.813875900948</c:v>
                </c:pt>
                <c:pt idx="713">
                  <c:v>113.697226783927</c:v>
                </c:pt>
                <c:pt idx="714">
                  <c:v>101.55698660704</c:v>
                </c:pt>
                <c:pt idx="715">
                  <c:v>89.3935293623948</c:v>
                </c:pt>
                <c:pt idx="716">
                  <c:v>77.2072260275001</c:v>
                </c:pt>
                <c:pt idx="717">
                  <c:v>64.9984445627005</c:v>
                </c:pt>
                <c:pt idx="718">
                  <c:v>52.7675499092845</c:v>
                </c:pt>
                <c:pt idx="719">
                  <c:v>40.5149039882447</c:v>
                </c:pt>
                <c:pt idx="720">
                  <c:v>28.2408656996809</c:v>
                </c:pt>
                <c:pt idx="721">
                  <c:v>15.945790922833</c:v>
                </c:pt>
                <c:pt idx="722">
                  <c:v>3.63003251672989</c:v>
                </c:pt>
                <c:pt idx="723">
                  <c:v>-8.70605967855783</c:v>
                </c:pt>
                <c:pt idx="724">
                  <c:v>-8.71840586047211</c:v>
                </c:pt>
                <c:pt idx="725">
                  <c:v>-8.73075206220054</c:v>
                </c:pt>
                <c:pt idx="726">
                  <c:v>-8.74309828374276</c:v>
                </c:pt>
                <c:pt idx="727">
                  <c:v>-8.75544452509844</c:v>
                </c:pt>
                <c:pt idx="728">
                  <c:v>-8.76779078626723</c:v>
                </c:pt>
                <c:pt idx="729">
                  <c:v>-8.7801370672488</c:v>
                </c:pt>
                <c:pt idx="730">
                  <c:v>-8.79248336804279</c:v>
                </c:pt>
                <c:pt idx="731">
                  <c:v>-8.80482968864887</c:v>
                </c:pt>
                <c:pt idx="732">
                  <c:v>-8.8171760290667</c:v>
                </c:pt>
                <c:pt idx="733">
                  <c:v>-8.82952238929593</c:v>
                </c:pt>
                <c:pt idx="734">
                  <c:v>-8.84186876933622</c:v>
                </c:pt>
                <c:pt idx="735">
                  <c:v>-8.85421516918724</c:v>
                </c:pt>
                <c:pt idx="736">
                  <c:v>-8.86656158884864</c:v>
                </c:pt>
                <c:pt idx="737">
                  <c:v>-8.87890802832007</c:v>
                </c:pt>
                <c:pt idx="738">
                  <c:v>-8.8912544876012</c:v>
                </c:pt>
                <c:pt idx="739">
                  <c:v>-8.90360096669169</c:v>
                </c:pt>
                <c:pt idx="740">
                  <c:v>-8.91594746559119</c:v>
                </c:pt>
                <c:pt idx="741">
                  <c:v>-8.92829398429936</c:v>
                </c:pt>
                <c:pt idx="742">
                  <c:v>-8.94064052281587</c:v>
                </c:pt>
                <c:pt idx="743">
                  <c:v>-8.95298708114036</c:v>
                </c:pt>
                <c:pt idx="744">
                  <c:v>-8.9653336592725</c:v>
                </c:pt>
                <c:pt idx="745">
                  <c:v>-8.97768025721194</c:v>
                </c:pt>
                <c:pt idx="746">
                  <c:v>-8.99002687495835</c:v>
                </c:pt>
                <c:pt idx="747">
                  <c:v>-9.00237351251138</c:v>
                </c:pt>
                <c:pt idx="748">
                  <c:v>-9.0147201698707</c:v>
                </c:pt>
                <c:pt idx="749">
                  <c:v>-9.02706684703595</c:v>
                </c:pt>
                <c:pt idx="750">
                  <c:v>-9.0394135440068</c:v>
                </c:pt>
                <c:pt idx="751">
                  <c:v>-9.0517602607829</c:v>
                </c:pt>
                <c:pt idx="752">
                  <c:v>-9.06410699736392</c:v>
                </c:pt>
                <c:pt idx="753">
                  <c:v>-9.07645375374952</c:v>
                </c:pt>
                <c:pt idx="754">
                  <c:v>-9.08880052993934</c:v>
                </c:pt>
                <c:pt idx="755">
                  <c:v>-9.10114732593305</c:v>
                </c:pt>
                <c:pt idx="756">
                  <c:v>-9.11349414173032</c:v>
                </c:pt>
                <c:pt idx="757">
                  <c:v>-9.12584097733079</c:v>
                </c:pt>
                <c:pt idx="758">
                  <c:v>-9.13818783273412</c:v>
                </c:pt>
                <c:pt idx="759">
                  <c:v>-9.15053470793998</c:v>
                </c:pt>
                <c:pt idx="760">
                  <c:v>-9.16288160294802</c:v>
                </c:pt>
                <c:pt idx="761">
                  <c:v>-9.1752285177579</c:v>
                </c:pt>
                <c:pt idx="762">
                  <c:v>-9.18757545236928</c:v>
                </c:pt>
                <c:pt idx="763">
                  <c:v>-9.19992240678182</c:v>
                </c:pt>
                <c:pt idx="764">
                  <c:v>-9.21226938099518</c:v>
                </c:pt>
                <c:pt idx="765">
                  <c:v>-9.224616375009</c:v>
                </c:pt>
                <c:pt idx="766">
                  <c:v>-9.23696338882297</c:v>
                </c:pt>
                <c:pt idx="767">
                  <c:v>-9.24931042243672</c:v>
                </c:pt>
                <c:pt idx="768">
                  <c:v>-9.26165747584992</c:v>
                </c:pt>
                <c:pt idx="769">
                  <c:v>-9.27400454906223</c:v>
                </c:pt>
                <c:pt idx="770">
                  <c:v>-9.28635164207331</c:v>
                </c:pt>
                <c:pt idx="771">
                  <c:v>-9.29869875488282</c:v>
                </c:pt>
                <c:pt idx="772">
                  <c:v>-9.3110458874904</c:v>
                </c:pt>
                <c:pt idx="773">
                  <c:v>-9.32339303989573</c:v>
                </c:pt>
                <c:pt idx="774">
                  <c:v>-9.33574021209846</c:v>
                </c:pt>
                <c:pt idx="775">
                  <c:v>-9.34808740409825</c:v>
                </c:pt>
                <c:pt idx="776">
                  <c:v>-9.36043461589476</c:v>
                </c:pt>
                <c:pt idx="777">
                  <c:v>-9.37278184748765</c:v>
                </c:pt>
                <c:pt idx="778">
                  <c:v>-9.38512909887657</c:v>
                </c:pt>
                <c:pt idx="779">
                  <c:v>-9.39747637006118</c:v>
                </c:pt>
                <c:pt idx="780">
                  <c:v>-9.40982366104115</c:v>
                </c:pt>
                <c:pt idx="781">
                  <c:v>-9.42217097181612</c:v>
                </c:pt>
                <c:pt idx="782">
                  <c:v>-9.43451830238577</c:v>
                </c:pt>
                <c:pt idx="783">
                  <c:v>-9.44686565274974</c:v>
                </c:pt>
                <c:pt idx="784">
                  <c:v>-9.4592130229077</c:v>
                </c:pt>
                <c:pt idx="785">
                  <c:v>-9.4715604128593</c:v>
                </c:pt>
                <c:pt idx="786">
                  <c:v>-9.4839078226042</c:v>
                </c:pt>
                <c:pt idx="787">
                  <c:v>-9.49625525214207</c:v>
                </c:pt>
                <c:pt idx="788">
                  <c:v>-9.50860270147256</c:v>
                </c:pt>
                <c:pt idx="789">
                  <c:v>-9.52095017059532</c:v>
                </c:pt>
                <c:pt idx="790">
                  <c:v>-9.53329765951003</c:v>
                </c:pt>
                <c:pt idx="791">
                  <c:v>-9.54564516821633</c:v>
                </c:pt>
                <c:pt idx="792">
                  <c:v>-9.55799269671388</c:v>
                </c:pt>
                <c:pt idx="793">
                  <c:v>-9.57034024500235</c:v>
                </c:pt>
                <c:pt idx="794">
                  <c:v>-9.58268781308139</c:v>
                </c:pt>
                <c:pt idx="795">
                  <c:v>-9.59503540095066</c:v>
                </c:pt>
                <c:pt idx="796">
                  <c:v>-9.60738300860981</c:v>
                </c:pt>
                <c:pt idx="797">
                  <c:v>-9.61973063605852</c:v>
                </c:pt>
                <c:pt idx="798">
                  <c:v>-9.63207828329643</c:v>
                </c:pt>
                <c:pt idx="799">
                  <c:v>-9.6444259503232</c:v>
                </c:pt>
                <c:pt idx="800">
                  <c:v>-9.6567736371385</c:v>
                </c:pt>
                <c:pt idx="801">
                  <c:v>-9.66912134374197</c:v>
                </c:pt>
                <c:pt idx="802">
                  <c:v>-9.68146907013329</c:v>
                </c:pt>
                <c:pt idx="803">
                  <c:v>-9.69381681631211</c:v>
                </c:pt>
                <c:pt idx="804">
                  <c:v>-9.70616458227809</c:v>
                </c:pt>
                <c:pt idx="805">
                  <c:v>-9.71851236803088</c:v>
                </c:pt>
                <c:pt idx="806">
                  <c:v>-9.73086017357014</c:v>
                </c:pt>
                <c:pt idx="807">
                  <c:v>-9.74320799889554</c:v>
                </c:pt>
                <c:pt idx="808">
                  <c:v>-9.75555584400673</c:v>
                </c:pt>
                <c:pt idx="809">
                  <c:v>-9.76790370890337</c:v>
                </c:pt>
                <c:pt idx="810">
                  <c:v>-9.78025159358512</c:v>
                </c:pt>
                <c:pt idx="811">
                  <c:v>-9.79259949805163</c:v>
                </c:pt>
                <c:pt idx="812">
                  <c:v>-9.80494742230258</c:v>
                </c:pt>
                <c:pt idx="813">
                  <c:v>-9.8172953663376</c:v>
                </c:pt>
                <c:pt idx="814">
                  <c:v>-9.82964333015637</c:v>
                </c:pt>
                <c:pt idx="815">
                  <c:v>-9.84199131375855</c:v>
                </c:pt>
                <c:pt idx="816">
                  <c:v>-9.85433931714378</c:v>
                </c:pt>
                <c:pt idx="817">
                  <c:v>-9.86668734031173</c:v>
                </c:pt>
                <c:pt idx="818">
                  <c:v>-9.87903538326206</c:v>
                </c:pt>
                <c:pt idx="819">
                  <c:v>-9.89138344599443</c:v>
                </c:pt>
                <c:pt idx="820">
                  <c:v>-9.90373152850849</c:v>
                </c:pt>
                <c:pt idx="821">
                  <c:v>-9.9160796308039</c:v>
                </c:pt>
                <c:pt idx="822">
                  <c:v>-9.92842775288033</c:v>
                </c:pt>
                <c:pt idx="823">
                  <c:v>-9.94077589473742</c:v>
                </c:pt>
                <c:pt idx="824">
                  <c:v>-9.95312405637485</c:v>
                </c:pt>
                <c:pt idx="825">
                  <c:v>-9.96547223779227</c:v>
                </c:pt>
                <c:pt idx="826">
                  <c:v>-9.97782043898933</c:v>
                </c:pt>
                <c:pt idx="827">
                  <c:v>-9.9901686599657</c:v>
                </c:pt>
                <c:pt idx="828">
                  <c:v>-10.002516900721</c:v>
                </c:pt>
                <c:pt idx="829">
                  <c:v>-10.014865161255</c:v>
                </c:pt>
                <c:pt idx="830">
                  <c:v>-10.0272134415672</c:v>
                </c:pt>
                <c:pt idx="831">
                  <c:v>-10.0395617416574</c:v>
                </c:pt>
                <c:pt idx="832">
                  <c:v>-10.0519100615252</c:v>
                </c:pt>
                <c:pt idx="833">
                  <c:v>-10.0642584011702</c:v>
                </c:pt>
                <c:pt idx="834">
                  <c:v>-10.0766067605922</c:v>
                </c:pt>
                <c:pt idx="835">
                  <c:v>-10.0889551397907</c:v>
                </c:pt>
                <c:pt idx="836">
                  <c:v>-10.1013035387655</c:v>
                </c:pt>
                <c:pt idx="837">
                  <c:v>-10.1136519575161</c:v>
                </c:pt>
                <c:pt idx="838">
                  <c:v>-10.1260003960423</c:v>
                </c:pt>
                <c:pt idx="839">
                  <c:v>-10.1383488543437</c:v>
                </c:pt>
                <c:pt idx="840">
                  <c:v>-10.15069733242</c:v>
                </c:pt>
                <c:pt idx="841">
                  <c:v>-10.1630458302708</c:v>
                </c:pt>
                <c:pt idx="842">
                  <c:v>-10.1753943478958</c:v>
                </c:pt>
                <c:pt idx="843">
                  <c:v>-10.1877428852946</c:v>
                </c:pt>
                <c:pt idx="844">
                  <c:v>-10.200091442467</c:v>
                </c:pt>
                <c:pt idx="845">
                  <c:v>-10.2124400194125</c:v>
                </c:pt>
                <c:pt idx="846">
                  <c:v>-10.2247886161308</c:v>
                </c:pt>
                <c:pt idx="847">
                  <c:v>-10.2371372326216</c:v>
                </c:pt>
                <c:pt idx="848">
                  <c:v>-10.2494858688846</c:v>
                </c:pt>
                <c:pt idx="849">
                  <c:v>-10.2618345249193</c:v>
                </c:pt>
                <c:pt idx="850">
                  <c:v>-10.2741832007255</c:v>
                </c:pt>
                <c:pt idx="851">
                  <c:v>-10.2865318963028</c:v>
                </c:pt>
                <c:pt idx="852">
                  <c:v>-10.2988806116509</c:v>
                </c:pt>
                <c:pt idx="853">
                  <c:v>-10.3112293467694</c:v>
                </c:pt>
                <c:pt idx="854">
                  <c:v>-10.323578101658</c:v>
                </c:pt>
                <c:pt idx="855">
                  <c:v>-10.3359268763164</c:v>
                </c:pt>
                <c:pt idx="856">
                  <c:v>-10.3482756707441</c:v>
                </c:pt>
                <c:pt idx="857">
                  <c:v>-10.3606244849409</c:v>
                </c:pt>
                <c:pt idx="858">
                  <c:v>-10.3729733189065</c:v>
                </c:pt>
                <c:pt idx="859">
                  <c:v>-10.3853221726404</c:v>
                </c:pt>
                <c:pt idx="860">
                  <c:v>-10.3976710461424</c:v>
                </c:pt>
                <c:pt idx="861">
                  <c:v>-10.4100199394121</c:v>
                </c:pt>
                <c:pt idx="862">
                  <c:v>-10.4223688524491</c:v>
                </c:pt>
                <c:pt idx="863">
                  <c:v>-10.4347177852532</c:v>
                </c:pt>
                <c:pt idx="864">
                  <c:v>-10.4470667378239</c:v>
                </c:pt>
                <c:pt idx="865">
                  <c:v>-10.459415710161</c:v>
                </c:pt>
                <c:pt idx="866">
                  <c:v>-10.4717647022641</c:v>
                </c:pt>
                <c:pt idx="867">
                  <c:v>-10.4841137141328</c:v>
                </c:pt>
                <c:pt idx="868">
                  <c:v>-10.4964627457668</c:v>
                </c:pt>
                <c:pt idx="869">
                  <c:v>-10.5088117971659</c:v>
                </c:pt>
                <c:pt idx="870">
                  <c:v>-10.5211608683295</c:v>
                </c:pt>
                <c:pt idx="871">
                  <c:v>-10.5335099592574</c:v>
                </c:pt>
                <c:pt idx="872">
                  <c:v>-10.5458590699493</c:v>
                </c:pt>
                <c:pt idx="873">
                  <c:v>-10.5582082004048</c:v>
                </c:pt>
                <c:pt idx="874">
                  <c:v>-10.5705573506236</c:v>
                </c:pt>
                <c:pt idx="875">
                  <c:v>-10.5829065206052</c:v>
                </c:pt>
                <c:pt idx="876">
                  <c:v>-10.5952557103495</c:v>
                </c:pt>
                <c:pt idx="877">
                  <c:v>-10.607604919856</c:v>
                </c:pt>
                <c:pt idx="878">
                  <c:v>-10.6199541491244</c:v>
                </c:pt>
                <c:pt idx="879">
                  <c:v>-10.6323033981544</c:v>
                </c:pt>
                <c:pt idx="880">
                  <c:v>-10.6446526669455</c:v>
                </c:pt>
                <c:pt idx="881">
                  <c:v>-10.6570019554976</c:v>
                </c:pt>
                <c:pt idx="882">
                  <c:v>-10.6693512638102</c:v>
                </c:pt>
                <c:pt idx="883">
                  <c:v>-10.681700591883</c:v>
                </c:pt>
                <c:pt idx="884">
                  <c:v>-10.6940499397156</c:v>
                </c:pt>
                <c:pt idx="885">
                  <c:v>-10.7063993073078</c:v>
                </c:pt>
                <c:pt idx="886">
                  <c:v>-10.7187486946591</c:v>
                </c:pt>
                <c:pt idx="887">
                  <c:v>-10.7310981017693</c:v>
                </c:pt>
                <c:pt idx="888">
                  <c:v>-10.7434475286379</c:v>
                </c:pt>
                <c:pt idx="889">
                  <c:v>-10.7557969752647</c:v>
                </c:pt>
                <c:pt idx="890">
                  <c:v>-10.7681464416493</c:v>
                </c:pt>
                <c:pt idx="891">
                  <c:v>-10.7804959277914</c:v>
                </c:pt>
                <c:pt idx="892">
                  <c:v>-10.7928454336906</c:v>
                </c:pt>
                <c:pt idx="893">
                  <c:v>-10.8051949593466</c:v>
                </c:pt>
                <c:pt idx="894">
                  <c:v>-10.817544504759</c:v>
                </c:pt>
                <c:pt idx="895">
                  <c:v>-10.8298940699275</c:v>
                </c:pt>
                <c:pt idx="896">
                  <c:v>-10.8422436548518</c:v>
                </c:pt>
                <c:pt idx="897">
                  <c:v>-10.8545932595315</c:v>
                </c:pt>
                <c:pt idx="898">
                  <c:v>-10.8669428839663</c:v>
                </c:pt>
                <c:pt idx="899">
                  <c:v>-10.8792925281558</c:v>
                </c:pt>
                <c:pt idx="900">
                  <c:v>-10.8916421920997</c:v>
                </c:pt>
                <c:pt idx="901">
                  <c:v>-10.9039918757977</c:v>
                </c:pt>
                <c:pt idx="902">
                  <c:v>-10.9163415792494</c:v>
                </c:pt>
                <c:pt idx="903">
                  <c:v>-10.9286913024544</c:v>
                </c:pt>
                <c:pt idx="904">
                  <c:v>-10.9410410454125</c:v>
                </c:pt>
                <c:pt idx="905">
                  <c:v>-10.9533908081233</c:v>
                </c:pt>
                <c:pt idx="906">
                  <c:v>-10.9657405905864</c:v>
                </c:pt>
                <c:pt idx="907">
                  <c:v>-10.9780903928015</c:v>
                </c:pt>
                <c:pt idx="908">
                  <c:v>-10.9904402147683</c:v>
                </c:pt>
                <c:pt idx="909">
                  <c:v>-11.0027900564865</c:v>
                </c:pt>
                <c:pt idx="910">
                  <c:v>-11.0151399179556</c:v>
                </c:pt>
                <c:pt idx="911">
                  <c:v>-11.0274897991753</c:v>
                </c:pt>
                <c:pt idx="912">
                  <c:v>-11.0398397001454</c:v>
                </c:pt>
                <c:pt idx="913">
                  <c:v>-11.0521896208654</c:v>
                </c:pt>
                <c:pt idx="914">
                  <c:v>-11.064539561335</c:v>
                </c:pt>
                <c:pt idx="915">
                  <c:v>-11.0768895215539</c:v>
                </c:pt>
                <c:pt idx="916">
                  <c:v>-11.0892395015218</c:v>
                </c:pt>
                <c:pt idx="917">
                  <c:v>-11.1015895012382</c:v>
                </c:pt>
                <c:pt idx="918">
                  <c:v>-11.1139395207029</c:v>
                </c:pt>
                <c:pt idx="919">
                  <c:v>-11.1262895599156</c:v>
                </c:pt>
                <c:pt idx="920">
                  <c:v>-11.1386396188757</c:v>
                </c:pt>
                <c:pt idx="921">
                  <c:v>-11.1509896975832</c:v>
                </c:pt>
                <c:pt idx="922">
                  <c:v>-11.1633397960375</c:v>
                </c:pt>
                <c:pt idx="923">
                  <c:v>-11.1756899142384</c:v>
                </c:pt>
                <c:pt idx="924">
                  <c:v>-11.1880400521854</c:v>
                </c:pt>
                <c:pt idx="925">
                  <c:v>-11.2003902098784</c:v>
                </c:pt>
                <c:pt idx="926">
                  <c:v>-11.2127403873169</c:v>
                </c:pt>
                <c:pt idx="927">
                  <c:v>-11.2250905845005</c:v>
                </c:pt>
                <c:pt idx="928">
                  <c:v>-11.237440801429</c:v>
                </c:pt>
                <c:pt idx="929">
                  <c:v>-11.249791038102</c:v>
                </c:pt>
                <c:pt idx="930">
                  <c:v>-11.2621412945192</c:v>
                </c:pt>
                <c:pt idx="931">
                  <c:v>-11.2744915706802</c:v>
                </c:pt>
                <c:pt idx="932">
                  <c:v>-11.2868418665847</c:v>
                </c:pt>
                <c:pt idx="933">
                  <c:v>-11.2991921822323</c:v>
                </c:pt>
                <c:pt idx="934">
                  <c:v>-11.3115425176227</c:v>
                </c:pt>
                <c:pt idx="935">
                  <c:v>-11.3238928727556</c:v>
                </c:pt>
                <c:pt idx="936">
                  <c:v>-11.3362432476306</c:v>
                </c:pt>
                <c:pt idx="937">
                  <c:v>-11.3485936422473</c:v>
                </c:pt>
                <c:pt idx="938">
                  <c:v>-11.3609440566055</c:v>
                </c:pt>
                <c:pt idx="939">
                  <c:v>-11.3732944907048</c:v>
                </c:pt>
                <c:pt idx="940">
                  <c:v>-11.3856449445449</c:v>
                </c:pt>
                <c:pt idx="941">
                  <c:v>-11.3979954181254</c:v>
                </c:pt>
                <c:pt idx="942">
                  <c:v>-11.4103459114459</c:v>
                </c:pt>
                <c:pt idx="943">
                  <c:v>-11.4226964245061</c:v>
                </c:pt>
                <c:pt idx="944">
                  <c:v>-11.4350469573058</c:v>
                </c:pt>
                <c:pt idx="945">
                  <c:v>-11.4473975098445</c:v>
                </c:pt>
                <c:pt idx="946">
                  <c:v>-11.4597480821219</c:v>
                </c:pt>
                <c:pt idx="947">
                  <c:v>-11.4720986741377</c:v>
                </c:pt>
                <c:pt idx="948">
                  <c:v>-11.4844492858915</c:v>
                </c:pt>
                <c:pt idx="949">
                  <c:v>-11.496799917383</c:v>
                </c:pt>
                <c:pt idx="950">
                  <c:v>-11.5091505686118</c:v>
                </c:pt>
                <c:pt idx="951">
                  <c:v>-11.5215012395776</c:v>
                </c:pt>
                <c:pt idx="952">
                  <c:v>-11.5338519302801</c:v>
                </c:pt>
                <c:pt idx="953">
                  <c:v>-11.5462026407189</c:v>
                </c:pt>
                <c:pt idx="954">
                  <c:v>-11.5585533708937</c:v>
                </c:pt>
                <c:pt idx="955">
                  <c:v>-11.5709041208041</c:v>
                </c:pt>
                <c:pt idx="956">
                  <c:v>-11.5832548904498</c:v>
                </c:pt>
                <c:pt idx="957">
                  <c:v>-11.5956056798305</c:v>
                </c:pt>
                <c:pt idx="958">
                  <c:v>-11.6079564889458</c:v>
                </c:pt>
                <c:pt idx="959">
                  <c:v>-11.6203073177954</c:v>
                </c:pt>
                <c:pt idx="960">
                  <c:v>-11.6326581663789</c:v>
                </c:pt>
                <c:pt idx="961">
                  <c:v>-11.645009034696</c:v>
                </c:pt>
                <c:pt idx="962">
                  <c:v>-11.6573599227463</c:v>
                </c:pt>
                <c:pt idx="963">
                  <c:v>-11.6697108305296</c:v>
                </c:pt>
                <c:pt idx="964">
                  <c:v>-11.6820617580454</c:v>
                </c:pt>
                <c:pt idx="965">
                  <c:v>-11.6944127052935</c:v>
                </c:pt>
                <c:pt idx="966">
                  <c:v>-11.7067636722734</c:v>
                </c:pt>
                <c:pt idx="967">
                  <c:v>-11.7191146589849</c:v>
                </c:pt>
                <c:pt idx="968">
                  <c:v>-11.7314656654276</c:v>
                </c:pt>
                <c:pt idx="969">
                  <c:v>-11.7438166916012</c:v>
                </c:pt>
                <c:pt idx="970">
                  <c:v>-11.7561677375053</c:v>
                </c:pt>
                <c:pt idx="971">
                  <c:v>-11.7685188031395</c:v>
                </c:pt>
                <c:pt idx="972">
                  <c:v>-11.7808698885037</c:v>
                </c:pt>
                <c:pt idx="973">
                  <c:v>-11.7932209935973</c:v>
                </c:pt>
                <c:pt idx="974">
                  <c:v>-11.80557211842</c:v>
                </c:pt>
                <c:pt idx="975">
                  <c:v>-11.8179232629716</c:v>
                </c:pt>
                <c:pt idx="976">
                  <c:v>-11.8302744272517</c:v>
                </c:pt>
                <c:pt idx="977">
                  <c:v>-11.8426256112599</c:v>
                </c:pt>
                <c:pt idx="978">
                  <c:v>-11.8549768149959</c:v>
                </c:pt>
                <c:pt idx="979">
                  <c:v>-11.8673280384594</c:v>
                </c:pt>
                <c:pt idx="980">
                  <c:v>-11.87967928165</c:v>
                </c:pt>
                <c:pt idx="981">
                  <c:v>-11.8920305445673</c:v>
                </c:pt>
                <c:pt idx="982">
                  <c:v>-11.9043818272111</c:v>
                </c:pt>
                <c:pt idx="983">
                  <c:v>-11.916733129581</c:v>
                </c:pt>
                <c:pt idx="984">
                  <c:v>-11.9290844516766</c:v>
                </c:pt>
                <c:pt idx="985">
                  <c:v>-11.9414357934977</c:v>
                </c:pt>
                <c:pt idx="986">
                  <c:v>-11.9537871550438</c:v>
                </c:pt>
                <c:pt idx="987">
                  <c:v>-11.9661385363146</c:v>
                </c:pt>
                <c:pt idx="988">
                  <c:v>-11.9784899373099</c:v>
                </c:pt>
                <c:pt idx="989">
                  <c:v>-11.9908413580292</c:v>
                </c:pt>
                <c:pt idx="990">
                  <c:v>-12.0031927984721</c:v>
                </c:pt>
                <c:pt idx="991">
                  <c:v>-12.0155442586385</c:v>
                </c:pt>
                <c:pt idx="992">
                  <c:v>-12.0278957385279</c:v>
                </c:pt>
                <c:pt idx="993">
                  <c:v>-12.0402472381399</c:v>
                </c:pt>
                <c:pt idx="994">
                  <c:v>-12.0525987574743</c:v>
                </c:pt>
                <c:pt idx="995">
                  <c:v>-12.0649502965307</c:v>
                </c:pt>
                <c:pt idx="996">
                  <c:v>-12.0773018553088</c:v>
                </c:pt>
                <c:pt idx="997">
                  <c:v>-12.0896534338082</c:v>
                </c:pt>
                <c:pt idx="998">
                  <c:v>-12.1020050320286</c:v>
                </c:pt>
                <c:pt idx="999">
                  <c:v>-12.1143566499696</c:v>
                </c:pt>
                <c:pt idx="1000">
                  <c:v>-12.1267082876309</c:v>
                </c:pt>
              </c:numCache>
            </c:numRef>
          </c:yVal>
          <c:smooth val="1"/>
        </c:ser>
        <c:ser>
          <c:idx val="3"/>
          <c:order val="3"/>
          <c:tx>
            <c:strRef>
              <c:f>Trajecto!$B$109</c:f>
              <c:strCache>
                <c:ptCount val="1"/>
                <c:pt idx="0">
                  <c:v/>
                </c:pt>
              </c:strCache>
            </c:strRef>
          </c:tx>
          <c:spPr>
            <a:solidFill>
              <a:srgbClr val="ff6600"/>
            </a:solidFill>
            <a:ln w="25560">
              <a:solidFill>
                <a:srgbClr val="ff6600"/>
              </a:solidFill>
              <a:round/>
            </a:ln>
          </c:spPr>
          <c:marker>
            <c:symbol val="none"/>
          </c:marker>
          <c:dPt>
            <c:idx val="1"/>
            <c:marker>
              <c:symbol val="none"/>
            </c:marker>
          </c:dPt>
          <c:dLbls>
            <c:dLbl>
              <c:idx val="1"/>
              <c:txPr>
                <a:bodyPr wrap="square"/>
                <a:lstStyle/>
                <a:p>
                  <a:pPr>
                    <a:defRPr b="1" sz="700" spc="-1" strike="noStrike">
                      <a:solidFill>
                        <a:srgbClr val="ff66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Trajecto!$B$140:$B$146</c:f>
              <c:numCache>
                <c:formatCode>General</c:formatCode>
                <c:ptCount val="7"/>
                <c:pt idx="0">
                  <c:v>0</c:v>
                </c:pt>
                <c:pt idx="1">
                  <c:v>0</c:v>
                </c:pt>
                <c:pt idx="2">
                  <c:v>0</c:v>
                </c:pt>
                <c:pt idx="3">
                  <c:v>0</c:v>
                </c:pt>
                <c:pt idx="4">
                  <c:v>0</c:v>
                </c:pt>
                <c:pt idx="5">
                  <c:v>0</c:v>
                </c:pt>
                <c:pt idx="6">
                  <c:v>0</c:v>
                </c:pt>
              </c:numCache>
            </c:numRef>
          </c:xVal>
          <c:yVal>
            <c:numRef>
              <c:f>Trajecto!$C$138:$C$144</c:f>
              <c:numCache>
                <c:formatCode>General</c:formatCode>
                <c:ptCount val="7"/>
                <c:pt idx="0">
                  <c:v>0</c:v>
                </c:pt>
                <c:pt idx="1">
                  <c:v>0</c:v>
                </c:pt>
                <c:pt idx="2">
                  <c:v>0</c:v>
                </c:pt>
                <c:pt idx="3">
                  <c:v>0</c:v>
                </c:pt>
                <c:pt idx="4">
                  <c:v>0</c:v>
                </c:pt>
                <c:pt idx="5">
                  <c:v>0</c:v>
                </c:pt>
                <c:pt idx="6">
                  <c:v>0</c:v>
                </c:pt>
              </c:numCache>
            </c:numRef>
          </c:yVal>
          <c:smooth val="1"/>
        </c:ser>
        <c:ser>
          <c:idx val="4"/>
          <c:order val="4"/>
          <c:tx>
            <c:strRef>
              <c:f>Trajecto!$B$106</c:f>
              <c:strCache>
                <c:ptCount val="1"/>
                <c:pt idx="0">
                  <c:v>Phase ascendante</c:v>
                </c:pt>
              </c:strCache>
            </c:strRef>
          </c:tx>
          <c:spPr>
            <a:solidFill>
              <a:srgbClr val="000080"/>
            </a:solidFill>
            <a:ln w="25560">
              <a:solidFill>
                <a:srgbClr val="00008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Calculs!$J$4:$J$1004</c:f>
              <c:numCache>
                <c:formatCode>General</c:formatCode>
                <c:ptCount val="1001"/>
                <c:pt idx="0">
                  <c:v>0</c:v>
                </c:pt>
                <c:pt idx="1">
                  <c:v>8.30156361478988E-006</c:v>
                </c:pt>
                <c:pt idx="2">
                  <c:v>0.000217614475849965</c:v>
                </c:pt>
                <c:pt idx="3">
                  <c:v>0.000996863103219984</c:v>
                </c:pt>
                <c:pt idx="4">
                  <c:v>0.00271524568320063</c:v>
                </c:pt>
                <c:pt idx="5">
                  <c:v>0.00574234949463947</c:v>
                </c:pt>
                <c:pt idx="6">
                  <c:v>0.0103547686078428</c:v>
                </c:pt>
                <c:pt idx="7">
                  <c:v>0.0166424784455426</c:v>
                </c:pt>
                <c:pt idx="8">
                  <c:v>0.024602041888126</c:v>
                </c:pt>
                <c:pt idx="9">
                  <c:v>0.0342300014564965</c:v>
                </c:pt>
                <c:pt idx="10">
                  <c:v>0.0455228793833773</c:v>
                </c:pt>
                <c:pt idx="11">
                  <c:v>0.0584771776855138</c:v>
                </c:pt>
                <c:pt idx="12">
                  <c:v>0.073089378236769</c:v>
                </c:pt>
                <c:pt idx="13">
                  <c:v>0.0893559428421045</c:v>
                </c:pt>
                <c:pt idx="14">
                  <c:v>0.107273313312441</c:v>
                </c:pt>
                <c:pt idx="15">
                  <c:v>0.126837911540392</c:v>
                </c:pt>
                <c:pt idx="16">
                  <c:v>0.148046139576862</c:v>
                </c:pt>
                <c:pt idx="17">
                  <c:v>0.170894379708506</c:v>
                </c:pt>
                <c:pt idx="18">
                  <c:v>0.195378994536035</c:v>
                </c:pt>
                <c:pt idx="19">
                  <c:v>0.221496327053377</c:v>
                </c:pt>
                <c:pt idx="20">
                  <c:v>0.249242700727663</c:v>
                </c:pt>
                <c:pt idx="21">
                  <c:v>0.278614419580052</c:v>
                </c:pt>
                <c:pt idx="22">
                  <c:v>0.309607768267376</c:v>
                </c:pt>
                <c:pt idx="23">
                  <c:v>0.342219012164602</c:v>
                </c:pt>
                <c:pt idx="24">
                  <c:v>0.376444397448095</c:v>
                </c:pt>
                <c:pt idx="25">
                  <c:v>0.412280151179696</c:v>
                </c:pt>
                <c:pt idx="26">
                  <c:v>0.449722481391577</c:v>
                </c:pt>
                <c:pt idx="27">
                  <c:v>0.488767577171891</c:v>
                </c:pt>
                <c:pt idx="28">
                  <c:v>0.529411608751195</c:v>
                </c:pt>
                <c:pt idx="29">
                  <c:v>0.571650727589643</c:v>
                </c:pt>
                <c:pt idx="30">
                  <c:v>0.615481066464944</c:v>
                </c:pt>
                <c:pt idx="31">
                  <c:v>0.660898739561065</c:v>
                </c:pt>
                <c:pt idx="32">
                  <c:v>0.70789984255769</c:v>
                </c:pt>
                <c:pt idx="33">
                  <c:v>0.756564375617165</c:v>
                </c:pt>
                <c:pt idx="34">
                  <c:v>0.806975233441316</c:v>
                </c:pt>
                <c:pt idx="35">
                  <c:v>0.859134232680584</c:v>
                </c:pt>
                <c:pt idx="36">
                  <c:v>0.91304303213357</c:v>
                </c:pt>
                <c:pt idx="37">
                  <c:v>0.968703097550777</c:v>
                </c:pt>
                <c:pt idx="38">
                  <c:v>1.02611571102363</c:v>
                </c:pt>
                <c:pt idx="39">
                  <c:v>1.08528197960223</c:v>
                </c:pt>
                <c:pt idx="40">
                  <c:v>1.14620284322594</c:v>
                </c:pt>
                <c:pt idx="41">
                  <c:v>1.20887908203956</c:v>
                </c:pt>
                <c:pt idx="42">
                  <c:v>1.27331132315857</c:v>
                </c:pt>
                <c:pt idx="43">
                  <c:v>1.33950004693881</c:v>
                </c:pt>
                <c:pt idx="44">
                  <c:v>1.40744559279911</c:v>
                </c:pt>
                <c:pt idx="45">
                  <c:v>1.47714816463969</c:v>
                </c:pt>
                <c:pt idx="46">
                  <c:v>1.548607835894</c:v>
                </c:pt>
                <c:pt idx="47">
                  <c:v>1.62182455424745</c:v>
                </c:pt>
                <c:pt idx="48">
                  <c:v>1.69679814605269</c:v>
                </c:pt>
                <c:pt idx="49">
                  <c:v>1.77352832046779</c:v>
                </c:pt>
                <c:pt idx="50">
                  <c:v>1.85201467334113</c:v>
                </c:pt>
                <c:pt idx="51">
                  <c:v>1.93225720846631</c:v>
                </c:pt>
                <c:pt idx="52">
                  <c:v>2.01425686276862</c:v>
                </c:pt>
                <c:pt idx="53">
                  <c:v>2.09801499735053</c:v>
                </c:pt>
                <c:pt idx="54">
                  <c:v>2.18353288403846</c:v>
                </c:pt>
                <c:pt idx="55">
                  <c:v>2.27081170794099</c:v>
                </c:pt>
                <c:pt idx="56">
                  <c:v>2.35985256987081</c:v>
                </c:pt>
                <c:pt idx="57">
                  <c:v>2.45065648864015</c:v>
                </c:pt>
                <c:pt idx="58">
                  <c:v>2.54322440323873</c:v>
                </c:pt>
                <c:pt idx="59">
                  <c:v>2.63755717490247</c:v>
                </c:pt>
                <c:pt idx="60">
                  <c:v>2.73365558908039</c:v>
                </c:pt>
                <c:pt idx="61">
                  <c:v>2.83152035730658</c:v>
                </c:pt>
                <c:pt idx="62">
                  <c:v>2.93115211898356</c:v>
                </c:pt>
                <c:pt idx="63">
                  <c:v>3.03255144308287</c:v>
                </c:pt>
                <c:pt idx="64">
                  <c:v>3.13571882976802</c:v>
                </c:pt>
                <c:pt idx="65">
                  <c:v>3.24065471194493</c:v>
                </c:pt>
                <c:pt idx="66">
                  <c:v>3.34735945674429</c:v>
                </c:pt>
                <c:pt idx="67">
                  <c:v>3.45583336693989</c:v>
                </c:pt>
                <c:pt idx="68">
                  <c:v>3.56607668230703</c:v>
                </c:pt>
                <c:pt idx="69">
                  <c:v>3.67808958092436</c:v>
                </c:pt>
                <c:pt idx="70">
                  <c:v>3.79187218042262</c:v>
                </c:pt>
                <c:pt idx="71">
                  <c:v>3.90742453918325</c:v>
                </c:pt>
                <c:pt idx="72">
                  <c:v>4.02474665748977</c:v>
                </c:pt>
                <c:pt idx="73">
                  <c:v>4.14383847863462</c:v>
                </c:pt>
                <c:pt idx="74">
                  <c:v>4.26469988998389</c:v>
                </c:pt>
                <c:pt idx="75">
                  <c:v>4.38733072400225</c:v>
                </c:pt>
                <c:pt idx="76">
                  <c:v>4.51173075924024</c:v>
                </c:pt>
                <c:pt idx="77">
                  <c:v>4.63789972128595</c:v>
                </c:pt>
                <c:pt idx="78">
                  <c:v>4.76583728368293</c:v>
                </c:pt>
                <c:pt idx="79">
                  <c:v>4.89554306881612</c:v>
                </c:pt>
                <c:pt idx="80">
                  <c:v>5.02701664876743</c:v>
                </c:pt>
                <c:pt idx="81">
                  <c:v>5.16025754614249</c:v>
                </c:pt>
                <c:pt idx="82">
                  <c:v>5.29526523487008</c:v>
                </c:pt>
                <c:pt idx="83">
                  <c:v>5.43203914097554</c:v>
                </c:pt>
                <c:pt idx="84">
                  <c:v>5.5705786433294</c:v>
                </c:pt>
                <c:pt idx="85">
                  <c:v>5.71088307437261</c:v>
                </c:pt>
                <c:pt idx="86">
                  <c:v>5.85295172081921</c:v>
                </c:pt>
                <c:pt idx="87">
                  <c:v>5.99678382433778</c:v>
                </c:pt>
                <c:pt idx="88">
                  <c:v>6.14237858221251</c:v>
                </c:pt>
                <c:pt idx="89">
                  <c:v>6.28973514798487</c:v>
                </c:pt>
                <c:pt idx="90">
                  <c:v>6.43885263207675</c:v>
                </c:pt>
                <c:pt idx="91">
                  <c:v>6.58973010239602</c:v>
                </c:pt>
                <c:pt idx="92">
                  <c:v>6.74236658492513</c:v>
                </c:pt>
                <c:pt idx="93">
                  <c:v>6.89676106429364</c:v>
                </c:pt>
                <c:pt idx="94">
                  <c:v>7.0529124843353</c:v>
                </c:pt>
                <c:pt idx="95">
                  <c:v>7.21081974863045</c:v>
                </c:pt>
                <c:pt idx="96">
                  <c:v>7.37048172103423</c:v>
                </c:pt>
                <c:pt idx="97">
                  <c:v>7.53189722619141</c:v>
                </c:pt>
                <c:pt idx="98">
                  <c:v>7.69506505003815</c:v>
                </c:pt>
                <c:pt idx="99">
                  <c:v>7.85998394029148</c:v>
                </c:pt>
                <c:pt idx="100">
                  <c:v>8.02665260692689</c:v>
                </c:pt>
                <c:pt idx="101">
                  <c:v>8.19506946450929</c:v>
                </c:pt>
                <c:pt idx="102">
                  <c:v>8.36523237338471</c:v>
                </c:pt>
                <c:pt idx="103">
                  <c:v>8.5371388968427</c:v>
                </c:pt>
                <c:pt idx="104">
                  <c:v>8.71078655942932</c:v>
                </c:pt>
                <c:pt idx="105">
                  <c:v>8.88617284743595</c:v>
                </c:pt>
                <c:pt idx="106">
                  <c:v>9.06329520937757</c:v>
                </c:pt>
                <c:pt idx="107">
                  <c:v>9.24215105646099</c:v>
                </c:pt>
                <c:pt idx="108">
                  <c:v>9.42273776304331</c:v>
                </c:pt>
                <c:pt idx="109">
                  <c:v>9.60505266708114</c:v>
                </c:pt>
                <c:pt idx="110">
                  <c:v>9.78909307057078</c:v>
                </c:pt>
                <c:pt idx="111">
                  <c:v>9.97485623997978</c:v>
                </c:pt>
                <c:pt idx="112">
                  <c:v>10.1623394066703</c:v>
                </c:pt>
                <c:pt idx="113">
                  <c:v>10.3515397673141</c:v>
                </c:pt>
                <c:pt idx="114">
                  <c:v>10.5424544843005</c:v>
                </c:pt>
                <c:pt idx="115">
                  <c:v>10.7350806861363</c:v>
                </c:pt>
                <c:pt idx="116">
                  <c:v>10.9294154678385</c:v>
                </c:pt>
                <c:pt idx="117">
                  <c:v>11.1254558913209</c:v>
                </c:pt>
                <c:pt idx="118">
                  <c:v>11.323198985773</c:v>
                </c:pt>
                <c:pt idx="119">
                  <c:v>11.5226417480334</c:v>
                </c:pt>
                <c:pt idx="120">
                  <c:v>11.7237811429561</c:v>
                </c:pt>
                <c:pt idx="121">
                  <c:v>11.9266141037716</c:v>
                </c:pt>
                <c:pt idx="122">
                  <c:v>12.1311375324418</c:v>
                </c:pt>
                <c:pt idx="123">
                  <c:v>12.3373483000096</c:v>
                </c:pt>
                <c:pt idx="124">
                  <c:v>12.5452432469423</c:v>
                </c:pt>
                <c:pt idx="125">
                  <c:v>12.7548191834708</c:v>
                </c:pt>
                <c:pt idx="126">
                  <c:v>12.9660728899235</c:v>
                </c:pt>
                <c:pt idx="127">
                  <c:v>13.1790011170542</c:v>
                </c:pt>
                <c:pt idx="128">
                  <c:v>13.3936005863672</c:v>
                </c:pt>
                <c:pt idx="129">
                  <c:v>13.609867990436</c:v>
                </c:pt>
                <c:pt idx="130">
                  <c:v>13.8277999932185</c:v>
                </c:pt>
                <c:pt idx="131">
                  <c:v>14.0473932303678</c:v>
                </c:pt>
                <c:pt idx="132">
                  <c:v>14.2686443095388</c:v>
                </c:pt>
                <c:pt idx="133">
                  <c:v>14.4915498106901</c:v>
                </c:pt>
                <c:pt idx="134">
                  <c:v>14.7161062863833</c:v>
                </c:pt>
                <c:pt idx="135">
                  <c:v>14.942310262077</c:v>
                </c:pt>
                <c:pt idx="136">
                  <c:v>15.1701582364183</c:v>
                </c:pt>
                <c:pt idx="137">
                  <c:v>15.39964668153</c:v>
                </c:pt>
                <c:pt idx="138">
                  <c:v>15.6307720432944</c:v>
                </c:pt>
                <c:pt idx="139">
                  <c:v>15.8635307416341</c:v>
                </c:pt>
                <c:pt idx="140">
                  <c:v>16.097919170789</c:v>
                </c:pt>
                <c:pt idx="141">
                  <c:v>16.3339336995903</c:v>
                </c:pt>
                <c:pt idx="142">
                  <c:v>16.5715706717316</c:v>
                </c:pt>
                <c:pt idx="143">
                  <c:v>16.8108264060366</c:v>
                </c:pt>
                <c:pt idx="144">
                  <c:v>17.0516971967238</c:v>
                </c:pt>
                <c:pt idx="145">
                  <c:v>17.294179313669</c:v>
                </c:pt>
                <c:pt idx="146">
                  <c:v>17.5382690026642</c:v>
                </c:pt>
                <c:pt idx="147">
                  <c:v>17.7839624856741</c:v>
                </c:pt>
                <c:pt idx="148">
                  <c:v>18.0312559610898</c:v>
                </c:pt>
                <c:pt idx="149">
                  <c:v>18.2801456039805</c:v>
                </c:pt>
                <c:pt idx="150">
                  <c:v>18.5306275663416</c:v>
                </c:pt>
                <c:pt idx="151">
                  <c:v>18.7826980694912</c:v>
                </c:pt>
                <c:pt idx="152">
                  <c:v>19.0363534967229</c:v>
                </c:pt>
                <c:pt idx="153">
                  <c:v>19.2915903016917</c:v>
                </c:pt>
                <c:pt idx="154">
                  <c:v>19.5484049165283</c:v>
                </c:pt>
                <c:pt idx="155">
                  <c:v>19.8067937520616</c:v>
                </c:pt>
                <c:pt idx="156">
                  <c:v>20.0667531980385</c:v>
                </c:pt>
                <c:pt idx="157">
                  <c:v>20.3282796233424</c:v>
                </c:pt>
                <c:pt idx="158">
                  <c:v>20.5913693762085</c:v>
                </c:pt>
                <c:pt idx="159">
                  <c:v>20.8560187844386</c:v>
                </c:pt>
                <c:pt idx="160">
                  <c:v>21.1222241556134</c:v>
                </c:pt>
                <c:pt idx="161">
                  <c:v>21.3899817773028</c:v>
                </c:pt>
                <c:pt idx="162">
                  <c:v>21.6592879172748</c:v>
                </c:pt>
                <c:pt idx="163">
                  <c:v>21.9301388237025</c:v>
                </c:pt>
                <c:pt idx="164">
                  <c:v>22.2025307253692</c:v>
                </c:pt>
                <c:pt idx="165">
                  <c:v>22.4764598318725</c:v>
                </c:pt>
                <c:pt idx="166">
                  <c:v>22.7519223338257</c:v>
                </c:pt>
                <c:pt idx="167">
                  <c:v>23.0289144030588</c:v>
                </c:pt>
                <c:pt idx="168">
                  <c:v>23.3074321928168</c:v>
                </c:pt>
                <c:pt idx="169">
                  <c:v>23.587471837957</c:v>
                </c:pt>
                <c:pt idx="170">
                  <c:v>23.8690294551454</c:v>
                </c:pt>
                <c:pt idx="171">
                  <c:v>24.15210114305</c:v>
                </c:pt>
                <c:pt idx="172">
                  <c:v>24.4366829825342</c:v>
                </c:pt>
                <c:pt idx="173">
                  <c:v>24.7227710368482</c:v>
                </c:pt>
                <c:pt idx="174">
                  <c:v>25.0103613518186</c:v>
                </c:pt>
                <c:pt idx="175">
                  <c:v>25.2994499560371</c:v>
                </c:pt>
                <c:pt idx="176">
                  <c:v>25.5900328610478</c:v>
                </c:pt>
                <c:pt idx="177">
                  <c:v>25.8821060615327</c:v>
                </c:pt>
                <c:pt idx="178">
                  <c:v>26.1756655354969</c:v>
                </c:pt>
                <c:pt idx="179">
                  <c:v>26.470707244451</c:v>
                </c:pt>
                <c:pt idx="180">
                  <c:v>26.7672271335935</c:v>
                </c:pt>
                <c:pt idx="181">
                  <c:v>27.0652211319915</c:v>
                </c:pt>
                <c:pt idx="182">
                  <c:v>27.36468515276</c:v>
                </c:pt>
                <c:pt idx="183">
                  <c:v>27.66561509324</c:v>
                </c:pt>
                <c:pt idx="184">
                  <c:v>27.9680068351757</c:v>
                </c:pt>
                <c:pt idx="185">
                  <c:v>28.2718562448903</c:v>
                </c:pt>
                <c:pt idx="186">
                  <c:v>28.5771591734604</c:v>
                </c:pt>
                <c:pt idx="187">
                  <c:v>28.8839114568895</c:v>
                </c:pt>
                <c:pt idx="188">
                  <c:v>29.1921089162807</c:v>
                </c:pt>
                <c:pt idx="189">
                  <c:v>29.5017473580075</c:v>
                </c:pt>
                <c:pt idx="190">
                  <c:v>29.8128225738837</c:v>
                </c:pt>
                <c:pt idx="191">
                  <c:v>30.1253303413331</c:v>
                </c:pt>
                <c:pt idx="192">
                  <c:v>30.4392664235565</c:v>
                </c:pt>
                <c:pt idx="193">
                  <c:v>30.7546265696992</c:v>
                </c:pt>
                <c:pt idx="194">
                  <c:v>31.0714065150161</c:v>
                </c:pt>
                <c:pt idx="195">
                  <c:v>31.389601981037</c:v>
                </c:pt>
                <c:pt idx="196">
                  <c:v>31.7092086757299</c:v>
                </c:pt>
                <c:pt idx="197">
                  <c:v>32.0302222936633</c:v>
                </c:pt>
                <c:pt idx="198">
                  <c:v>32.3526385161685</c:v>
                </c:pt>
                <c:pt idx="199">
                  <c:v>32.6764530114995</c:v>
                </c:pt>
                <c:pt idx="200">
                  <c:v>33.001661434993</c:v>
                </c:pt>
                <c:pt idx="201">
                  <c:v>33.3282594292267</c:v>
                </c:pt>
                <c:pt idx="202">
                  <c:v>33.6562426241769</c:v>
                </c:pt>
                <c:pt idx="203">
                  <c:v>33.9856066373753</c:v>
                </c:pt>
                <c:pt idx="204">
                  <c:v>34.3163470740645</c:v>
                </c:pt>
                <c:pt idx="205">
                  <c:v>34.6484595273527</c:v>
                </c:pt>
                <c:pt idx="206">
                  <c:v>34.9819395783675</c:v>
                </c:pt>
                <c:pt idx="207">
                  <c:v>35.3167827964085</c:v>
                </c:pt>
                <c:pt idx="208">
                  <c:v>35.6529847390995</c:v>
                </c:pt>
                <c:pt idx="209">
                  <c:v>35.990540952539</c:v>
                </c:pt>
                <c:pt idx="210">
                  <c:v>36.3294469714506</c:v>
                </c:pt>
                <c:pt idx="211">
                  <c:v>36.6696983193319</c:v>
                </c:pt>
                <c:pt idx="212">
                  <c:v>37.0112905086028</c:v>
                </c:pt>
                <c:pt idx="213">
                  <c:v>37.3542190407525</c:v>
                </c:pt>
                <c:pt idx="214">
                  <c:v>37.6984794064862</c:v>
                </c:pt>
                <c:pt idx="215">
                  <c:v>38.0440670858706</c:v>
                </c:pt>
                <c:pt idx="216">
                  <c:v>38.3909775484782</c:v>
                </c:pt>
                <c:pt idx="217">
                  <c:v>38.7392062535314</c:v>
                </c:pt>
                <c:pt idx="218">
                  <c:v>39.0887486500452</c:v>
                </c:pt>
                <c:pt idx="219">
                  <c:v>39.4396001769691</c:v>
                </c:pt>
                <c:pt idx="220">
                  <c:v>39.7917562633285</c:v>
                </c:pt>
                <c:pt idx="221">
                  <c:v>40.1452123283645</c:v>
                </c:pt>
                <c:pt idx="222">
                  <c:v>40.499963781674</c:v>
                </c:pt>
                <c:pt idx="223">
                  <c:v>40.8560060233476</c:v>
                </c:pt>
                <c:pt idx="224">
                  <c:v>41.2133344441077</c:v>
                </c:pt>
                <c:pt idx="225">
                  <c:v>41.5719444254453</c:v>
                </c:pt>
                <c:pt idx="226">
                  <c:v>41.931831339756</c:v>
                </c:pt>
                <c:pt idx="227">
                  <c:v>42.2929905504753</c:v>
                </c:pt>
                <c:pt idx="228">
                  <c:v>42.6554174122128</c:v>
                </c:pt>
                <c:pt idx="229">
                  <c:v>43.0191072708859</c:v>
                </c:pt>
                <c:pt idx="230">
                  <c:v>43.3840554638526</c:v>
                </c:pt>
                <c:pt idx="231">
                  <c:v>43.7502573200432</c:v>
                </c:pt>
                <c:pt idx="232">
                  <c:v>44.1177081600915</c:v>
                </c:pt>
                <c:pt idx="233">
                  <c:v>44.486403296465</c:v>
                </c:pt>
                <c:pt idx="234">
                  <c:v>44.8563380335946</c:v>
                </c:pt>
                <c:pt idx="235">
                  <c:v>45.227507668003</c:v>
                </c:pt>
                <c:pt idx="236">
                  <c:v>45.5999074884327</c:v>
                </c:pt>
                <c:pt idx="237">
                  <c:v>45.9735327759731</c:v>
                </c:pt>
                <c:pt idx="238">
                  <c:v>46.3483788041864</c:v>
                </c:pt>
                <c:pt idx="239">
                  <c:v>46.7244408392337</c:v>
                </c:pt>
                <c:pt idx="240">
                  <c:v>47.1017141399991</c:v>
                </c:pt>
                <c:pt idx="241">
                  <c:v>47.4801939582138</c:v>
                </c:pt>
                <c:pt idx="242">
                  <c:v>47.8598755385794</c:v>
                </c:pt>
                <c:pt idx="243">
                  <c:v>48.2407541188897</c:v>
                </c:pt>
                <c:pt idx="244">
                  <c:v>48.6228249301526</c:v>
                </c:pt>
                <c:pt idx="245">
                  <c:v>49.006083196711</c:v>
                </c:pt>
                <c:pt idx="246">
                  <c:v>49.3905241363621</c:v>
                </c:pt>
                <c:pt idx="247">
                  <c:v>49.7761429604775</c:v>
                </c:pt>
                <c:pt idx="248">
                  <c:v>50.1629348741206</c:v>
                </c:pt>
                <c:pt idx="249">
                  <c:v>50.5508950761651</c:v>
                </c:pt>
                <c:pt idx="250">
                  <c:v>50.9400187594114</c:v>
                </c:pt>
                <c:pt idx="251">
                  <c:v>51.3303006861455</c:v>
                </c:pt>
                <c:pt idx="252">
                  <c:v>51.721734763205</c:v>
                </c:pt>
                <c:pt idx="253">
                  <c:v>52.1143144664265</c:v>
                </c:pt>
                <c:pt idx="254">
                  <c:v>52.5080332656055</c:v>
                </c:pt>
                <c:pt idx="255">
                  <c:v>52.90288462465</c:v>
                </c:pt>
                <c:pt idx="256">
                  <c:v>53.2988620017338</c:v>
                </c:pt>
                <c:pt idx="257">
                  <c:v>53.6959588494482</c:v>
                </c:pt>
                <c:pt idx="258">
                  <c:v>54.0941686149523</c:v>
                </c:pt>
                <c:pt idx="259">
                  <c:v>54.4934847401221</c:v>
                </c:pt>
                <c:pt idx="260">
                  <c:v>54.8939006616991</c:v>
                </c:pt>
                <c:pt idx="261">
                  <c:v>55.2954098114363</c:v>
                </c:pt>
                <c:pt idx="262">
                  <c:v>55.6980056162445</c:v>
                </c:pt>
                <c:pt idx="263">
                  <c:v>56.101681498336</c:v>
                </c:pt>
                <c:pt idx="264">
                  <c:v>56.5064308753686</c:v>
                </c:pt>
                <c:pt idx="265">
                  <c:v>56.9122471605865</c:v>
                </c:pt>
                <c:pt idx="266">
                  <c:v>57.3191237629619</c:v>
                </c:pt>
                <c:pt idx="267">
                  <c:v>57.7270540873342</c:v>
                </c:pt>
                <c:pt idx="268">
                  <c:v>58.1360315345484</c:v>
                </c:pt>
                <c:pt idx="269">
                  <c:v>58.546049501592</c:v>
                </c:pt>
                <c:pt idx="270">
                  <c:v>58.9571013817313</c:v>
                </c:pt>
                <c:pt idx="271">
                  <c:v>59.3691805646461</c:v>
                </c:pt>
                <c:pt idx="272">
                  <c:v>59.7822804365631</c:v>
                </c:pt>
                <c:pt idx="273">
                  <c:v>60.1963943803883</c:v>
                </c:pt>
                <c:pt idx="274">
                  <c:v>60.6115157758386</c:v>
                </c:pt>
                <c:pt idx="275">
                  <c:v>61.0276379995711</c:v>
                </c:pt>
                <c:pt idx="276">
                  <c:v>61.4447544253127</c:v>
                </c:pt>
                <c:pt idx="277">
                  <c:v>61.8628584239873</c:v>
                </c:pt>
                <c:pt idx="278">
                  <c:v>62.2819433638426</c:v>
                </c:pt>
                <c:pt idx="279">
                  <c:v>62.7020026105751</c:v>
                </c:pt>
                <c:pt idx="280">
                  <c:v>63.1230295274547</c:v>
                </c:pt>
                <c:pt idx="281">
                  <c:v>63.5450174754474</c:v>
                </c:pt>
                <c:pt idx="282">
                  <c:v>63.9679598133372</c:v>
                </c:pt>
                <c:pt idx="283">
                  <c:v>64.391849897847</c:v>
                </c:pt>
                <c:pt idx="284">
                  <c:v>64.8166810837579</c:v>
                </c:pt>
                <c:pt idx="285">
                  <c:v>65.2424467240279</c:v>
                </c:pt>
                <c:pt idx="286">
                  <c:v>65.6691401699086</c:v>
                </c:pt>
                <c:pt idx="287">
                  <c:v>66.0967547710621</c:v>
                </c:pt>
                <c:pt idx="288">
                  <c:v>66.5252838756753</c:v>
                </c:pt>
                <c:pt idx="289">
                  <c:v>66.9547208305741</c:v>
                </c:pt>
                <c:pt idx="290">
                  <c:v>67.3850589813357</c:v>
                </c:pt>
                <c:pt idx="291">
                  <c:v>67.8162916724009</c:v>
                </c:pt>
                <c:pt idx="292">
                  <c:v>68.2484122471836</c:v>
                </c:pt>
                <c:pt idx="293">
                  <c:v>68.6814140481809</c:v>
                </c:pt>
                <c:pt idx="294">
                  <c:v>69.1152904170807</c:v>
                </c:pt>
                <c:pt idx="295">
                  <c:v>69.5500346948692</c:v>
                </c:pt>
                <c:pt idx="296">
                  <c:v>69.9856402219367</c:v>
                </c:pt>
                <c:pt idx="297">
                  <c:v>70.4221003381823</c:v>
                </c:pt>
                <c:pt idx="298">
                  <c:v>70.8594036069256</c:v>
                </c:pt>
                <c:pt idx="299">
                  <c:v>71.2975290360916</c:v>
                </c:pt>
                <c:pt idx="300">
                  <c:v>71.7364508565766</c:v>
                </c:pt>
                <c:pt idx="301">
                  <c:v>72.1761433036303</c:v>
                </c:pt>
                <c:pt idx="302">
                  <c:v>72.6165806175325</c:v>
                </c:pt>
                <c:pt idx="303">
                  <c:v>73.0577370442555</c:v>
                </c:pt>
                <c:pt idx="304">
                  <c:v>73.4995868361142</c:v>
                </c:pt>
                <c:pt idx="305">
                  <c:v>73.9421042524026</c:v>
                </c:pt>
                <c:pt idx="306">
                  <c:v>74.3852635600171</c:v>
                </c:pt>
                <c:pt idx="307">
                  <c:v>74.8290390340671</c:v>
                </c:pt>
                <c:pt idx="308">
                  <c:v>75.2734049584721</c:v>
                </c:pt>
                <c:pt idx="309">
                  <c:v>75.7183356265462</c:v>
                </c:pt>
                <c:pt idx="310">
                  <c:v>76.1638053415692</c:v>
                </c:pt>
                <c:pt idx="311">
                  <c:v>76.6097884173451</c:v>
                </c:pt>
                <c:pt idx="312">
                  <c:v>77.0562591787474</c:v>
                </c:pt>
                <c:pt idx="313">
                  <c:v>77.503191962252</c:v>
                </c:pt>
                <c:pt idx="314">
                  <c:v>77.9505611164566</c:v>
                </c:pt>
                <c:pt idx="315">
                  <c:v>78.3983410025876</c:v>
                </c:pt>
                <c:pt idx="316">
                  <c:v>78.8465059949948</c:v>
                </c:pt>
                <c:pt idx="317">
                  <c:v>79.2950304816322</c:v>
                </c:pt>
                <c:pt idx="318">
                  <c:v>79.7438888645274</c:v>
                </c:pt>
                <c:pt idx="319">
                  <c:v>80.1930555602371</c:v>
                </c:pt>
                <c:pt idx="320">
                  <c:v>80.6425050002915</c:v>
                </c:pt>
                <c:pt idx="321">
                  <c:v>81.0922135526592</c:v>
                </c:pt>
                <c:pt idx="322">
                  <c:v>81.5421614431728</c:v>
                </c:pt>
                <c:pt idx="323">
                  <c:v>81.9923308323634</c:v>
                </c:pt>
                <c:pt idx="324">
                  <c:v>82.4427038922098</c:v>
                </c:pt>
                <c:pt idx="325">
                  <c:v>82.8932628063193</c:v>
                </c:pt>
                <c:pt idx="326">
                  <c:v>83.3439897701037</c:v>
                </c:pt>
                <c:pt idx="327">
                  <c:v>83.7948669909476</c:v>
                </c:pt>
                <c:pt idx="328">
                  <c:v>84.2458766883728</c:v>
                </c:pt>
                <c:pt idx="329">
                  <c:v>84.6970010941945</c:v>
                </c:pt>
                <c:pt idx="330">
                  <c:v>85.1482224526732</c:v>
                </c:pt>
                <c:pt idx="331">
                  <c:v>85.5995230206601</c:v>
                </c:pt>
                <c:pt idx="332">
                  <c:v>86.0508850677364</c:v>
                </c:pt>
                <c:pt idx="333">
                  <c:v>86.5022908763471</c:v>
                </c:pt>
                <c:pt idx="334">
                  <c:v>86.9537227419284</c:v>
                </c:pt>
                <c:pt idx="335">
                  <c:v>87.4051629730301</c:v>
                </c:pt>
                <c:pt idx="336">
                  <c:v>87.8565938914315</c:v>
                </c:pt>
                <c:pt idx="337">
                  <c:v>88.3079978322517</c:v>
                </c:pt>
                <c:pt idx="338">
                  <c:v>88.7593571440544</c:v>
                </c:pt>
                <c:pt idx="339">
                  <c:v>89.2106541889464</c:v>
                </c:pt>
                <c:pt idx="340">
                  <c:v>89.6618713426708</c:v>
                </c:pt>
                <c:pt idx="341">
                  <c:v>90.1129909946946</c:v>
                </c:pt>
                <c:pt idx="342">
                  <c:v>90.5639955482906</c:v>
                </c:pt>
                <c:pt idx="343">
                  <c:v>91.0148674206129</c:v>
                </c:pt>
                <c:pt idx="344">
                  <c:v>91.4655890427678</c:v>
                </c:pt>
                <c:pt idx="345">
                  <c:v>91.9161428598787</c:v>
                </c:pt>
                <c:pt idx="346">
                  <c:v>92.3665113311452</c:v>
                </c:pt>
                <c:pt idx="347">
                  <c:v>92.8166769298968</c:v>
                </c:pt>
                <c:pt idx="348">
                  <c:v>93.2666223535513</c:v>
                </c:pt>
                <c:pt idx="349">
                  <c:v>93.7163307334874</c:v>
                </c:pt>
                <c:pt idx="350">
                  <c:v>94.1657854247855</c:v>
                </c:pt>
                <c:pt idx="351">
                  <c:v>94.6149697960391</c:v>
                </c:pt>
                <c:pt idx="352">
                  <c:v>95.0638672293708</c:v>
                </c:pt>
                <c:pt idx="353">
                  <c:v>95.5124611204444</c:v>
                </c:pt>
                <c:pt idx="354">
                  <c:v>95.9607348784708</c:v>
                </c:pt>
                <c:pt idx="355">
                  <c:v>96.4086719262106</c:v>
                </c:pt>
                <c:pt idx="356">
                  <c:v>96.8562556999706</c:v>
                </c:pt>
                <c:pt idx="357">
                  <c:v>97.3034696495957</c:v>
                </c:pt>
                <c:pt idx="358">
                  <c:v>97.7502972384566</c:v>
                </c:pt>
                <c:pt idx="359">
                  <c:v>98.1967219434317</c:v>
                </c:pt>
                <c:pt idx="360">
                  <c:v>98.6427316462815</c:v>
                </c:pt>
                <c:pt idx="361">
                  <c:v>99.0883230228669</c:v>
                </c:pt>
                <c:pt idx="362">
                  <c:v>99.5334971430984</c:v>
                </c:pt>
                <c:pt idx="363">
                  <c:v>99.9782550730609</c:v>
                </c:pt>
                <c:pt idx="364">
                  <c:v>100.422597875033</c:v>
                </c:pt>
                <c:pt idx="365">
                  <c:v>100.866526607504</c:v>
                </c:pt>
                <c:pt idx="366">
                  <c:v>101.310042325196</c:v>
                </c:pt>
                <c:pt idx="367">
                  <c:v>101.753146079077</c:v>
                </c:pt>
                <c:pt idx="368">
                  <c:v>102.195838916384</c:v>
                </c:pt>
                <c:pt idx="369">
                  <c:v>102.638121880637</c:v>
                </c:pt>
                <c:pt idx="370">
                  <c:v>103.079996011662</c:v>
                </c:pt>
                <c:pt idx="371">
                  <c:v>103.521462345604</c:v>
                </c:pt>
                <c:pt idx="372">
                  <c:v>103.962521914947</c:v>
                </c:pt>
                <c:pt idx="373">
                  <c:v>104.403175748531</c:v>
                </c:pt>
                <c:pt idx="374">
                  <c:v>104.843424871572</c:v>
                </c:pt>
                <c:pt idx="375">
                  <c:v>105.283270305677</c:v>
                </c:pt>
                <c:pt idx="376">
                  <c:v>105.722713068859</c:v>
                </c:pt>
                <c:pt idx="377">
                  <c:v>106.161754175561</c:v>
                </c:pt>
                <c:pt idx="378">
                  <c:v>106.600394636669</c:v>
                </c:pt>
                <c:pt idx="379">
                  <c:v>107.038635459526</c:v>
                </c:pt>
                <c:pt idx="380">
                  <c:v>107.476477647957</c:v>
                </c:pt>
                <c:pt idx="381">
                  <c:v>107.913922202279</c:v>
                </c:pt>
                <c:pt idx="382">
                  <c:v>108.350970119319</c:v>
                </c:pt>
                <c:pt idx="383">
                  <c:v>108.787622392433</c:v>
                </c:pt>
                <c:pt idx="384">
                  <c:v>109.223880011522</c:v>
                </c:pt>
                <c:pt idx="385">
                  <c:v>109.659743963047</c:v>
                </c:pt>
                <c:pt idx="386">
                  <c:v>110.095215230045</c:v>
                </c:pt>
                <c:pt idx="387">
                  <c:v>110.530294792148</c:v>
                </c:pt>
                <c:pt idx="388">
                  <c:v>110.964983625596</c:v>
                </c:pt>
                <c:pt idx="389">
                  <c:v>111.399282703256</c:v>
                </c:pt>
                <c:pt idx="390">
                  <c:v>111.833192994636</c:v>
                </c:pt>
                <c:pt idx="391">
                  <c:v>112.266715465902</c:v>
                </c:pt>
                <c:pt idx="392">
                  <c:v>112.69985107989</c:v>
                </c:pt>
                <c:pt idx="393">
                  <c:v>113.132600796131</c:v>
                </c:pt>
                <c:pt idx="394">
                  <c:v>113.564965570854</c:v>
                </c:pt>
                <c:pt idx="395">
                  <c:v>113.996946357013</c:v>
                </c:pt>
                <c:pt idx="396">
                  <c:v>114.428544104294</c:v>
                </c:pt>
                <c:pt idx="397">
                  <c:v>114.859759759137</c:v>
                </c:pt>
                <c:pt idx="398">
                  <c:v>115.290594264745</c:v>
                </c:pt>
                <c:pt idx="399">
                  <c:v>115.721048561104</c:v>
                </c:pt>
                <c:pt idx="400">
                  <c:v>116.151123584996</c:v>
                </c:pt>
                <c:pt idx="401">
                  <c:v>120.43108615586</c:v>
                </c:pt>
                <c:pt idx="402">
                  <c:v>124.673722828817</c:v>
                </c:pt>
                <c:pt idx="403">
                  <c:v>128.879940956821</c:v>
                </c:pt>
                <c:pt idx="404">
                  <c:v>133.05061774256</c:v>
                </c:pt>
                <c:pt idx="405">
                  <c:v>137.186601602068</c:v>
                </c:pt>
                <c:pt idx="406">
                  <c:v>141.288713451821</c:v>
                </c:pt>
                <c:pt idx="407">
                  <c:v>145.357747924443</c:v>
                </c:pt>
                <c:pt idx="408">
                  <c:v>149.394474517759</c:v>
                </c:pt>
                <c:pt idx="409">
                  <c:v>153.399638681535</c:v>
                </c:pt>
                <c:pt idx="410">
                  <c:v>157.373962845959</c:v>
                </c:pt>
                <c:pt idx="411">
                  <c:v>161.318147395583</c:v>
                </c:pt>
                <c:pt idx="412">
                  <c:v>165.232871592175</c:v>
                </c:pt>
                <c:pt idx="413">
                  <c:v>169.118794449688</c:v>
                </c:pt>
                <c:pt idx="414">
                  <c:v>172.97655556431</c:v>
                </c:pt>
                <c:pt idx="415">
                  <c:v>176.806775902338</c:v>
                </c:pt>
                <c:pt idx="416">
                  <c:v>180.610058548456</c:v>
                </c:pt>
                <c:pt idx="417">
                  <c:v>184.386989416769</c:v>
                </c:pt>
                <c:pt idx="418">
                  <c:v>188.138137926819</c:v>
                </c:pt>
                <c:pt idx="419">
                  <c:v>191.864057646643</c:v>
                </c:pt>
                <c:pt idx="420">
                  <c:v>195.56528690478</c:v>
                </c:pt>
                <c:pt idx="421">
                  <c:v>199.242349373027</c:v>
                </c:pt>
                <c:pt idx="422">
                  <c:v>202.895754621604</c:v>
                </c:pt>
                <c:pt idx="423">
                  <c:v>206.525998648293</c:v>
                </c:pt>
                <c:pt idx="424">
                  <c:v>210.133564382998</c:v>
                </c:pt>
                <c:pt idx="425">
                  <c:v>213.718922169092</c:v>
                </c:pt>
                <c:pt idx="426">
                  <c:v>217.282530222825</c:v>
                </c:pt>
                <c:pt idx="427">
                  <c:v>220.824835071978</c:v>
                </c:pt>
                <c:pt idx="428">
                  <c:v>224.346271974882</c:v>
                </c:pt>
                <c:pt idx="429">
                  <c:v>227.847265320852</c:v>
                </c:pt>
                <c:pt idx="430">
                  <c:v>231.328229013003</c:v>
                </c:pt>
                <c:pt idx="431">
                  <c:v>234.789566834388</c:v>
                </c:pt>
                <c:pt idx="432">
                  <c:v>238.2316727983</c:v>
                </c:pt>
                <c:pt idx="433">
                  <c:v>241.65493148356</c:v>
                </c:pt>
                <c:pt idx="434">
                  <c:v>245.05971835556</c:v>
                </c:pt>
                <c:pt idx="435">
                  <c:v>248.446400073758</c:v>
                </c:pt>
                <c:pt idx="436">
                  <c:v>251.815334786317</c:v>
                </c:pt>
                <c:pt idx="437">
                  <c:v>255.166872412512</c:v>
                </c:pt>
                <c:pt idx="438">
                  <c:v>258.501354913506</c:v>
                </c:pt>
                <c:pt idx="439">
                  <c:v>261.819116552054</c:v>
                </c:pt>
                <c:pt idx="440">
                  <c:v>265.120484141669</c:v>
                </c:pt>
                <c:pt idx="441">
                  <c:v>268.405777285748</c:v>
                </c:pt>
                <c:pt idx="442">
                  <c:v>271.675308607123</c:v>
                </c:pt>
                <c:pt idx="443">
                  <c:v>274.929383968491</c:v>
                </c:pt>
                <c:pt idx="444">
                  <c:v>278.168302684136</c:v>
                </c:pt>
                <c:pt idx="445">
                  <c:v>281.392357723334</c:v>
                </c:pt>
                <c:pt idx="446">
                  <c:v>284.60183590583</c:v>
                </c:pt>
                <c:pt idx="447">
                  <c:v>287.79701808972</c:v>
                </c:pt>
                <c:pt idx="448">
                  <c:v>290.978179352083</c:v>
                </c:pt>
                <c:pt idx="449">
                  <c:v>294.145589162675</c:v>
                </c:pt>
                <c:pt idx="450">
                  <c:v>297.299511550981</c:v>
                </c:pt>
                <c:pt idx="451">
                  <c:v>300.440205266902</c:v>
                </c:pt>
                <c:pt idx="452">
                  <c:v>303.567923935356</c:v>
                </c:pt>
                <c:pt idx="453">
                  <c:v>306.682916205014</c:v>
                </c:pt>
                <c:pt idx="454">
                  <c:v>309.78542589145</c:v>
                </c:pt>
                <c:pt idx="455">
                  <c:v>312.875692114879</c:v>
                </c:pt>
                <c:pt idx="456">
                  <c:v>315.953949432739</c:v>
                </c:pt>
                <c:pt idx="457">
                  <c:v>319.020427967281</c:v>
                </c:pt>
                <c:pt idx="458">
                  <c:v>322.075353528375</c:v>
                </c:pt>
                <c:pt idx="459">
                  <c:v>325.118947731699</c:v>
                </c:pt>
                <c:pt idx="460">
                  <c:v>328.151428112475</c:v>
                </c:pt>
                <c:pt idx="461">
                  <c:v>331.173008234924</c:v>
                </c:pt>
                <c:pt idx="462">
                  <c:v>334.183897797556</c:v>
                </c:pt>
                <c:pt idx="463">
                  <c:v>337.18430273447</c:v>
                </c:pt>
                <c:pt idx="464">
                  <c:v>340.174425312756</c:v>
                </c:pt>
                <c:pt idx="465">
                  <c:v>343.154464226148</c:v>
                </c:pt>
                <c:pt idx="466">
                  <c:v>346.124614685021</c:v>
                </c:pt>
                <c:pt idx="467">
                  <c:v>349.085068502844</c:v>
                </c:pt>
                <c:pt idx="468">
                  <c:v>352.036014179179</c:v>
                </c:pt>
                <c:pt idx="469">
                  <c:v>354.977636979327</c:v>
                </c:pt>
                <c:pt idx="470">
                  <c:v>357.910119010677</c:v>
                </c:pt>
                <c:pt idx="471">
                  <c:v>360.833639295863</c:v>
                </c:pt>
                <c:pt idx="472">
                  <c:v>363.748373842763</c:v>
                </c:pt>
                <c:pt idx="473">
                  <c:v>366.654495711422</c:v>
                </c:pt>
                <c:pt idx="474">
                  <c:v>369.552175077939</c:v>
                </c:pt>
                <c:pt idx="475">
                  <c:v>372.441579295365</c:v>
                </c:pt>
                <c:pt idx="476">
                  <c:v>375.322872951645</c:v>
                </c:pt>
                <c:pt idx="477">
                  <c:v>378.196217924641</c:v>
                </c:pt>
                <c:pt idx="478">
                  <c:v>381.061773434251</c:v>
                </c:pt>
                <c:pt idx="479">
                  <c:v>383.919696091643</c:v>
                </c:pt>
                <c:pt idx="480">
                  <c:v>386.770139945606</c:v>
                </c:pt>
                <c:pt idx="481">
                  <c:v>389.613256526023</c:v>
                </c:pt>
                <c:pt idx="482">
                  <c:v>392.449194884453</c:v>
                </c:pt>
                <c:pt idx="483">
                  <c:v>395.27810163181</c:v>
                </c:pt>
                <c:pt idx="484">
                  <c:v>398.100120973105</c:v>
                </c:pt>
                <c:pt idx="485">
                  <c:v>400.91539473923</c:v>
                </c:pt>
                <c:pt idx="486">
                  <c:v>403.724062415725</c:v>
                </c:pt>
                <c:pt idx="487">
                  <c:v>406.526261168502</c:v>
                </c:pt>
                <c:pt idx="488">
                  <c:v>409.322125866429</c:v>
                </c:pt>
                <c:pt idx="489">
                  <c:v>412.111789100747</c:v>
                </c:pt>
                <c:pt idx="490">
                  <c:v>414.895381201202</c:v>
                </c:pt>
                <c:pt idx="491">
                  <c:v>417.673030248829</c:v>
                </c:pt>
                <c:pt idx="492">
                  <c:v>420.444862085277</c:v>
                </c:pt>
                <c:pt idx="493">
                  <c:v>423.211000318574</c:v>
                </c:pt>
                <c:pt idx="494">
                  <c:v>425.971566325203</c:v>
                </c:pt>
                <c:pt idx="495">
                  <c:v>428.726679248383</c:v>
                </c:pt>
                <c:pt idx="496">
                  <c:v>431.476455992391</c:v>
                </c:pt>
                <c:pt idx="497">
                  <c:v>434.221011212815</c:v>
                </c:pt>
                <c:pt idx="498">
                  <c:v>436.960457302558</c:v>
                </c:pt>
                <c:pt idx="499">
                  <c:v>439.694904373461</c:v>
                </c:pt>
                <c:pt idx="500">
                  <c:v>442.424460233371</c:v>
                </c:pt>
                <c:pt idx="501">
                  <c:v>445.149230358515</c:v>
                </c:pt>
                <c:pt idx="502">
                  <c:v>447.869317860995</c:v>
                </c:pt>
                <c:pt idx="503">
                  <c:v>450.584823451286</c:v>
                </c:pt>
                <c:pt idx="504">
                  <c:v>453.295845395575</c:v>
                </c:pt>
                <c:pt idx="505">
                  <c:v>456.002479467824</c:v>
                </c:pt>
                <c:pt idx="506">
                  <c:v>458.704818896476</c:v>
                </c:pt>
                <c:pt idx="507">
                  <c:v>461.402954305703</c:v>
                </c:pt>
                <c:pt idx="508">
                  <c:v>464.096973651201</c:v>
                </c:pt>
                <c:pt idx="509">
                  <c:v>466.786962150543</c:v>
                </c:pt>
                <c:pt idx="510">
                  <c:v>469.473002208175</c:v>
                </c:pt>
                <c:pt idx="511">
                  <c:v>472.155173335224</c:v>
                </c:pt>
                <c:pt idx="512">
                  <c:v>474.833552064369</c:v>
                </c:pt>
                <c:pt idx="513">
                  <c:v>477.508211860133</c:v>
                </c:pt>
                <c:pt idx="514">
                  <c:v>480.179223025065</c:v>
                </c:pt>
                <c:pt idx="515">
                  <c:v>482.846652602422</c:v>
                </c:pt>
                <c:pt idx="516">
                  <c:v>485.510564276111</c:v>
                </c:pt>
                <c:pt idx="517">
                  <c:v>488.171018268771</c:v>
                </c:pt>
                <c:pt idx="518">
                  <c:v>490.828071239089</c:v>
                </c:pt>
                <c:pt idx="519">
                  <c:v>493.481776179546</c:v>
                </c:pt>
                <c:pt idx="520">
                  <c:v>496.13218231598</c:v>
                </c:pt>
                <c:pt idx="521">
                  <c:v>498.779335010493</c:v>
                </c:pt>
                <c:pt idx="522">
                  <c:v>501.423275669297</c:v>
                </c:pt>
                <c:pt idx="523">
                  <c:v>504.064041657257</c:v>
                </c:pt>
                <c:pt idx="524">
                  <c:v>506.701666220844</c:v>
                </c:pt>
                <c:pt idx="525">
                  <c:v>509.336178421263</c:v>
                </c:pt>
                <c:pt idx="526">
                  <c:v>511.96760307943</c:v>
                </c:pt>
                <c:pt idx="527">
                  <c:v>514.595960734335</c:v>
                </c:pt>
                <c:pt idx="528">
                  <c:v>517.221267616161</c:v>
                </c:pt>
                <c:pt idx="529">
                  <c:v>519.843535635252</c:v>
                </c:pt>
                <c:pt idx="530">
                  <c:v>522.46277238776</c:v>
                </c:pt>
                <c:pt idx="531">
                  <c:v>525.078981178431</c:v>
                </c:pt>
                <c:pt idx="532">
                  <c:v>527.692161060646</c:v>
                </c:pt>
                <c:pt idx="533">
                  <c:v>530.302306893484</c:v>
                </c:pt>
                <c:pt idx="534">
                  <c:v>532.909409415174</c:v>
                </c:pt>
                <c:pt idx="535">
                  <c:v>535.513455332028</c:v>
                </c:pt>
                <c:pt idx="536">
                  <c:v>538.114427421636</c:v>
                </c:pt>
                <c:pt idx="537">
                  <c:v>540.712304648854</c:v>
                </c:pt>
                <c:pt idx="538">
                  <c:v>543.307062293006</c:v>
                </c:pt>
                <c:pt idx="539">
                  <c:v>545.898672084529</c:v>
                </c:pt>
                <c:pt idx="540">
                  <c:v>548.487102349326</c:v>
                </c:pt>
                <c:pt idx="541">
                  <c:v>551.072318159032</c:v>
                </c:pt>
                <c:pt idx="542">
                  <c:v>553.654281485514</c:v>
                </c:pt>
                <c:pt idx="543">
                  <c:v>556.232951357972</c:v>
                </c:pt>
                <c:pt idx="544">
                  <c:v>558.808284021189</c:v>
                </c:pt>
                <c:pt idx="545">
                  <c:v>561.380233093586</c:v>
                </c:pt>
                <c:pt idx="546">
                  <c:v>563.948749723921</c:v>
                </c:pt>
                <c:pt idx="547">
                  <c:v>566.513782745641</c:v>
                </c:pt>
                <c:pt idx="548">
                  <c:v>569.075278828046</c:v>
                </c:pt>
                <c:pt idx="549">
                  <c:v>571.633182623589</c:v>
                </c:pt>
                <c:pt idx="550">
                  <c:v>574.187436910772</c:v>
                </c:pt>
                <c:pt idx="551">
                  <c:v>576.737982732255</c:v>
                </c:pt>
                <c:pt idx="552">
                  <c:v>579.284759527873</c:v>
                </c:pt>
                <c:pt idx="553">
                  <c:v>581.82770526239</c:v>
                </c:pt>
                <c:pt idx="554">
                  <c:v>584.366756547894</c:v>
                </c:pt>
                <c:pt idx="555">
                  <c:v>586.901848760813</c:v>
                </c:pt>
                <c:pt idx="556">
                  <c:v>589.432916153575</c:v>
                </c:pt>
                <c:pt idx="557">
                  <c:v>591.959891961025</c:v>
                </c:pt>
                <c:pt idx="558">
                  <c:v>594.482708501698</c:v>
                </c:pt>
                <c:pt idx="559">
                  <c:v>597.001297274113</c:v>
                </c:pt>
                <c:pt idx="560">
                  <c:v>599.515589048261</c:v>
                </c:pt>
                <c:pt idx="561">
                  <c:v>602.025513952475</c:v>
                </c:pt>
                <c:pt idx="562">
                  <c:v>604.531001555877</c:v>
                </c:pt>
                <c:pt idx="563">
                  <c:v>607.031980946611</c:v>
                </c:pt>
                <c:pt idx="564">
                  <c:v>609.528380806054</c:v>
                </c:pt>
                <c:pt idx="565">
                  <c:v>612.020129479229</c:v>
                </c:pt>
                <c:pt idx="566">
                  <c:v>614.507155041586</c:v>
                </c:pt>
                <c:pt idx="567">
                  <c:v>616.989385362379</c:v>
                </c:pt>
                <c:pt idx="568">
                  <c:v>619.466748164792</c:v>
                </c:pt>
                <c:pt idx="569">
                  <c:v>621.939171083024</c:v>
                </c:pt>
                <c:pt idx="570">
                  <c:v>624.40658171647</c:v>
                </c:pt>
                <c:pt idx="571">
                  <c:v>626.86890768119</c:v>
                </c:pt>
                <c:pt idx="572">
                  <c:v>629.326076658802</c:v>
                </c:pt>
                <c:pt idx="573">
                  <c:v>631.778016442941</c:v>
                </c:pt>
                <c:pt idx="574">
                  <c:v>634.224654983433</c:v>
                </c:pt>
                <c:pt idx="575">
                  <c:v>636.665920428305</c:v>
                </c:pt>
                <c:pt idx="576">
                  <c:v>639.101741163744</c:v>
                </c:pt>
                <c:pt idx="577">
                  <c:v>641.53204585213</c:v>
                </c:pt>
                <c:pt idx="578">
                  <c:v>643.956763468236</c:v>
                </c:pt>
                <c:pt idx="579">
                  <c:v>646.375823333707</c:v>
                </c:pt>
                <c:pt idx="580">
                  <c:v>648.789155149892</c:v>
                </c:pt>
                <c:pt idx="581">
                  <c:v>651.196689029126</c:v>
                </c:pt>
                <c:pt idx="582">
                  <c:v>653.598355524543</c:v>
                </c:pt>
                <c:pt idx="583">
                  <c:v>655.994085658486</c:v>
                </c:pt>
                <c:pt idx="584">
                  <c:v>658.383810949588</c:v>
                </c:pt>
                <c:pt idx="585">
                  <c:v>660.767463438589</c:v>
                </c:pt>
                <c:pt idx="586">
                  <c:v>663.14497571295</c:v>
                </c:pt>
                <c:pt idx="587">
                  <c:v>665.516280930311</c:v>
                </c:pt>
                <c:pt idx="588">
                  <c:v>667.881312840862</c:v>
                </c:pt>
                <c:pt idx="589">
                  <c:v>670.240005808661</c:v>
                </c:pt>
                <c:pt idx="590">
                  <c:v>672.592294831946</c:v>
                </c:pt>
                <c:pt idx="591">
                  <c:v>674.938115562501</c:v>
                </c:pt>
                <c:pt idx="592">
                  <c:v>677.277404324083</c:v>
                </c:pt>
                <c:pt idx="593">
                  <c:v>679.610098129986</c:v>
                </c:pt>
                <c:pt idx="594">
                  <c:v>681.936134699742</c:v>
                </c:pt>
                <c:pt idx="595">
                  <c:v>684.255452475017</c:v>
                </c:pt>
                <c:pt idx="596">
                  <c:v>686.567990634717</c:v>
                </c:pt>
                <c:pt idx="597">
                  <c:v>688.873689109344</c:v>
                </c:pt>
                <c:pt idx="598">
                  <c:v>691.172488594613</c:v>
                </c:pt>
                <c:pt idx="599">
                  <c:v>693.46433056438</c:v>
                </c:pt>
                <c:pt idx="600">
                  <c:v>695.74915728288</c:v>
                </c:pt>
                <c:pt idx="601">
                  <c:v>698.026911816314</c:v>
                </c:pt>
                <c:pt idx="602">
                  <c:v>700.297538043796</c:v>
                </c:pt>
                <c:pt idx="603">
                  <c:v>702.56098066769</c:v>
                </c:pt>
                <c:pt idx="604">
                  <c:v>704.817185223351</c:v>
                </c:pt>
                <c:pt idx="605">
                  <c:v>707.066098088281</c:v>
                </c:pt>
                <c:pt idx="606">
                  <c:v>709.307666490733</c:v>
                </c:pt>
                <c:pt idx="607">
                  <c:v>711.541838517766</c:v>
                </c:pt>
                <c:pt idx="608">
                  <c:v>713.768563122772</c:v>
                </c:pt>
                <c:pt idx="609">
                  <c:v>715.987790132493</c:v>
                </c:pt>
                <c:pt idx="610">
                  <c:v>718.199470253529</c:v>
                </c:pt>
                <c:pt idx="611">
                  <c:v>720.403555078371</c:v>
                </c:pt>
                <c:pt idx="612">
                  <c:v>722.599997090954</c:v>
                </c:pt>
                <c:pt idx="613">
                  <c:v>724.788749671751</c:v>
                </c:pt>
                <c:pt idx="614">
                  <c:v>726.96976710242</c:v>
                </c:pt>
                <c:pt idx="615">
                  <c:v>729.143004570012</c:v>
                </c:pt>
                <c:pt idx="616">
                  <c:v>731.308418170754</c:v>
                </c:pt>
                <c:pt idx="617">
                  <c:v>733.465964913419</c:v>
                </c:pt>
                <c:pt idx="618">
                  <c:v>735.615602722287</c:v>
                </c:pt>
                <c:pt idx="619">
                  <c:v>737.757290439715</c:v>
                </c:pt>
                <c:pt idx="620">
                  <c:v>739.890987828321</c:v>
                </c:pt>
                <c:pt idx="621">
                  <c:v>742.016655572794</c:v>
                </c:pt>
                <c:pt idx="622">
                  <c:v>744.134255281337</c:v>
                </c:pt>
                <c:pt idx="623">
                  <c:v>746.243749486751</c:v>
                </c:pt>
                <c:pt idx="624">
                  <c:v>748.345101647173</c:v>
                </c:pt>
                <c:pt idx="625">
                  <c:v>750.438276146477</c:v>
                </c:pt>
                <c:pt idx="626">
                  <c:v>752.523238294339</c:v>
                </c:pt>
                <c:pt idx="627">
                  <c:v>754.599954325979</c:v>
                </c:pt>
                <c:pt idx="628">
                  <c:v>756.668391401591</c:v>
                </c:pt>
                <c:pt idx="629">
                  <c:v>758.728517605464</c:v>
                </c:pt>
                <c:pt idx="630">
                  <c:v>760.780301944803</c:v>
                </c:pt>
                <c:pt idx="631">
                  <c:v>762.823714348258</c:v>
                </c:pt>
                <c:pt idx="632">
                  <c:v>764.85872566417</c:v>
                </c:pt>
                <c:pt idx="633">
                  <c:v>766.885307658537</c:v>
                </c:pt>
                <c:pt idx="634">
                  <c:v>768.90343301271</c:v>
                </c:pt>
                <c:pt idx="635">
                  <c:v>770.913075320829</c:v>
                </c:pt>
                <c:pt idx="636">
                  <c:v>772.914209087</c:v>
                </c:pt>
                <c:pt idx="637">
                  <c:v>774.906809722222</c:v>
                </c:pt>
                <c:pt idx="638">
                  <c:v>776.890853541071</c:v>
                </c:pt>
                <c:pt idx="639">
                  <c:v>778.866317758153</c:v>
                </c:pt>
                <c:pt idx="640">
                  <c:v>780.83318048432</c:v>
                </c:pt>
                <c:pt idx="641">
                  <c:v>782.79142072267</c:v>
                </c:pt>
                <c:pt idx="642">
                  <c:v>784.741018364325</c:v>
                </c:pt>
                <c:pt idx="643">
                  <c:v>786.681954183998</c:v>
                </c:pt>
                <c:pt idx="644">
                  <c:v>788.614209835365</c:v>
                </c:pt>
                <c:pt idx="645">
                  <c:v>790.537767846226</c:v>
                </c:pt>
                <c:pt idx="646">
                  <c:v>792.452611613482</c:v>
                </c:pt>
                <c:pt idx="647">
                  <c:v>794.358725397926</c:v>
                </c:pt>
                <c:pt idx="648">
                  <c:v>796.256094318851</c:v>
                </c:pt>
                <c:pt idx="649">
                  <c:v>798.144704348483</c:v>
                </c:pt>
                <c:pt idx="650">
                  <c:v>800.02454230625</c:v>
                </c:pt>
                <c:pt idx="651">
                  <c:v>801.895595852884</c:v>
                </c:pt>
                <c:pt idx="652">
                  <c:v>803.757853484366</c:v>
                </c:pt>
                <c:pt idx="653">
                  <c:v>805.611304525721</c:v>
                </c:pt>
                <c:pt idx="654">
                  <c:v>807.455939124667</c:v>
                </c:pt>
                <c:pt idx="655">
                  <c:v>809.291748245123</c:v>
                </c:pt>
                <c:pt idx="656">
                  <c:v>811.118723660575</c:v>
                </c:pt>
                <c:pt idx="657">
                  <c:v>812.936857947327</c:v>
                </c:pt>
                <c:pt idx="658">
                  <c:v>814.746144477608</c:v>
                </c:pt>
                <c:pt idx="659">
                  <c:v>816.546577412575</c:v>
                </c:pt>
                <c:pt idx="660">
                  <c:v>818.33815169519</c:v>
                </c:pt>
                <c:pt idx="661">
                  <c:v>820.120863042996</c:v>
                </c:pt>
                <c:pt idx="662">
                  <c:v>821.894707940781</c:v>
                </c:pt>
                <c:pt idx="663">
                  <c:v>823.659683633145</c:v>
                </c:pt>
                <c:pt idx="664">
                  <c:v>825.415788116973</c:v>
                </c:pt>
                <c:pt idx="665">
                  <c:v>827.163020133813</c:v>
                </c:pt>
                <c:pt idx="666">
                  <c:v>828.901379162174</c:v>
                </c:pt>
                <c:pt idx="667">
                  <c:v>830.630865409736</c:v>
                </c:pt>
                <c:pt idx="668">
                  <c:v>832.35147980549</c:v>
                </c:pt>
                <c:pt idx="669">
                  <c:v>834.063223991799</c:v>
                </c:pt>
                <c:pt idx="670">
                  <c:v>835.766100316395</c:v>
                </c:pt>
                <c:pt idx="671">
                  <c:v>837.460111824312</c:v>
                </c:pt>
                <c:pt idx="672">
                  <c:v>839.145262249755</c:v>
                </c:pt>
                <c:pt idx="673">
                  <c:v>840.821556007924</c:v>
                </c:pt>
                <c:pt idx="674">
                  <c:v>842.48899818677</c:v>
                </c:pt>
                <c:pt idx="675">
                  <c:v>844.147594538722</c:v>
                </c:pt>
                <c:pt idx="676">
                  <c:v>845.797351472355</c:v>
                </c:pt>
                <c:pt idx="677">
                  <c:v>847.43827604403</c:v>
                </c:pt>
                <c:pt idx="678">
                  <c:v>849.070375949491</c:v>
                </c:pt>
                <c:pt idx="679">
                  <c:v>850.693659515431</c:v>
                </c:pt>
                <c:pt idx="680">
                  <c:v>852.308135691034</c:v>
                </c:pt>
                <c:pt idx="681">
                  <c:v>853.913814039485</c:v>
                </c:pt>
                <c:pt idx="682">
                  <c:v>855.510704729466</c:v>
                </c:pt>
                <c:pt idx="683">
                  <c:v>857.098818526629</c:v>
                </c:pt>
                <c:pt idx="684">
                  <c:v>858.678166785054</c:v>
                </c:pt>
                <c:pt idx="685">
                  <c:v>860.248761438701</c:v>
                </c:pt>
                <c:pt idx="686">
                  <c:v>861.810614992848</c:v>
                </c:pt>
                <c:pt idx="687">
                  <c:v>863.363740515527</c:v>
                </c:pt>
                <c:pt idx="688">
                  <c:v>864.908151628958</c:v>
                </c:pt>
                <c:pt idx="689">
                  <c:v>866.443862500984</c:v>
                </c:pt>
                <c:pt idx="690">
                  <c:v>867.970887836509</c:v>
                </c:pt>
                <c:pt idx="691">
                  <c:v>869.489242868944</c:v>
                </c:pt>
                <c:pt idx="692">
                  <c:v>870.998943351661</c:v>
                </c:pt>
                <c:pt idx="693">
                  <c:v>872.500005549463</c:v>
                </c:pt>
                <c:pt idx="694">
                  <c:v>873.992446230064</c:v>
                </c:pt>
                <c:pt idx="695">
                  <c:v>875.476282655593</c:v>
                </c:pt>
                <c:pt idx="696">
                  <c:v>876.95153257411</c:v>
                </c:pt>
                <c:pt idx="697">
                  <c:v>878.418214211155</c:v>
                </c:pt>
                <c:pt idx="698">
                  <c:v>879.876346261309</c:v>
                </c:pt>
                <c:pt idx="699">
                  <c:v>881.325947879795</c:v>
                </c:pt>
                <c:pt idx="700">
                  <c:v>882.767038674099</c:v>
                </c:pt>
                <c:pt idx="701">
                  <c:v>884.199638695632</c:v>
                </c:pt>
                <c:pt idx="702">
                  <c:v>885.623768431413</c:v>
                </c:pt>
                <c:pt idx="703">
                  <c:v>887.039448795801</c:v>
                </c:pt>
                <c:pt idx="704">
                  <c:v>888.446701122256</c:v>
                </c:pt>
                <c:pt idx="705">
                  <c:v>889.845547155147</c:v>
                </c:pt>
                <c:pt idx="706">
                  <c:v>891.236009041592</c:v>
                </c:pt>
                <c:pt idx="707">
                  <c:v>892.618109323349</c:v>
                </c:pt>
                <c:pt idx="708">
                  <c:v>893.991870928753</c:v>
                </c:pt>
                <c:pt idx="709">
                  <c:v>895.357317164694</c:v>
                </c:pt>
                <c:pt idx="710">
                  <c:v>896.714471708646</c:v>
                </c:pt>
                <c:pt idx="711">
                  <c:v>898.063358600748</c:v>
                </c:pt>
                <c:pt idx="712">
                  <c:v>899.404002235936</c:v>
                </c:pt>
                <c:pt idx="713">
                  <c:v>900.736427356122</c:v>
                </c:pt>
                <c:pt idx="714">
                  <c:v>902.060659042437</c:v>
                </c:pt>
                <c:pt idx="715">
                  <c:v>903.376722707525</c:v>
                </c:pt>
                <c:pt idx="716">
                  <c:v>904.68464408789</c:v>
                </c:pt>
                <c:pt idx="717">
                  <c:v>905.984449236306</c:v>
                </c:pt>
                <c:pt idx="718">
                  <c:v>907.27616451429</c:v>
                </c:pt>
                <c:pt idx="719">
                  <c:v>908.559816584623</c:v>
                </c:pt>
                <c:pt idx="720">
                  <c:v>909.835432403945</c:v>
                </c:pt>
                <c:pt idx="721">
                  <c:v>911.103039215408</c:v>
                </c:pt>
                <c:pt idx="722">
                  <c:v>912.362664541389</c:v>
                </c:pt>
                <c:pt idx="723">
                  <c:v>913.614336176273</c:v>
                </c:pt>
                <c:pt idx="724">
                  <c:v>913.614336176273</c:v>
                </c:pt>
                <c:pt idx="725">
                  <c:v>913.614336176273</c:v>
                </c:pt>
                <c:pt idx="726">
                  <c:v>913.614336176273</c:v>
                </c:pt>
                <c:pt idx="727">
                  <c:v>913.614336176273</c:v>
                </c:pt>
                <c:pt idx="728">
                  <c:v>913.614336176273</c:v>
                </c:pt>
                <c:pt idx="729">
                  <c:v>913.614336176273</c:v>
                </c:pt>
                <c:pt idx="730">
                  <c:v>913.614336176273</c:v>
                </c:pt>
                <c:pt idx="731">
                  <c:v>913.614336176273</c:v>
                </c:pt>
                <c:pt idx="732">
                  <c:v>913.614336176273</c:v>
                </c:pt>
                <c:pt idx="733">
                  <c:v>913.614336176273</c:v>
                </c:pt>
                <c:pt idx="734">
                  <c:v>913.614336176273</c:v>
                </c:pt>
                <c:pt idx="735">
                  <c:v>913.614336176273</c:v>
                </c:pt>
                <c:pt idx="736">
                  <c:v>913.614336176273</c:v>
                </c:pt>
                <c:pt idx="737">
                  <c:v>913.614336176273</c:v>
                </c:pt>
                <c:pt idx="738">
                  <c:v>913.614336176273</c:v>
                </c:pt>
                <c:pt idx="739">
                  <c:v>913.614336176273</c:v>
                </c:pt>
                <c:pt idx="740">
                  <c:v>913.614336176273</c:v>
                </c:pt>
                <c:pt idx="741">
                  <c:v>913.614336176273</c:v>
                </c:pt>
                <c:pt idx="742">
                  <c:v>913.614336176273</c:v>
                </c:pt>
                <c:pt idx="743">
                  <c:v>913.614336176273</c:v>
                </c:pt>
                <c:pt idx="744">
                  <c:v>913.614336176273</c:v>
                </c:pt>
                <c:pt idx="745">
                  <c:v>913.614336176273</c:v>
                </c:pt>
                <c:pt idx="746">
                  <c:v>913.614336176273</c:v>
                </c:pt>
                <c:pt idx="747">
                  <c:v>913.614336176273</c:v>
                </c:pt>
                <c:pt idx="748">
                  <c:v>913.614336176273</c:v>
                </c:pt>
                <c:pt idx="749">
                  <c:v>913.614336176273</c:v>
                </c:pt>
                <c:pt idx="750">
                  <c:v>913.614336176273</c:v>
                </c:pt>
                <c:pt idx="751">
                  <c:v>913.614336176273</c:v>
                </c:pt>
                <c:pt idx="752">
                  <c:v>913.614336176273</c:v>
                </c:pt>
                <c:pt idx="753">
                  <c:v>913.614336176273</c:v>
                </c:pt>
                <c:pt idx="754">
                  <c:v>913.614336176273</c:v>
                </c:pt>
                <c:pt idx="755">
                  <c:v>913.614336176273</c:v>
                </c:pt>
                <c:pt idx="756">
                  <c:v>913.614336176273</c:v>
                </c:pt>
                <c:pt idx="757">
                  <c:v>913.614336176273</c:v>
                </c:pt>
                <c:pt idx="758">
                  <c:v>913.614336176273</c:v>
                </c:pt>
                <c:pt idx="759">
                  <c:v>913.614336176273</c:v>
                </c:pt>
                <c:pt idx="760">
                  <c:v>913.614336176273</c:v>
                </c:pt>
                <c:pt idx="761">
                  <c:v>913.614336176273</c:v>
                </c:pt>
                <c:pt idx="762">
                  <c:v>913.614336176273</c:v>
                </c:pt>
                <c:pt idx="763">
                  <c:v>913.614336176273</c:v>
                </c:pt>
                <c:pt idx="764">
                  <c:v>913.614336176273</c:v>
                </c:pt>
                <c:pt idx="765">
                  <c:v>913.614336176273</c:v>
                </c:pt>
                <c:pt idx="766">
                  <c:v>913.614336176273</c:v>
                </c:pt>
                <c:pt idx="767">
                  <c:v>913.614336176273</c:v>
                </c:pt>
                <c:pt idx="768">
                  <c:v>913.614336176273</c:v>
                </c:pt>
                <c:pt idx="769">
                  <c:v>913.614336176273</c:v>
                </c:pt>
                <c:pt idx="770">
                  <c:v>913.614336176273</c:v>
                </c:pt>
                <c:pt idx="771">
                  <c:v>913.614336176273</c:v>
                </c:pt>
                <c:pt idx="772">
                  <c:v>913.614336176273</c:v>
                </c:pt>
                <c:pt idx="773">
                  <c:v>913.614336176273</c:v>
                </c:pt>
                <c:pt idx="774">
                  <c:v>913.614336176273</c:v>
                </c:pt>
                <c:pt idx="775">
                  <c:v>913.614336176273</c:v>
                </c:pt>
                <c:pt idx="776">
                  <c:v>913.614336176273</c:v>
                </c:pt>
                <c:pt idx="777">
                  <c:v>913.614336176273</c:v>
                </c:pt>
                <c:pt idx="778">
                  <c:v>913.614336176273</c:v>
                </c:pt>
                <c:pt idx="779">
                  <c:v>913.614336176273</c:v>
                </c:pt>
                <c:pt idx="780">
                  <c:v>913.614336176273</c:v>
                </c:pt>
                <c:pt idx="781">
                  <c:v>913.614336176273</c:v>
                </c:pt>
                <c:pt idx="782">
                  <c:v>913.614336176273</c:v>
                </c:pt>
                <c:pt idx="783">
                  <c:v>913.614336176273</c:v>
                </c:pt>
                <c:pt idx="784">
                  <c:v>913.614336176273</c:v>
                </c:pt>
                <c:pt idx="785">
                  <c:v>913.614336176273</c:v>
                </c:pt>
                <c:pt idx="786">
                  <c:v>913.614336176273</c:v>
                </c:pt>
                <c:pt idx="787">
                  <c:v>913.614336176273</c:v>
                </c:pt>
                <c:pt idx="788">
                  <c:v>913.614336176273</c:v>
                </c:pt>
                <c:pt idx="789">
                  <c:v>913.614336176273</c:v>
                </c:pt>
                <c:pt idx="790">
                  <c:v>913.614336176273</c:v>
                </c:pt>
                <c:pt idx="791">
                  <c:v>913.614336176273</c:v>
                </c:pt>
                <c:pt idx="792">
                  <c:v>913.614336176273</c:v>
                </c:pt>
                <c:pt idx="793">
                  <c:v>913.614336176273</c:v>
                </c:pt>
                <c:pt idx="794">
                  <c:v>913.614336176273</c:v>
                </c:pt>
                <c:pt idx="795">
                  <c:v>913.614336176273</c:v>
                </c:pt>
                <c:pt idx="796">
                  <c:v>913.614336176273</c:v>
                </c:pt>
                <c:pt idx="797">
                  <c:v>913.614336176273</c:v>
                </c:pt>
                <c:pt idx="798">
                  <c:v>913.614336176273</c:v>
                </c:pt>
                <c:pt idx="799">
                  <c:v>913.614336176273</c:v>
                </c:pt>
                <c:pt idx="800">
                  <c:v>913.614336176273</c:v>
                </c:pt>
                <c:pt idx="801">
                  <c:v>913.614336176273</c:v>
                </c:pt>
                <c:pt idx="802">
                  <c:v>913.614336176273</c:v>
                </c:pt>
                <c:pt idx="803">
                  <c:v>913.614336176273</c:v>
                </c:pt>
                <c:pt idx="804">
                  <c:v>913.614336176273</c:v>
                </c:pt>
                <c:pt idx="805">
                  <c:v>913.614336176273</c:v>
                </c:pt>
                <c:pt idx="806">
                  <c:v>913.614336176273</c:v>
                </c:pt>
                <c:pt idx="807">
                  <c:v>913.614336176273</c:v>
                </c:pt>
                <c:pt idx="808">
                  <c:v>913.614336176273</c:v>
                </c:pt>
                <c:pt idx="809">
                  <c:v>913.614336176273</c:v>
                </c:pt>
                <c:pt idx="810">
                  <c:v>913.614336176273</c:v>
                </c:pt>
                <c:pt idx="811">
                  <c:v>913.614336176273</c:v>
                </c:pt>
                <c:pt idx="812">
                  <c:v>913.614336176273</c:v>
                </c:pt>
                <c:pt idx="813">
                  <c:v>913.614336176273</c:v>
                </c:pt>
                <c:pt idx="814">
                  <c:v>913.614336176273</c:v>
                </c:pt>
                <c:pt idx="815">
                  <c:v>913.614336176273</c:v>
                </c:pt>
                <c:pt idx="816">
                  <c:v>913.614336176273</c:v>
                </c:pt>
                <c:pt idx="817">
                  <c:v>913.614336176273</c:v>
                </c:pt>
                <c:pt idx="818">
                  <c:v>913.614336176273</c:v>
                </c:pt>
                <c:pt idx="819">
                  <c:v>913.614336176273</c:v>
                </c:pt>
                <c:pt idx="820">
                  <c:v>913.614336176273</c:v>
                </c:pt>
                <c:pt idx="821">
                  <c:v>913.614336176273</c:v>
                </c:pt>
                <c:pt idx="822">
                  <c:v>913.614336176273</c:v>
                </c:pt>
                <c:pt idx="823">
                  <c:v>913.614336176273</c:v>
                </c:pt>
                <c:pt idx="824">
                  <c:v>913.614336176273</c:v>
                </c:pt>
                <c:pt idx="825">
                  <c:v>913.614336176273</c:v>
                </c:pt>
                <c:pt idx="826">
                  <c:v>913.614336176273</c:v>
                </c:pt>
                <c:pt idx="827">
                  <c:v>913.614336176273</c:v>
                </c:pt>
                <c:pt idx="828">
                  <c:v>913.614336176273</c:v>
                </c:pt>
                <c:pt idx="829">
                  <c:v>913.614336176273</c:v>
                </c:pt>
                <c:pt idx="830">
                  <c:v>913.614336176273</c:v>
                </c:pt>
                <c:pt idx="831">
                  <c:v>913.614336176273</c:v>
                </c:pt>
                <c:pt idx="832">
                  <c:v>913.614336176273</c:v>
                </c:pt>
                <c:pt idx="833">
                  <c:v>913.614336176273</c:v>
                </c:pt>
                <c:pt idx="834">
                  <c:v>913.614336176273</c:v>
                </c:pt>
                <c:pt idx="835">
                  <c:v>913.614336176273</c:v>
                </c:pt>
                <c:pt idx="836">
                  <c:v>913.614336176273</c:v>
                </c:pt>
                <c:pt idx="837">
                  <c:v>913.614336176273</c:v>
                </c:pt>
                <c:pt idx="838">
                  <c:v>913.614336176273</c:v>
                </c:pt>
                <c:pt idx="839">
                  <c:v>913.614336176273</c:v>
                </c:pt>
                <c:pt idx="840">
                  <c:v>913.614336176273</c:v>
                </c:pt>
                <c:pt idx="841">
                  <c:v>913.614336176273</c:v>
                </c:pt>
                <c:pt idx="842">
                  <c:v>913.614336176273</c:v>
                </c:pt>
                <c:pt idx="843">
                  <c:v>913.614336176273</c:v>
                </c:pt>
                <c:pt idx="844">
                  <c:v>913.614336176273</c:v>
                </c:pt>
                <c:pt idx="845">
                  <c:v>913.614336176273</c:v>
                </c:pt>
                <c:pt idx="846">
                  <c:v>913.614336176273</c:v>
                </c:pt>
                <c:pt idx="847">
                  <c:v>913.614336176273</c:v>
                </c:pt>
                <c:pt idx="848">
                  <c:v>913.614336176273</c:v>
                </c:pt>
                <c:pt idx="849">
                  <c:v>913.614336176273</c:v>
                </c:pt>
                <c:pt idx="850">
                  <c:v>913.614336176273</c:v>
                </c:pt>
                <c:pt idx="851">
                  <c:v>913.614336176273</c:v>
                </c:pt>
                <c:pt idx="852">
                  <c:v>913.614336176273</c:v>
                </c:pt>
                <c:pt idx="853">
                  <c:v>913.614336176273</c:v>
                </c:pt>
                <c:pt idx="854">
                  <c:v>913.614336176273</c:v>
                </c:pt>
                <c:pt idx="855">
                  <c:v>913.614336176273</c:v>
                </c:pt>
                <c:pt idx="856">
                  <c:v>913.614336176273</c:v>
                </c:pt>
                <c:pt idx="857">
                  <c:v>913.614336176273</c:v>
                </c:pt>
                <c:pt idx="858">
                  <c:v>913.614336176273</c:v>
                </c:pt>
                <c:pt idx="859">
                  <c:v>913.614336176273</c:v>
                </c:pt>
                <c:pt idx="860">
                  <c:v>913.614336176273</c:v>
                </c:pt>
                <c:pt idx="861">
                  <c:v>913.614336176273</c:v>
                </c:pt>
                <c:pt idx="862">
                  <c:v>913.614336176273</c:v>
                </c:pt>
                <c:pt idx="863">
                  <c:v>913.614336176273</c:v>
                </c:pt>
                <c:pt idx="864">
                  <c:v>913.614336176273</c:v>
                </c:pt>
                <c:pt idx="865">
                  <c:v>913.614336176273</c:v>
                </c:pt>
                <c:pt idx="866">
                  <c:v>913.614336176273</c:v>
                </c:pt>
                <c:pt idx="867">
                  <c:v>913.614336176273</c:v>
                </c:pt>
                <c:pt idx="868">
                  <c:v>913.614336176273</c:v>
                </c:pt>
                <c:pt idx="869">
                  <c:v>913.614336176273</c:v>
                </c:pt>
                <c:pt idx="870">
                  <c:v>913.614336176273</c:v>
                </c:pt>
                <c:pt idx="871">
                  <c:v>913.614336176273</c:v>
                </c:pt>
                <c:pt idx="872">
                  <c:v>913.614336176273</c:v>
                </c:pt>
                <c:pt idx="873">
                  <c:v>913.614336176273</c:v>
                </c:pt>
                <c:pt idx="874">
                  <c:v>913.614336176273</c:v>
                </c:pt>
                <c:pt idx="875">
                  <c:v>913.614336176273</c:v>
                </c:pt>
                <c:pt idx="876">
                  <c:v>913.614336176273</c:v>
                </c:pt>
                <c:pt idx="877">
                  <c:v>913.614336176273</c:v>
                </c:pt>
                <c:pt idx="878">
                  <c:v>913.614336176273</c:v>
                </c:pt>
                <c:pt idx="879">
                  <c:v>913.614336176273</c:v>
                </c:pt>
                <c:pt idx="880">
                  <c:v>913.614336176273</c:v>
                </c:pt>
                <c:pt idx="881">
                  <c:v>913.614336176273</c:v>
                </c:pt>
                <c:pt idx="882">
                  <c:v>913.614336176273</c:v>
                </c:pt>
                <c:pt idx="883">
                  <c:v>913.614336176273</c:v>
                </c:pt>
                <c:pt idx="884">
                  <c:v>913.614336176273</c:v>
                </c:pt>
                <c:pt idx="885">
                  <c:v>913.614336176273</c:v>
                </c:pt>
                <c:pt idx="886">
                  <c:v>913.614336176273</c:v>
                </c:pt>
                <c:pt idx="887">
                  <c:v>913.614336176273</c:v>
                </c:pt>
                <c:pt idx="888">
                  <c:v>913.614336176273</c:v>
                </c:pt>
                <c:pt idx="889">
                  <c:v>913.614336176273</c:v>
                </c:pt>
                <c:pt idx="890">
                  <c:v>913.614336176273</c:v>
                </c:pt>
                <c:pt idx="891">
                  <c:v>913.614336176273</c:v>
                </c:pt>
                <c:pt idx="892">
                  <c:v>913.614336176273</c:v>
                </c:pt>
                <c:pt idx="893">
                  <c:v>913.614336176273</c:v>
                </c:pt>
                <c:pt idx="894">
                  <c:v>913.614336176273</c:v>
                </c:pt>
                <c:pt idx="895">
                  <c:v>913.614336176273</c:v>
                </c:pt>
                <c:pt idx="896">
                  <c:v>913.614336176273</c:v>
                </c:pt>
                <c:pt idx="897">
                  <c:v>913.614336176273</c:v>
                </c:pt>
                <c:pt idx="898">
                  <c:v>913.614336176273</c:v>
                </c:pt>
                <c:pt idx="899">
                  <c:v>913.614336176273</c:v>
                </c:pt>
                <c:pt idx="900">
                  <c:v>913.614336176273</c:v>
                </c:pt>
                <c:pt idx="901">
                  <c:v>913.614336176273</c:v>
                </c:pt>
                <c:pt idx="902">
                  <c:v>913.614336176273</c:v>
                </c:pt>
                <c:pt idx="903">
                  <c:v>913.614336176273</c:v>
                </c:pt>
                <c:pt idx="904">
                  <c:v>913.614336176273</c:v>
                </c:pt>
                <c:pt idx="905">
                  <c:v>913.614336176273</c:v>
                </c:pt>
                <c:pt idx="906">
                  <c:v>913.614336176273</c:v>
                </c:pt>
                <c:pt idx="907">
                  <c:v>913.614336176273</c:v>
                </c:pt>
                <c:pt idx="908">
                  <c:v>913.614336176273</c:v>
                </c:pt>
                <c:pt idx="909">
                  <c:v>913.614336176273</c:v>
                </c:pt>
                <c:pt idx="910">
                  <c:v>913.614336176273</c:v>
                </c:pt>
                <c:pt idx="911">
                  <c:v>913.614336176273</c:v>
                </c:pt>
                <c:pt idx="912">
                  <c:v>913.614336176273</c:v>
                </c:pt>
                <c:pt idx="913">
                  <c:v>913.614336176273</c:v>
                </c:pt>
                <c:pt idx="914">
                  <c:v>913.614336176273</c:v>
                </c:pt>
                <c:pt idx="915">
                  <c:v>913.614336176273</c:v>
                </c:pt>
                <c:pt idx="916">
                  <c:v>913.614336176273</c:v>
                </c:pt>
                <c:pt idx="917">
                  <c:v>913.614336176273</c:v>
                </c:pt>
                <c:pt idx="918">
                  <c:v>913.614336176273</c:v>
                </c:pt>
                <c:pt idx="919">
                  <c:v>913.614336176273</c:v>
                </c:pt>
                <c:pt idx="920">
                  <c:v>913.614336176273</c:v>
                </c:pt>
                <c:pt idx="921">
                  <c:v>913.614336176273</c:v>
                </c:pt>
                <c:pt idx="922">
                  <c:v>913.614336176273</c:v>
                </c:pt>
                <c:pt idx="923">
                  <c:v>913.614336176273</c:v>
                </c:pt>
                <c:pt idx="924">
                  <c:v>913.614336176273</c:v>
                </c:pt>
                <c:pt idx="925">
                  <c:v>913.614336176273</c:v>
                </c:pt>
                <c:pt idx="926">
                  <c:v>913.614336176273</c:v>
                </c:pt>
                <c:pt idx="927">
                  <c:v>913.614336176273</c:v>
                </c:pt>
                <c:pt idx="928">
                  <c:v>913.614336176273</c:v>
                </c:pt>
                <c:pt idx="929">
                  <c:v>913.614336176273</c:v>
                </c:pt>
                <c:pt idx="930">
                  <c:v>913.614336176273</c:v>
                </c:pt>
                <c:pt idx="931">
                  <c:v>913.614336176273</c:v>
                </c:pt>
                <c:pt idx="932">
                  <c:v>913.614336176273</c:v>
                </c:pt>
                <c:pt idx="933">
                  <c:v>913.614336176273</c:v>
                </c:pt>
                <c:pt idx="934">
                  <c:v>913.614336176273</c:v>
                </c:pt>
                <c:pt idx="935">
                  <c:v>913.614336176273</c:v>
                </c:pt>
                <c:pt idx="936">
                  <c:v>913.614336176273</c:v>
                </c:pt>
                <c:pt idx="937">
                  <c:v>913.614336176273</c:v>
                </c:pt>
                <c:pt idx="938">
                  <c:v>913.614336176273</c:v>
                </c:pt>
                <c:pt idx="939">
                  <c:v>913.614336176273</c:v>
                </c:pt>
                <c:pt idx="940">
                  <c:v>913.614336176273</c:v>
                </c:pt>
                <c:pt idx="941">
                  <c:v>913.614336176273</c:v>
                </c:pt>
                <c:pt idx="942">
                  <c:v>913.614336176273</c:v>
                </c:pt>
                <c:pt idx="943">
                  <c:v>913.614336176273</c:v>
                </c:pt>
                <c:pt idx="944">
                  <c:v>913.614336176273</c:v>
                </c:pt>
                <c:pt idx="945">
                  <c:v>913.614336176273</c:v>
                </c:pt>
                <c:pt idx="946">
                  <c:v>913.614336176273</c:v>
                </c:pt>
                <c:pt idx="947">
                  <c:v>913.614336176273</c:v>
                </c:pt>
                <c:pt idx="948">
                  <c:v>913.614336176273</c:v>
                </c:pt>
                <c:pt idx="949">
                  <c:v>913.614336176273</c:v>
                </c:pt>
                <c:pt idx="950">
                  <c:v>913.614336176273</c:v>
                </c:pt>
                <c:pt idx="951">
                  <c:v>913.614336176273</c:v>
                </c:pt>
                <c:pt idx="952">
                  <c:v>913.614336176273</c:v>
                </c:pt>
                <c:pt idx="953">
                  <c:v>913.614336176273</c:v>
                </c:pt>
                <c:pt idx="954">
                  <c:v>913.614336176273</c:v>
                </c:pt>
                <c:pt idx="955">
                  <c:v>913.614336176273</c:v>
                </c:pt>
                <c:pt idx="956">
                  <c:v>913.614336176273</c:v>
                </c:pt>
                <c:pt idx="957">
                  <c:v>913.614336176273</c:v>
                </c:pt>
                <c:pt idx="958">
                  <c:v>913.614336176273</c:v>
                </c:pt>
                <c:pt idx="959">
                  <c:v>913.614336176273</c:v>
                </c:pt>
                <c:pt idx="960">
                  <c:v>913.614336176273</c:v>
                </c:pt>
                <c:pt idx="961">
                  <c:v>913.614336176273</c:v>
                </c:pt>
                <c:pt idx="962">
                  <c:v>913.614336176273</c:v>
                </c:pt>
                <c:pt idx="963">
                  <c:v>913.614336176273</c:v>
                </c:pt>
                <c:pt idx="964">
                  <c:v>913.614336176273</c:v>
                </c:pt>
                <c:pt idx="965">
                  <c:v>913.614336176273</c:v>
                </c:pt>
                <c:pt idx="966">
                  <c:v>913.614336176273</c:v>
                </c:pt>
                <c:pt idx="967">
                  <c:v>913.614336176273</c:v>
                </c:pt>
                <c:pt idx="968">
                  <c:v>913.614336176273</c:v>
                </c:pt>
                <c:pt idx="969">
                  <c:v>913.614336176273</c:v>
                </c:pt>
                <c:pt idx="970">
                  <c:v>913.614336176273</c:v>
                </c:pt>
                <c:pt idx="971">
                  <c:v>913.614336176273</c:v>
                </c:pt>
                <c:pt idx="972">
                  <c:v>913.614336176273</c:v>
                </c:pt>
                <c:pt idx="973">
                  <c:v>913.614336176273</c:v>
                </c:pt>
                <c:pt idx="974">
                  <c:v>913.614336176273</c:v>
                </c:pt>
                <c:pt idx="975">
                  <c:v>913.614336176273</c:v>
                </c:pt>
                <c:pt idx="976">
                  <c:v>913.614336176273</c:v>
                </c:pt>
                <c:pt idx="977">
                  <c:v>913.614336176273</c:v>
                </c:pt>
                <c:pt idx="978">
                  <c:v>913.614336176273</c:v>
                </c:pt>
                <c:pt idx="979">
                  <c:v>913.614336176273</c:v>
                </c:pt>
                <c:pt idx="980">
                  <c:v>913.614336176273</c:v>
                </c:pt>
                <c:pt idx="981">
                  <c:v>913.614336176273</c:v>
                </c:pt>
                <c:pt idx="982">
                  <c:v>913.614336176273</c:v>
                </c:pt>
                <c:pt idx="983">
                  <c:v>913.614336176273</c:v>
                </c:pt>
                <c:pt idx="984">
                  <c:v>913.614336176273</c:v>
                </c:pt>
                <c:pt idx="985">
                  <c:v>913.614336176273</c:v>
                </c:pt>
                <c:pt idx="986">
                  <c:v>913.614336176273</c:v>
                </c:pt>
                <c:pt idx="987">
                  <c:v>913.614336176273</c:v>
                </c:pt>
                <c:pt idx="988">
                  <c:v>913.614336176273</c:v>
                </c:pt>
                <c:pt idx="989">
                  <c:v>913.614336176273</c:v>
                </c:pt>
                <c:pt idx="990">
                  <c:v>913.614336176273</c:v>
                </c:pt>
                <c:pt idx="991">
                  <c:v>913.614336176273</c:v>
                </c:pt>
                <c:pt idx="992">
                  <c:v>913.614336176273</c:v>
                </c:pt>
                <c:pt idx="993">
                  <c:v>913.614336176273</c:v>
                </c:pt>
                <c:pt idx="994">
                  <c:v>913.614336176273</c:v>
                </c:pt>
                <c:pt idx="995">
                  <c:v>913.614336176273</c:v>
                </c:pt>
                <c:pt idx="996">
                  <c:v>913.614336176273</c:v>
                </c:pt>
                <c:pt idx="997">
                  <c:v>913.614336176273</c:v>
                </c:pt>
                <c:pt idx="998">
                  <c:v>913.614336176273</c:v>
                </c:pt>
                <c:pt idx="999">
                  <c:v>913.614336176273</c:v>
                </c:pt>
                <c:pt idx="1000">
                  <c:v>913.614336176273</c:v>
                </c:pt>
              </c:numCache>
            </c:numRef>
          </c:xVal>
          <c:yVal>
            <c:numRef>
              <c:f>Calculs!$AE$4:$AE$1004</c:f>
              <c:numCache>
                <c:formatCode>General</c:formatCode>
                <c:ptCount val="1001"/>
                <c:pt idx="0">
                  <c:v>0</c:v>
                </c:pt>
                <c:pt idx="1">
                  <c:v>4.71066430277206E-005</c:v>
                </c:pt>
                <c:pt idx="2">
                  <c:v>0.00123430985045809</c:v>
                </c:pt>
                <c:pt idx="3">
                  <c:v>0.00565398827554792</c:v>
                </c:pt>
                <c:pt idx="4">
                  <c:v>0.0154000738490383</c:v>
                </c:pt>
                <c:pt idx="5">
                  <c:v>0.032568704976589</c:v>
                </c:pt>
                <c:pt idx="6">
                  <c:v>0.0587286030075707</c:v>
                </c:pt>
                <c:pt idx="7">
                  <c:v>0.0943900694407182</c:v>
                </c:pt>
                <c:pt idx="8">
                  <c:v>0.139533610440935</c:v>
                </c:pt>
                <c:pt idx="9">
                  <c:v>0.194139616707074</c:v>
                </c:pt>
                <c:pt idx="10">
                  <c:v>0.25818836387632</c:v>
                </c:pt>
                <c:pt idx="11">
                  <c:v>0.331660012933674</c:v>
                </c:pt>
                <c:pt idx="12">
                  <c:v>0.414534610626495</c:v>
                </c:pt>
                <c:pt idx="13">
                  <c:v>0.506792089884068</c:v>
                </c:pt>
                <c:pt idx="14">
                  <c:v>0.608412270242167</c:v>
                </c:pt>
                <c:pt idx="15">
                  <c:v>0.719374858272552</c:v>
                </c:pt>
                <c:pt idx="16">
                  <c:v>0.839659448017392</c:v>
                </c:pt>
                <c:pt idx="17">
                  <c:v>0.969245521428544</c:v>
                </c:pt>
                <c:pt idx="18">
                  <c:v>1.10811244881168</c:v>
                </c:pt>
                <c:pt idx="19">
                  <c:v>1.25623948927518</c:v>
                </c:pt>
                <c:pt idx="20">
                  <c:v>1.4136057911838</c:v>
                </c:pt>
                <c:pt idx="21">
                  <c:v>1.58019039261706</c:v>
                </c:pt>
                <c:pt idx="22">
                  <c:v>1.75597222183222</c:v>
                </c:pt>
                <c:pt idx="23">
                  <c:v>1.94093009773201</c:v>
                </c:pt>
                <c:pt idx="24">
                  <c:v>2.13504273033682</c:v>
                </c:pt>
                <c:pt idx="25">
                  <c:v>2.33828872126149</c:v>
                </c:pt>
                <c:pt idx="26">
                  <c:v>2.55064656419662</c:v>
                </c:pt>
                <c:pt idx="27">
                  <c:v>2.77209464539425</c:v>
                </c:pt>
                <c:pt idx="28">
                  <c:v>3.00261124415803</c:v>
                </c:pt>
                <c:pt idx="29">
                  <c:v>3.24217453333772</c:v>
                </c:pt>
                <c:pt idx="30">
                  <c:v>3.49076257982799</c:v>
                </c:pt>
                <c:pt idx="31">
                  <c:v>3.74835334507152</c:v>
                </c:pt>
                <c:pt idx="32">
                  <c:v>4.01492468556632</c:v>
                </c:pt>
                <c:pt idx="33">
                  <c:v>4.29043955550623</c:v>
                </c:pt>
                <c:pt idx="34">
                  <c:v>4.57486029065876</c:v>
                </c:pt>
                <c:pt idx="35">
                  <c:v>4.86816341380027</c:v>
                </c:pt>
                <c:pt idx="36">
                  <c:v>5.17032536614843</c:v>
                </c:pt>
                <c:pt idx="37">
                  <c:v>5.48132251439453</c:v>
                </c:pt>
                <c:pt idx="38">
                  <c:v>5.80113114984989</c:v>
                </c:pt>
                <c:pt idx="39">
                  <c:v>6.12972748770731</c:v>
                </c:pt>
                <c:pt idx="40">
                  <c:v>6.46708766640578</c:v>
                </c:pt>
                <c:pt idx="41">
                  <c:v>6.81318774708791</c:v>
                </c:pt>
                <c:pt idx="42">
                  <c:v>7.16800371314139</c:v>
                </c:pt>
                <c:pt idx="43">
                  <c:v>7.53151146981626</c:v>
                </c:pt>
                <c:pt idx="44">
                  <c:v>7.90368684391139</c:v>
                </c:pt>
                <c:pt idx="45">
                  <c:v>8.28450558352366</c:v>
                </c:pt>
                <c:pt idx="46">
                  <c:v>8.67394335785479</c:v>
                </c:pt>
                <c:pt idx="47">
                  <c:v>9.07197575707059</c:v>
                </c:pt>
                <c:pt idx="48">
                  <c:v>9.47857829220871</c:v>
                </c:pt>
                <c:pt idx="49">
                  <c:v>9.89372639513068</c:v>
                </c:pt>
                <c:pt idx="50">
                  <c:v>10.3173954185151</c:v>
                </c:pt>
                <c:pt idx="51">
                  <c:v>10.7495634267414</c:v>
                </c:pt>
                <c:pt idx="52">
                  <c:v>11.1902139904642</c:v>
                </c:pt>
                <c:pt idx="53">
                  <c:v>11.6393334007848</c:v>
                </c:pt>
                <c:pt idx="54">
                  <c:v>12.096907879664</c:v>
                </c:pt>
                <c:pt idx="55">
                  <c:v>12.5629235798068</c:v>
                </c:pt>
                <c:pt idx="56">
                  <c:v>13.0373665845716</c:v>
                </c:pt>
                <c:pt idx="57">
                  <c:v>13.5202229079007</c:v>
                </c:pt>
                <c:pt idx="58">
                  <c:v>14.0114784942715</c:v>
                </c:pt>
                <c:pt idx="59">
                  <c:v>14.5111192186678</c:v>
                </c:pt>
                <c:pt idx="60">
                  <c:v>15.0191308865683</c:v>
                </c:pt>
                <c:pt idx="61">
                  <c:v>15.5354992339537</c:v>
                </c:pt>
                <c:pt idx="62">
                  <c:v>16.0602099273289</c:v>
                </c:pt>
                <c:pt idx="63">
                  <c:v>16.5932485637618</c:v>
                </c:pt>
                <c:pt idx="64">
                  <c:v>17.1346006709362</c:v>
                </c:pt>
                <c:pt idx="65">
                  <c:v>17.6842517072186</c:v>
                </c:pt>
                <c:pt idx="66">
                  <c:v>18.2421870617386</c:v>
                </c:pt>
                <c:pt idx="67">
                  <c:v>18.8083920544817</c:v>
                </c:pt>
                <c:pt idx="68">
                  <c:v>19.3828519363943</c:v>
                </c:pt>
                <c:pt idx="69">
                  <c:v>19.9655518894997</c:v>
                </c:pt>
                <c:pt idx="70">
                  <c:v>20.5564770270259</c:v>
                </c:pt>
                <c:pt idx="71">
                  <c:v>21.1556123935431</c:v>
                </c:pt>
                <c:pt idx="72">
                  <c:v>21.7629429651116</c:v>
                </c:pt>
                <c:pt idx="73">
                  <c:v>22.3784536494392</c:v>
                </c:pt>
                <c:pt idx="74">
                  <c:v>23.002129286048</c:v>
                </c:pt>
                <c:pt idx="75">
                  <c:v>23.6339546464496</c:v>
                </c:pt>
                <c:pt idx="76">
                  <c:v>24.2739144343295</c:v>
                </c:pt>
                <c:pt idx="77">
                  <c:v>24.9219932857388</c:v>
                </c:pt>
                <c:pt idx="78">
                  <c:v>25.5781757692946</c:v>
                </c:pt>
                <c:pt idx="79">
                  <c:v>26.2424463863875</c:v>
                </c:pt>
                <c:pt idx="80">
                  <c:v>26.9147895713961</c:v>
                </c:pt>
                <c:pt idx="81">
                  <c:v>27.5951896919097</c:v>
                </c:pt>
                <c:pt idx="82">
                  <c:v>28.283631048956</c:v>
                </c:pt>
                <c:pt idx="83">
                  <c:v>28.9800978772374</c:v>
                </c:pt>
                <c:pt idx="84">
                  <c:v>29.6845743453716</c:v>
                </c:pt>
                <c:pt idx="85">
                  <c:v>30.3970445561403</c:v>
                </c:pt>
                <c:pt idx="86">
                  <c:v>31.1174925467421</c:v>
                </c:pt>
                <c:pt idx="87">
                  <c:v>31.8459022890522</c:v>
                </c:pt>
                <c:pt idx="88">
                  <c:v>32.5822576898873</c:v>
                </c:pt>
                <c:pt idx="89">
                  <c:v>33.3265425912761</c:v>
                </c:pt>
                <c:pt idx="90">
                  <c:v>34.0787407707346</c:v>
                </c:pt>
                <c:pt idx="91">
                  <c:v>34.8388359415468</c:v>
                </c:pt>
                <c:pt idx="92">
                  <c:v>35.6068117530504</c:v>
                </c:pt>
                <c:pt idx="93">
                  <c:v>36.382651790927</c:v>
                </c:pt>
                <c:pt idx="94">
                  <c:v>37.166339577497</c:v>
                </c:pt>
                <c:pt idx="95">
                  <c:v>37.9578585720189</c:v>
                </c:pt>
                <c:pt idx="96">
                  <c:v>38.7571921709936</c:v>
                </c:pt>
                <c:pt idx="97">
                  <c:v>39.5643237084719</c:v>
                </c:pt>
                <c:pt idx="98">
                  <c:v>40.3792364563671</c:v>
                </c:pt>
                <c:pt idx="99">
                  <c:v>41.2019136247711</c:v>
                </c:pt>
                <c:pt idx="100">
                  <c:v>42.0323383622743</c:v>
                </c:pt>
                <c:pt idx="101">
                  <c:v>42.8704924708862</c:v>
                </c:pt>
                <c:pt idx="102">
                  <c:v>43.716355119818</c:v>
                </c:pt>
                <c:pt idx="103">
                  <c:v>44.569904130051</c:v>
                </c:pt>
                <c:pt idx="104">
                  <c:v>45.4311172601144</c:v>
                </c:pt>
                <c:pt idx="105">
                  <c:v>46.2999722065565</c:v>
                </c:pt>
                <c:pt idx="106">
                  <c:v>47.1764466044198</c:v>
                </c:pt>
                <c:pt idx="107">
                  <c:v>48.060518027718</c:v>
                </c:pt>
                <c:pt idx="108">
                  <c:v>48.9521639899168</c:v>
                </c:pt>
                <c:pt idx="109">
                  <c:v>49.851361944418</c:v>
                </c:pt>
                <c:pt idx="110">
                  <c:v>50.7580892850451</c:v>
                </c:pt>
                <c:pt idx="111">
                  <c:v>51.6723233465329</c:v>
                </c:pt>
                <c:pt idx="112">
                  <c:v>52.5940414050188</c:v>
                </c:pt>
                <c:pt idx="113">
                  <c:v>53.5232206785372</c:v>
                </c:pt>
                <c:pt idx="114">
                  <c:v>54.4598383275164</c:v>
                </c:pt>
                <c:pt idx="115">
                  <c:v>55.403871455277</c:v>
                </c:pt>
                <c:pt idx="116">
                  <c:v>56.3552971085334</c:v>
                </c:pt>
                <c:pt idx="117">
                  <c:v>57.3140922778975</c:v>
                </c:pt>
                <c:pt idx="118">
                  <c:v>58.2802338983836</c:v>
                </c:pt>
                <c:pt idx="119">
                  <c:v>59.2536988499165</c:v>
                </c:pt>
                <c:pt idx="120">
                  <c:v>60.2344639578404</c:v>
                </c:pt>
                <c:pt idx="121">
                  <c:v>61.2225059934308</c:v>
                </c:pt>
                <c:pt idx="122">
                  <c:v>62.217801674407</c:v>
                </c:pt>
                <c:pt idx="123">
                  <c:v>63.2203276654471</c:v>
                </c:pt>
                <c:pt idx="124">
                  <c:v>64.2300605787047</c:v>
                </c:pt>
                <c:pt idx="125">
                  <c:v>65.2469769743264</c:v>
                </c:pt>
                <c:pt idx="126">
                  <c:v>66.2710533609717</c:v>
                </c:pt>
                <c:pt idx="127">
                  <c:v>67.3022661963334</c:v>
                </c:pt>
                <c:pt idx="128">
                  <c:v>68.3405918876606</c:v>
                </c:pt>
                <c:pt idx="129">
                  <c:v>69.3860067922815</c:v>
                </c:pt>
                <c:pt idx="130">
                  <c:v>70.4384872181287</c:v>
                </c:pt>
                <c:pt idx="131">
                  <c:v>71.4980094242647</c:v>
                </c:pt>
                <c:pt idx="132">
                  <c:v>72.5645496214094</c:v>
                </c:pt>
                <c:pt idx="133">
                  <c:v>73.6380839724678</c:v>
                </c:pt>
                <c:pt idx="134">
                  <c:v>74.7185885930593</c:v>
                </c:pt>
                <c:pt idx="135">
                  <c:v>75.8060395520476</c:v>
                </c:pt>
                <c:pt idx="136">
                  <c:v>76.9004128720713</c:v>
                </c:pt>
                <c:pt idx="137">
                  <c:v>78.0016845300758</c:v>
                </c:pt>
                <c:pt idx="138">
                  <c:v>79.1098304578455</c:v>
                </c:pt>
                <c:pt idx="139">
                  <c:v>80.2248265425371</c:v>
                </c:pt>
                <c:pt idx="140">
                  <c:v>81.3466486272129</c:v>
                </c:pt>
                <c:pt idx="141">
                  <c:v>82.4752725113751</c:v>
                </c:pt>
                <c:pt idx="142">
                  <c:v>83.6106739515009</c:v>
                </c:pt>
                <c:pt idx="143">
                  <c:v>84.7528286615774</c:v>
                </c:pt>
                <c:pt idx="144">
                  <c:v>85.9017123136373</c:v>
                </c:pt>
                <c:pt idx="145">
                  <c:v>87.0573005382948</c:v>
                </c:pt>
                <c:pt idx="146">
                  <c:v>88.2195689252822</c:v>
                </c:pt>
                <c:pt idx="147">
                  <c:v>89.3884930239861</c:v>
                </c:pt>
                <c:pt idx="148">
                  <c:v>90.5640483439844</c:v>
                </c:pt>
                <c:pt idx="149">
                  <c:v>91.7462103555831</c:v>
                </c:pt>
                <c:pt idx="150">
                  <c:v>92.9349544903534</c:v>
                </c:pt>
                <c:pt idx="151">
                  <c:v>94.1302565788154</c:v>
                </c:pt>
                <c:pt idx="152">
                  <c:v>95.3320932882854</c:v>
                </c:pt>
                <c:pt idx="153">
                  <c:v>96.5404416862398</c:v>
                </c:pt>
                <c:pt idx="154">
                  <c:v>97.7552788034952</c:v>
                </c:pt>
                <c:pt idx="155">
                  <c:v>98.9765816347021</c:v>
                </c:pt>
                <c:pt idx="156">
                  <c:v>100.20432713884</c:v>
                </c:pt>
                <c:pt idx="157">
                  <c:v>101.438492239708</c:v>
                </c:pt>
                <c:pt idx="158">
                  <c:v>102.679053826426</c:v>
                </c:pt>
                <c:pt idx="159">
                  <c:v>103.925988753919</c:v>
                </c:pt>
                <c:pt idx="160">
                  <c:v>105.179273843418</c:v>
                </c:pt>
                <c:pt idx="161">
                  <c:v>106.438885882952</c:v>
                </c:pt>
                <c:pt idx="162">
                  <c:v>107.704801627838</c:v>
                </c:pt>
                <c:pt idx="163">
                  <c:v>108.976997801179</c:v>
                </c:pt>
                <c:pt idx="164">
                  <c:v>110.255451094353</c:v>
                </c:pt>
                <c:pt idx="165">
                  <c:v>111.540138167508</c:v>
                </c:pt>
                <c:pt idx="166">
                  <c:v>112.831035650051</c:v>
                </c:pt>
                <c:pt idx="167">
                  <c:v>114.128120141145</c:v>
                </c:pt>
                <c:pt idx="168">
                  <c:v>115.431368210194</c:v>
                </c:pt>
                <c:pt idx="169">
                  <c:v>116.740756397338</c:v>
                </c:pt>
                <c:pt idx="170">
                  <c:v>118.056261213942</c:v>
                </c:pt>
                <c:pt idx="171">
                  <c:v>119.377859143086</c:v>
                </c:pt>
                <c:pt idx="172">
                  <c:v>120.705526640052</c:v>
                </c:pt>
                <c:pt idx="173">
                  <c:v>122.039240132817</c:v>
                </c:pt>
                <c:pt idx="174">
                  <c:v>123.378976022538</c:v>
                </c:pt>
                <c:pt idx="175">
                  <c:v>124.724710684037</c:v>
                </c:pt>
                <c:pt idx="176">
                  <c:v>126.076420466293</c:v>
                </c:pt>
                <c:pt idx="177">
                  <c:v>127.434081692924</c:v>
                </c:pt>
                <c:pt idx="178">
                  <c:v>128.797670662672</c:v>
                </c:pt>
                <c:pt idx="179">
                  <c:v>130.167163649887</c:v>
                </c:pt>
                <c:pt idx="180">
                  <c:v>131.542536905014</c:v>
                </c:pt>
                <c:pt idx="181">
                  <c:v>132.923766655069</c:v>
                </c:pt>
                <c:pt idx="182">
                  <c:v>134.310829104127</c:v>
                </c:pt>
                <c:pt idx="183">
                  <c:v>135.703700433798</c:v>
                </c:pt>
                <c:pt idx="184">
                  <c:v>137.102356803708</c:v>
                </c:pt>
                <c:pt idx="185">
                  <c:v>138.506774351979</c:v>
                </c:pt>
                <c:pt idx="186">
                  <c:v>139.916929195703</c:v>
                </c:pt>
                <c:pt idx="187">
                  <c:v>141.332797431424</c:v>
                </c:pt>
                <c:pt idx="188">
                  <c:v>142.754355135606</c:v>
                </c:pt>
                <c:pt idx="189">
                  <c:v>144.181578365115</c:v>
                </c:pt>
                <c:pt idx="190">
                  <c:v>145.614443157687</c:v>
                </c:pt>
                <c:pt idx="191">
                  <c:v>147.0529255324</c:v>
                </c:pt>
                <c:pt idx="192">
                  <c:v>148.497001490148</c:v>
                </c:pt>
                <c:pt idx="193">
                  <c:v>149.946647014108</c:v>
                </c:pt>
                <c:pt idx="194">
                  <c:v>151.401838070208</c:v>
                </c:pt>
                <c:pt idx="195">
                  <c:v>152.862550607597</c:v>
                </c:pt>
                <c:pt idx="196">
                  <c:v>154.328760559107</c:v>
                </c:pt>
                <c:pt idx="197">
                  <c:v>155.800443841716</c:v>
                </c:pt>
                <c:pt idx="198">
                  <c:v>157.277576357019</c:v>
                </c:pt>
                <c:pt idx="199">
                  <c:v>158.760133991679</c:v>
                </c:pt>
                <c:pt idx="200">
                  <c:v>160.248092617895</c:v>
                </c:pt>
                <c:pt idx="201">
                  <c:v>161.741428093858</c:v>
                </c:pt>
                <c:pt idx="202">
                  <c:v>163.240116264207</c:v>
                </c:pt>
                <c:pt idx="203">
                  <c:v>164.744132960485</c:v>
                </c:pt>
                <c:pt idx="204">
                  <c:v>166.253454001595</c:v>
                </c:pt>
                <c:pt idx="205">
                  <c:v>167.768055194253</c:v>
                </c:pt>
                <c:pt idx="206">
                  <c:v>169.287912333435</c:v>
                </c:pt>
                <c:pt idx="207">
                  <c:v>170.81300120283</c:v>
                </c:pt>
                <c:pt idx="208">
                  <c:v>172.343297575289</c:v>
                </c:pt>
                <c:pt idx="209">
                  <c:v>173.878777213267</c:v>
                </c:pt>
                <c:pt idx="210">
                  <c:v>175.419415869271</c:v>
                </c:pt>
                <c:pt idx="211">
                  <c:v>176.965189286301</c:v>
                </c:pt>
                <c:pt idx="212">
                  <c:v>178.516073198294</c:v>
                </c:pt>
                <c:pt idx="213">
                  <c:v>180.07204333056</c:v>
                </c:pt>
                <c:pt idx="214">
                  <c:v>181.633075400222</c:v>
                </c:pt>
                <c:pt idx="215">
                  <c:v>183.199145116653</c:v>
                </c:pt>
                <c:pt idx="216">
                  <c:v>184.770228181906</c:v>
                </c:pt>
                <c:pt idx="217">
                  <c:v>186.346300291152</c:v>
                </c:pt>
                <c:pt idx="218">
                  <c:v>187.927337133106</c:v>
                </c:pt>
                <c:pt idx="219">
                  <c:v>189.51331439046</c:v>
                </c:pt>
                <c:pt idx="220">
                  <c:v>191.104207740305</c:v>
                </c:pt>
                <c:pt idx="221">
                  <c:v>192.699992854561</c:v>
                </c:pt>
                <c:pt idx="222">
                  <c:v>194.300645400397</c:v>
                </c:pt>
                <c:pt idx="223">
                  <c:v>195.906141040655</c:v>
                </c:pt>
                <c:pt idx="224">
                  <c:v>197.516455434266</c:v>
                </c:pt>
                <c:pt idx="225">
                  <c:v>199.13156423667</c:v>
                </c:pt>
                <c:pt idx="226">
                  <c:v>200.751443100231</c:v>
                </c:pt>
                <c:pt idx="227">
                  <c:v>202.376067674649</c:v>
                </c:pt>
                <c:pt idx="228">
                  <c:v>204.005413607376</c:v>
                </c:pt>
                <c:pt idx="229">
                  <c:v>205.639456544018</c:v>
                </c:pt>
                <c:pt idx="230">
                  <c:v>207.27817212875</c:v>
                </c:pt>
                <c:pt idx="231">
                  <c:v>208.921536004717</c:v>
                </c:pt>
                <c:pt idx="232">
                  <c:v>210.56952381444</c:v>
                </c:pt>
                <c:pt idx="233">
                  <c:v>212.222111200213</c:v>
                </c:pt>
                <c:pt idx="234">
                  <c:v>213.879273804509</c:v>
                </c:pt>
                <c:pt idx="235">
                  <c:v>215.540987270371</c:v>
                </c:pt>
                <c:pt idx="236">
                  <c:v>217.207227241811</c:v>
                </c:pt>
                <c:pt idx="237">
                  <c:v>218.8779693642</c:v>
                </c:pt>
                <c:pt idx="238">
                  <c:v>220.553189284663</c:v>
                </c:pt>
                <c:pt idx="239">
                  <c:v>222.232862652461</c:v>
                </c:pt>
                <c:pt idx="240">
                  <c:v>223.916965119385</c:v>
                </c:pt>
                <c:pt idx="241">
                  <c:v>225.605472340134</c:v>
                </c:pt>
                <c:pt idx="242">
                  <c:v>227.298359972703</c:v>
                </c:pt>
                <c:pt idx="243">
                  <c:v>228.995603678757</c:v>
                </c:pt>
                <c:pt idx="244">
                  <c:v>230.697179124013</c:v>
                </c:pt>
                <c:pt idx="245">
                  <c:v>232.403061978614</c:v>
                </c:pt>
                <c:pt idx="246">
                  <c:v>234.113227917502</c:v>
                </c:pt>
                <c:pt idx="247">
                  <c:v>235.82765262079</c:v>
                </c:pt>
                <c:pt idx="248">
                  <c:v>237.54631177413</c:v>
                </c:pt>
                <c:pt idx="249">
                  <c:v>239.26918106908</c:v>
                </c:pt>
                <c:pt idx="250">
                  <c:v>240.996236203467</c:v>
                </c:pt>
                <c:pt idx="251">
                  <c:v>242.727450997963</c:v>
                </c:pt>
                <c:pt idx="252">
                  <c:v>244.46279551367</c:v>
                </c:pt>
                <c:pt idx="253">
                  <c:v>246.202237939506</c:v>
                </c:pt>
                <c:pt idx="254">
                  <c:v>247.945746478657</c:v>
                </c:pt>
                <c:pt idx="255">
                  <c:v>249.693289349061</c:v>
                </c:pt>
                <c:pt idx="256">
                  <c:v>251.444834783895</c:v>
                </c:pt>
                <c:pt idx="257">
                  <c:v>253.200351032058</c:v>
                </c:pt>
                <c:pt idx="258">
                  <c:v>254.959806358648</c:v>
                </c:pt>
                <c:pt idx="259">
                  <c:v>256.723169045439</c:v>
                </c:pt>
                <c:pt idx="260">
                  <c:v>258.490407391346</c:v>
                </c:pt>
                <c:pt idx="261">
                  <c:v>260.261489712894</c:v>
                </c:pt>
                <c:pt idx="262">
                  <c:v>262.036384344682</c:v>
                </c:pt>
                <c:pt idx="263">
                  <c:v>263.815059639837</c:v>
                </c:pt>
                <c:pt idx="264">
                  <c:v>265.597483970473</c:v>
                </c:pt>
                <c:pt idx="265">
                  <c:v>267.383625728138</c:v>
                </c:pt>
                <c:pt idx="266">
                  <c:v>269.173453324261</c:v>
                </c:pt>
                <c:pt idx="267">
                  <c:v>270.966935190597</c:v>
                </c:pt>
                <c:pt idx="268">
                  <c:v>272.764039779661</c:v>
                </c:pt>
                <c:pt idx="269">
                  <c:v>274.564735565166</c:v>
                </c:pt>
                <c:pt idx="270">
                  <c:v>276.368991042453</c:v>
                </c:pt>
                <c:pt idx="271">
                  <c:v>278.176774728917</c:v>
                </c:pt>
                <c:pt idx="272">
                  <c:v>279.988055164428</c:v>
                </c:pt>
                <c:pt idx="273">
                  <c:v>281.802800911753</c:v>
                </c:pt>
                <c:pt idx="274">
                  <c:v>283.620980556967</c:v>
                </c:pt>
                <c:pt idx="275">
                  <c:v>285.442562709865</c:v>
                </c:pt>
                <c:pt idx="276">
                  <c:v>287.26751600437</c:v>
                </c:pt>
                <c:pt idx="277">
                  <c:v>289.095809098934</c:v>
                </c:pt>
                <c:pt idx="278">
                  <c:v>290.927410676934</c:v>
                </c:pt>
                <c:pt idx="279">
                  <c:v>292.762289447072</c:v>
                </c:pt>
                <c:pt idx="280">
                  <c:v>294.600414143763</c:v>
                </c:pt>
                <c:pt idx="281">
                  <c:v>296.441753527518</c:v>
                </c:pt>
                <c:pt idx="282">
                  <c:v>298.286276385332</c:v>
                </c:pt>
                <c:pt idx="283">
                  <c:v>300.133951531061</c:v>
                </c:pt>
                <c:pt idx="284">
                  <c:v>301.984747805795</c:v>
                </c:pt>
                <c:pt idx="285">
                  <c:v>303.838634078227</c:v>
                </c:pt>
                <c:pt idx="286">
                  <c:v>305.695579245027</c:v>
                </c:pt>
                <c:pt idx="287">
                  <c:v>307.555552231193</c:v>
                </c:pt>
                <c:pt idx="288">
                  <c:v>309.418521990423</c:v>
                </c:pt>
                <c:pt idx="289">
                  <c:v>311.284457505456</c:v>
                </c:pt>
                <c:pt idx="290">
                  <c:v>313.153327788433</c:v>
                </c:pt>
                <c:pt idx="291">
                  <c:v>315.025101881241</c:v>
                </c:pt>
                <c:pt idx="292">
                  <c:v>316.89974885585</c:v>
                </c:pt>
                <c:pt idx="293">
                  <c:v>318.777237814659</c:v>
                </c:pt>
                <c:pt idx="294">
                  <c:v>320.657537890829</c:v>
                </c:pt>
                <c:pt idx="295">
                  <c:v>322.540618248611</c:v>
                </c:pt>
                <c:pt idx="296">
                  <c:v>324.426448083675</c:v>
                </c:pt>
                <c:pt idx="297">
                  <c:v>326.314996623431</c:v>
                </c:pt>
                <c:pt idx="298">
                  <c:v>328.206212466285</c:v>
                </c:pt>
                <c:pt idx="299">
                  <c:v>330.100002941184</c:v>
                </c:pt>
                <c:pt idx="300">
                  <c:v>331.996254820626</c:v>
                </c:pt>
                <c:pt idx="301">
                  <c:v>333.89485501445</c:v>
                </c:pt>
                <c:pt idx="302">
                  <c:v>335.795690572298</c:v>
                </c:pt>
                <c:pt idx="303">
                  <c:v>337.698648686044</c:v>
                </c:pt>
                <c:pt idx="304">
                  <c:v>339.603616692162</c:v>
                </c:pt>
                <c:pt idx="305">
                  <c:v>341.510482074057</c:v>
                </c:pt>
                <c:pt idx="306">
                  <c:v>343.419132464343</c:v>
                </c:pt>
                <c:pt idx="307">
                  <c:v>345.329455647081</c:v>
                </c:pt>
                <c:pt idx="308">
                  <c:v>347.241339559963</c:v>
                </c:pt>
                <c:pt idx="309">
                  <c:v>349.154672296456</c:v>
                </c:pt>
                <c:pt idx="310">
                  <c:v>351.069342107896</c:v>
                </c:pt>
                <c:pt idx="311">
                  <c:v>352.985237405536</c:v>
                </c:pt>
                <c:pt idx="312">
                  <c:v>354.902246762553</c:v>
                </c:pt>
                <c:pt idx="313">
                  <c:v>356.820258916</c:v>
                </c:pt>
                <c:pt idx="314">
                  <c:v>358.739162768723</c:v>
                </c:pt>
                <c:pt idx="315">
                  <c:v>360.658847391222</c:v>
                </c:pt>
                <c:pt idx="316">
                  <c:v>362.579202023477</c:v>
                </c:pt>
                <c:pt idx="317">
                  <c:v>364.50011607672</c:v>
                </c:pt>
                <c:pt idx="318">
                  <c:v>366.421479135169</c:v>
                </c:pt>
                <c:pt idx="319">
                  <c:v>368.343180957711</c:v>
                </c:pt>
                <c:pt idx="320">
                  <c:v>370.265111479548</c:v>
                </c:pt>
                <c:pt idx="321">
                  <c:v>372.1871690264</c:v>
                </c:pt>
                <c:pt idx="322">
                  <c:v>374.109268515989</c:v>
                </c:pt>
                <c:pt idx="323">
                  <c:v>376.031333219358</c:v>
                </c:pt>
                <c:pt idx="324">
                  <c:v>377.953286534437</c:v>
                </c:pt>
                <c:pt idx="325">
                  <c:v>379.875051986663</c:v>
                </c:pt>
                <c:pt idx="326">
                  <c:v>381.796553229589</c:v>
                </c:pt>
                <c:pt idx="327">
                  <c:v>383.717714045467</c:v>
                </c:pt>
                <c:pt idx="328">
                  <c:v>385.638458345807</c:v>
                </c:pt>
                <c:pt idx="329">
                  <c:v>387.558710171922</c:v>
                </c:pt>
                <c:pt idx="330">
                  <c:v>389.478393695449</c:v>
                </c:pt>
                <c:pt idx="331">
                  <c:v>391.39743321885</c:v>
                </c:pt>
                <c:pt idx="332">
                  <c:v>393.315753175894</c:v>
                </c:pt>
                <c:pt idx="333">
                  <c:v>395.233278132115</c:v>
                </c:pt>
                <c:pt idx="334">
                  <c:v>397.149932785254</c:v>
                </c:pt>
                <c:pt idx="335">
                  <c:v>399.065641965684</c:v>
                </c:pt>
                <c:pt idx="336">
                  <c:v>400.980330636806</c:v>
                </c:pt>
                <c:pt idx="337">
                  <c:v>402.893923895431</c:v>
                </c:pt>
                <c:pt idx="338">
                  <c:v>404.806346972149</c:v>
                </c:pt>
                <c:pt idx="339">
                  <c:v>406.717525231664</c:v>
                </c:pt>
                <c:pt idx="340">
                  <c:v>408.627384173124</c:v>
                </c:pt>
                <c:pt idx="341">
                  <c:v>410.535849430424</c:v>
                </c:pt>
                <c:pt idx="342">
                  <c:v>412.442846772492</c:v>
                </c:pt>
                <c:pt idx="343">
                  <c:v>414.34830210356</c:v>
                </c:pt>
                <c:pt idx="344">
                  <c:v>416.252141463406</c:v>
                </c:pt>
                <c:pt idx="345">
                  <c:v>418.154291027595</c:v>
                </c:pt>
                <c:pt idx="346">
                  <c:v>420.054677107683</c:v>
                </c:pt>
                <c:pt idx="347">
                  <c:v>421.953226151417</c:v>
                </c:pt>
                <c:pt idx="348">
                  <c:v>423.849865627964</c:v>
                </c:pt>
                <c:pt idx="349">
                  <c:v>425.744524911418</c:v>
                </c:pt>
                <c:pt idx="350">
                  <c:v>427.637134392424</c:v>
                </c:pt>
                <c:pt idx="351">
                  <c:v>429.527624591481</c:v>
                </c:pt>
                <c:pt idx="352">
                  <c:v>431.415926159006</c:v>
                </c:pt>
                <c:pt idx="353">
                  <c:v>433.301969875388</c:v>
                </c:pt>
                <c:pt idx="354">
                  <c:v>435.185686651018</c:v>
                </c:pt>
                <c:pt idx="355">
                  <c:v>437.067007526316</c:v>
                </c:pt>
                <c:pt idx="356">
                  <c:v>438.945863671729</c:v>
                </c:pt>
                <c:pt idx="357">
                  <c:v>440.822186387727</c:v>
                </c:pt>
                <c:pt idx="358">
                  <c:v>442.695907104775</c:v>
                </c:pt>
                <c:pt idx="359">
                  <c:v>444.566957383295</c:v>
                </c:pt>
                <c:pt idx="360">
                  <c:v>446.435287313958</c:v>
                </c:pt>
                <c:pt idx="361">
                  <c:v>448.300883879948</c:v>
                </c:pt>
                <c:pt idx="362">
                  <c:v>450.163752481729</c:v>
                </c:pt>
                <c:pt idx="363">
                  <c:v>452.023898499902</c:v>
                </c:pt>
                <c:pt idx="364">
                  <c:v>453.881327295308</c:v>
                </c:pt>
                <c:pt idx="365">
                  <c:v>455.73604420912</c:v>
                </c:pt>
                <c:pt idx="366">
                  <c:v>457.588054562936</c:v>
                </c:pt>
                <c:pt idx="367">
                  <c:v>459.437363658876</c:v>
                </c:pt>
                <c:pt idx="368">
                  <c:v>461.283976779679</c:v>
                </c:pt>
                <c:pt idx="369">
                  <c:v>463.12789918879</c:v>
                </c:pt>
                <c:pt idx="370">
                  <c:v>464.969136130456</c:v>
                </c:pt>
                <c:pt idx="371">
                  <c:v>466.80769282982</c:v>
                </c:pt>
                <c:pt idx="372">
                  <c:v>468.64357449301</c:v>
                </c:pt>
                <c:pt idx="373">
                  <c:v>470.476786307231</c:v>
                </c:pt>
                <c:pt idx="374">
                  <c:v>472.307333440856</c:v>
                </c:pt>
                <c:pt idx="375">
                  <c:v>474.135221043514</c:v>
                </c:pt>
                <c:pt idx="376">
                  <c:v>475.960454246184</c:v>
                </c:pt>
                <c:pt idx="377">
                  <c:v>477.783038161279</c:v>
                </c:pt>
                <c:pt idx="378">
                  <c:v>479.602977882736</c:v>
                </c:pt>
                <c:pt idx="379">
                  <c:v>481.420278486108</c:v>
                </c:pt>
                <c:pt idx="380">
                  <c:v>483.234945028644</c:v>
                </c:pt>
                <c:pt idx="381">
                  <c:v>485.04698254938</c:v>
                </c:pt>
                <c:pt idx="382">
                  <c:v>486.856396069227</c:v>
                </c:pt>
                <c:pt idx="383">
                  <c:v>488.663190591054</c:v>
                </c:pt>
                <c:pt idx="384">
                  <c:v>490.467371099771</c:v>
                </c:pt>
                <c:pt idx="385">
                  <c:v>492.268942562421</c:v>
                </c:pt>
                <c:pt idx="386">
                  <c:v>494.067909928258</c:v>
                </c:pt>
                <c:pt idx="387">
                  <c:v>495.864278128833</c:v>
                </c:pt>
                <c:pt idx="388">
                  <c:v>497.658052078076</c:v>
                </c:pt>
                <c:pt idx="389">
                  <c:v>499.449236672381</c:v>
                </c:pt>
                <c:pt idx="390">
                  <c:v>501.237836790687</c:v>
                </c:pt>
                <c:pt idx="391">
                  <c:v>503.023857294559</c:v>
                </c:pt>
                <c:pt idx="392">
                  <c:v>504.80730302827</c:v>
                </c:pt>
                <c:pt idx="393">
                  <c:v>506.588178818884</c:v>
                </c:pt>
                <c:pt idx="394">
                  <c:v>508.366489476332</c:v>
                </c:pt>
                <c:pt idx="395">
                  <c:v>510.142239793496</c:v>
                </c:pt>
                <c:pt idx="396">
                  <c:v>511.915434546283</c:v>
                </c:pt>
                <c:pt idx="397">
                  <c:v>513.686078493713</c:v>
                </c:pt>
                <c:pt idx="398">
                  <c:v>515.454176377986</c:v>
                </c:pt>
                <c:pt idx="399">
                  <c:v>517.219732924571</c:v>
                </c:pt>
                <c:pt idx="400">
                  <c:v>518.982752842275</c:v>
                </c:pt>
                <c:pt idx="401">
                  <c:v>536.473800892352</c:v>
                </c:pt>
                <c:pt idx="402">
                  <c:v>553.714204690806</c:v>
                </c:pt>
                <c:pt idx="403">
                  <c:v>570.708514530673</c:v>
                </c:pt>
                <c:pt idx="404">
                  <c:v>587.461124033914</c:v>
                </c:pt>
                <c:pt idx="405">
                  <c:v>603.976277161297</c:v>
                </c:pt>
                <c:pt idx="406">
                  <c:v>620.258074828367</c:v>
                </c:pt>
                <c:pt idx="407">
                  <c:v>636.310481153894</c:v>
                </c:pt>
                <c:pt idx="408">
                  <c:v>652.137329365098</c:v>
                </c:pt>
                <c:pt idx="409">
                  <c:v>667.74232738213</c:v>
                </c:pt>
                <c:pt idx="410">
                  <c:v>683.129063102546</c:v>
                </c:pt>
                <c:pt idx="411">
                  <c:v>698.301009404979</c:v>
                </c:pt>
                <c:pt idx="412">
                  <c:v>713.261528889775</c:v>
                </c:pt>
                <c:pt idx="413">
                  <c:v>728.013878373066</c:v>
                </c:pt>
                <c:pt idx="414">
                  <c:v>742.561213149541</c:v>
                </c:pt>
                <c:pt idx="415">
                  <c:v>756.906591038096</c:v>
                </c:pt>
                <c:pt idx="416">
                  <c:v>771.052976223531</c:v>
                </c:pt>
                <c:pt idx="417">
                  <c:v>785.003242906522</c:v>
                </c:pt>
                <c:pt idx="418">
                  <c:v>798.760178773266</c:v>
                </c:pt>
                <c:pt idx="419">
                  <c:v>812.326488295387</c:v>
                </c:pt>
                <c:pt idx="420">
                  <c:v>825.704795869996</c:v>
                </c:pt>
                <c:pt idx="421">
                  <c:v>838.897648809097</c:v>
                </c:pt>
                <c:pt idx="422">
                  <c:v>851.907520186954</c:v>
                </c:pt>
                <c:pt idx="423">
                  <c:v>864.736811553414</c:v>
                </c:pt>
                <c:pt idx="424">
                  <c:v>877.387855520712</c:v>
                </c:pt>
                <c:pt idx="425">
                  <c:v>889.862918230744</c:v>
                </c:pt>
                <c:pt idx="426">
                  <c:v>902.164201709387</c:v>
                </c:pt>
                <c:pt idx="427">
                  <c:v>914.29384611398</c:v>
                </c:pt>
                <c:pt idx="428">
                  <c:v>926.253931879745</c:v>
                </c:pt>
                <c:pt idx="429">
                  <c:v>938.04648177052</c:v>
                </c:pt>
                <c:pt idx="430">
                  <c:v>949.673462838862</c:v>
                </c:pt>
                <c:pt idx="431">
                  <c:v>961.13678830028</c:v>
                </c:pt>
                <c:pt idx="432">
                  <c:v>972.438319326032</c:v>
                </c:pt>
                <c:pt idx="433">
                  <c:v>983.579866758694</c:v>
                </c:pt>
                <c:pt idx="434">
                  <c:v>994.563192754425</c:v>
                </c:pt>
                <c:pt idx="435">
                  <c:v>1005.39001235563</c:v>
                </c:pt>
                <c:pt idx="436">
                  <c:v>1016.06199499751</c:v>
                </c:pt>
                <c:pt idx="437">
                  <c:v>1026.58076595179</c:v>
                </c:pt>
                <c:pt idx="438">
                  <c:v>1036.94790771068</c:v>
                </c:pt>
                <c:pt idx="439">
                  <c:v>1047.16496131404</c:v>
                </c:pt>
                <c:pt idx="440">
                  <c:v>1057.23342762243</c:v>
                </c:pt>
              </c:numCache>
            </c:numRef>
          </c:yVal>
          <c:smooth val="1"/>
        </c:ser>
        <c:ser>
          <c:idx val="5"/>
          <c:order val="5"/>
          <c:tx>
            <c:strRef>
              <c:f>Trajecto!$B$106</c:f>
              <c:strCache>
                <c:ptCount val="1"/>
                <c:pt idx="0">
                  <c:v>Phase ascendante</c:v>
                </c:pt>
              </c:strCache>
            </c:strRef>
          </c:tx>
          <c:spPr>
            <a:solidFill>
              <a:srgbClr val="99ccff"/>
            </a:solidFill>
            <a:ln w="28440">
              <a:noFill/>
            </a:ln>
          </c:spPr>
          <c:marker>
            <c:symbol val="none"/>
          </c:marker>
          <c:dLbls>
            <c:txPr>
              <a:bodyPr wrap="square"/>
              <a:lstStyle/>
              <a:p>
                <a:pPr>
                  <a:defRPr b="1" sz="700" spc="-1" strike="noStrike">
                    <a:solidFill>
                      <a:srgbClr val="000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Trajecto!$D$155</c:f>
              <c:numCache>
                <c:formatCode>General</c:formatCode>
                <c:ptCount val="1"/>
                <c:pt idx="0">
                  <c:v>66.2801210354173</c:v>
                </c:pt>
              </c:numCache>
            </c:numRef>
          </c:xVal>
          <c:yVal>
            <c:numRef>
              <c:f>Trajecto!$C$155</c:f>
              <c:numCache>
                <c:formatCode>General</c:formatCode>
                <c:ptCount val="1"/>
                <c:pt idx="0">
                  <c:v>528.616713811215</c:v>
                </c:pt>
              </c:numCache>
            </c:numRef>
          </c:yVal>
          <c:smooth val="1"/>
        </c:ser>
        <c:ser>
          <c:idx val="6"/>
          <c:order val="6"/>
          <c:tx>
            <c:strRef>
              <c:f>Trajecto!$B$107</c:f>
              <c:strCache>
                <c:ptCount val="1"/>
                <c:pt idx="0">
                  <c:v>Descente balistique</c:v>
                </c:pt>
              </c:strCache>
            </c:strRef>
          </c:tx>
          <c:spPr>
            <a:solidFill>
              <a:srgbClr val="99ccff"/>
            </a:solidFill>
            <a:ln w="28440">
              <a:noFill/>
            </a:ln>
          </c:spPr>
          <c:marker>
            <c:symbol val="none"/>
          </c:marker>
          <c:dLbls>
            <c:txPr>
              <a:bodyPr wrap="square"/>
              <a:lstStyle/>
              <a:p>
                <a:pPr>
                  <a:defRPr b="1" sz="700" spc="-1" strike="noStrike">
                    <a:solidFill>
                      <a:srgbClr val="808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Trajecto!$D$156</c:f>
              <c:numCache>
                <c:formatCode>General</c:formatCode>
                <c:ptCount val="1"/>
                <c:pt idx="0">
                  <c:v>781.483313322902</c:v>
                </c:pt>
              </c:numCache>
            </c:numRef>
          </c:xVal>
          <c:yVal>
            <c:numRef>
              <c:f>Trajecto!$C$156</c:f>
              <c:numCache>
                <c:formatCode>General</c:formatCode>
                <c:ptCount val="1"/>
                <c:pt idx="0">
                  <c:v>734.135513259413</c:v>
                </c:pt>
              </c:numCache>
            </c:numRef>
          </c:yVal>
          <c:smooth val="1"/>
        </c:ser>
        <c:ser>
          <c:idx val="7"/>
          <c:order val="7"/>
          <c:tx>
            <c:strRef>
              <c:f>Trajecto!$D$158</c:f>
              <c:strCache>
                <c:ptCount val="1"/>
                <c:pt idx="0">
                  <c:v>Arc de triomphe</c:v>
                </c:pt>
              </c:strCache>
            </c:strRef>
          </c:tx>
          <c:spPr>
            <a:solidFill>
              <a:srgbClr val="c0c0c0"/>
            </a:solidFill>
            <a:ln w="28440">
              <a:solidFill>
                <a:srgbClr val="c0c0c0"/>
              </a:solidFill>
              <a:round/>
            </a:ln>
          </c:spPr>
          <c:marker>
            <c:symbol val="none"/>
          </c:marker>
          <c:dPt>
            <c:idx val="8"/>
            <c:marker>
              <c:symbol val="none"/>
            </c:marker>
          </c:dPt>
          <c:dLbls>
            <c:dLbl>
              <c:idx val="8"/>
              <c:txPr>
                <a:bodyPr wrap="square"/>
                <a:lstStyle/>
                <a:p>
                  <a:pPr>
                    <a:defRPr b="0" sz="700" spc="-1" strike="noStrike">
                      <a:solidFill>
                        <a:srgbClr val="c0c0c0"/>
                      </a:solidFill>
                      <a:latin typeface="Arial"/>
                      <a:ea typeface="Arial"/>
                    </a:defRPr>
                  </a:pPr>
                </a:p>
              </c:txPr>
              <c:dLblPos val="r"/>
              <c:showLegendKey val="0"/>
              <c:showVal val="0"/>
              <c:showCatName val="0"/>
              <c:showSerName val="0"/>
              <c:showPercent val="0"/>
              <c:separator> </c:separator>
            </c:dLbl>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Trajecto!$D$159:$D$174</c:f>
              <c:numCache>
                <c:formatCode>General</c:formatCode>
                <c:ptCount val="16"/>
                <c:pt idx="0">
                  <c:v>517.221267616161</c:v>
                </c:pt>
                <c:pt idx="1">
                  <c:v>540.221267616161</c:v>
                </c:pt>
                <c:pt idx="2">
                  <c:v>540.221267616161</c:v>
                </c:pt>
                <c:pt idx="3">
                  <c:v>517.221267616161</c:v>
                </c:pt>
                <c:pt idx="4">
                  <c:v>540.221267616161</c:v>
                </c:pt>
                <c:pt idx="5">
                  <c:v>540.221267616161</c:v>
                </c:pt>
                <c:pt idx="6">
                  <c:v>525.221267616161</c:v>
                </c:pt>
                <c:pt idx="7">
                  <c:v>525.221267616161</c:v>
                </c:pt>
                <c:pt idx="8">
                  <c:v>540.221267616161</c:v>
                </c:pt>
                <c:pt idx="9">
                  <c:v>525.221267616161</c:v>
                </c:pt>
                <c:pt idx="10">
                  <c:v>524.821267616161</c:v>
                </c:pt>
                <c:pt idx="11">
                  <c:v>524.021267616161</c:v>
                </c:pt>
                <c:pt idx="12">
                  <c:v>523.221267616161</c:v>
                </c:pt>
                <c:pt idx="13">
                  <c:v>522.221267616161</c:v>
                </c:pt>
                <c:pt idx="14">
                  <c:v>521.021267616161</c:v>
                </c:pt>
                <c:pt idx="15">
                  <c:v>517.221267616161</c:v>
                </c:pt>
              </c:numCache>
            </c:numRef>
          </c:xVal>
          <c:yVal>
            <c:numRef>
              <c:f>Trajecto!$B$161:$B$176</c:f>
              <c:numCache>
                <c:formatCode>General</c:formatCode>
                <c:ptCount val="16"/>
              </c:numCache>
            </c:numRef>
          </c:yVal>
          <c:smooth val="1"/>
        </c:ser>
        <c:ser>
          <c:idx val="8"/>
          <c:order val="8"/>
          <c:tx>
            <c:strRef>
              <c:f>Trajecto!$F$158</c:f>
              <c:strCache>
                <c:ptCount val="1"/>
                <c:pt idx="0">
                  <c:v>Arc de triomphe</c:v>
                </c:pt>
              </c:strCache>
            </c:strRef>
          </c:tx>
          <c:spPr>
            <a:solidFill>
              <a:srgbClr val="c0c0c0"/>
            </a:solidFill>
            <a:ln w="28440">
              <a:solidFill>
                <a:srgbClr val="c0c0c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Trajecto!$F$159:$F$174</c:f>
              <c:numCache>
                <c:formatCode>General</c:formatCode>
                <c:ptCount val="16"/>
                <c:pt idx="0">
                  <c:v>517.221267616161</c:v>
                </c:pt>
                <c:pt idx="1">
                  <c:v>494.221267616161</c:v>
                </c:pt>
                <c:pt idx="2">
                  <c:v>494.221267616161</c:v>
                </c:pt>
                <c:pt idx="3">
                  <c:v>517.221267616161</c:v>
                </c:pt>
                <c:pt idx="4">
                  <c:v>494.221267616161</c:v>
                </c:pt>
                <c:pt idx="5">
                  <c:v>494.221267616161</c:v>
                </c:pt>
                <c:pt idx="6">
                  <c:v>509.221267616161</c:v>
                </c:pt>
                <c:pt idx="7">
                  <c:v>509.221267616161</c:v>
                </c:pt>
                <c:pt idx="8">
                  <c:v>494.221267616161</c:v>
                </c:pt>
                <c:pt idx="9">
                  <c:v>509.221267616161</c:v>
                </c:pt>
                <c:pt idx="10">
                  <c:v>509.621267616161</c:v>
                </c:pt>
                <c:pt idx="11">
                  <c:v>510.421267616161</c:v>
                </c:pt>
                <c:pt idx="12">
                  <c:v>511.221267616161</c:v>
                </c:pt>
                <c:pt idx="13">
                  <c:v>512.221267616161</c:v>
                </c:pt>
                <c:pt idx="14">
                  <c:v>513.421267616161</c:v>
                </c:pt>
                <c:pt idx="15">
                  <c:v>517.221267616161</c:v>
                </c:pt>
              </c:numCache>
            </c:numRef>
          </c:xVal>
          <c:yVal>
            <c:numRef>
              <c:f>Trajecto!$B$161:$B$176</c:f>
              <c:numCache>
                <c:formatCode>General</c:formatCode>
                <c:ptCount val="16"/>
              </c:numCache>
            </c:numRef>
          </c:yVal>
          <c:smooth val="1"/>
        </c:ser>
        <c:ser>
          <c:idx val="9"/>
          <c:order val="9"/>
          <c:tx>
            <c:strRef>
              <c:f>Trajecto!$D$176</c:f>
              <c:strCache>
                <c:ptCount val="1"/>
                <c:pt idx="0">
                  <c:v>Tour Eiffel</c:v>
                </c:pt>
              </c:strCache>
            </c:strRef>
          </c:tx>
          <c:spPr>
            <a:solidFill>
              <a:srgbClr val="c0c0c0"/>
            </a:solidFill>
            <a:ln w="28440">
              <a:solidFill>
                <a:srgbClr val="c0c0c0"/>
              </a:solidFill>
              <a:round/>
            </a:ln>
          </c:spPr>
          <c:marker>
            <c:symbol val="none"/>
          </c:marker>
          <c:dPt>
            <c:idx val="6"/>
            <c:marker>
              <c:symbol val="none"/>
            </c:marker>
          </c:dPt>
          <c:dLbls>
            <c:dLbl>
              <c:idx val="6"/>
              <c:txPr>
                <a:bodyPr wrap="square"/>
                <a:lstStyle/>
                <a:p>
                  <a:pPr>
                    <a:defRPr b="0" sz="700" spc="-1" strike="noStrike">
                      <a:solidFill>
                        <a:srgbClr val="c0c0c0"/>
                      </a:solidFill>
                      <a:latin typeface="Arial"/>
                      <a:ea typeface="Arial"/>
                    </a:defRPr>
                  </a:pPr>
                </a:p>
              </c:txPr>
              <c:dLblPos val="r"/>
              <c:showLegendKey val="0"/>
              <c:showVal val="0"/>
              <c:showCatName val="0"/>
              <c:showSerName val="0"/>
              <c:showPercent val="0"/>
              <c:separator> </c:separator>
            </c:dLbl>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Trajecto!$D$177:$D$193</c:f>
              <c:numCache>
                <c:formatCode>General</c:formatCode>
                <c:ptCount val="17"/>
                <c:pt idx="0">
                  <c:v>517.221267616161</c:v>
                </c:pt>
                <c:pt idx="1">
                  <c:v>517.221267616161</c:v>
                </c:pt>
                <c:pt idx="2">
                  <c:v>527.221267616161</c:v>
                </c:pt>
                <c:pt idx="3">
                  <c:v>517.221267616161</c:v>
                </c:pt>
                <c:pt idx="4">
                  <c:v>527.221267616161</c:v>
                </c:pt>
                <c:pt idx="5">
                  <c:v>530.221267616161</c:v>
                </c:pt>
                <c:pt idx="6">
                  <c:v>534.221267616161</c:v>
                </c:pt>
                <c:pt idx="7">
                  <c:v>537.221267616161</c:v>
                </c:pt>
                <c:pt idx="8">
                  <c:v>542.221267616161</c:v>
                </c:pt>
                <c:pt idx="9">
                  <c:v>547.221267616161</c:v>
                </c:pt>
                <c:pt idx="10">
                  <c:v>553.221267616161</c:v>
                </c:pt>
                <c:pt idx="11">
                  <c:v>565.221267616161</c:v>
                </c:pt>
                <c:pt idx="12">
                  <c:v>579.221267616161</c:v>
                </c:pt>
                <c:pt idx="13">
                  <c:v>554.221267616161</c:v>
                </c:pt>
                <c:pt idx="14">
                  <c:v>547.221267616161</c:v>
                </c:pt>
                <c:pt idx="15">
                  <c:v>532.221267616161</c:v>
                </c:pt>
                <c:pt idx="16">
                  <c:v>517.221267616161</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1"/>
        </c:ser>
        <c:ser>
          <c:idx val="10"/>
          <c:order val="10"/>
          <c:tx>
            <c:strRef>
              <c:f>Trajecto!$F$176</c:f>
              <c:strCache>
                <c:ptCount val="1"/>
                <c:pt idx="0">
                  <c:v>Tour Eiffel</c:v>
                </c:pt>
              </c:strCache>
            </c:strRef>
          </c:tx>
          <c:spPr>
            <a:solidFill>
              <a:srgbClr val="c0c0c0"/>
            </a:solidFill>
            <a:ln w="28440">
              <a:solidFill>
                <a:srgbClr val="c0c0c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Trajecto!$F$177:$F$193</c:f>
              <c:numCache>
                <c:formatCode>General</c:formatCode>
                <c:ptCount val="17"/>
                <c:pt idx="0">
                  <c:v>517.221267616161</c:v>
                </c:pt>
                <c:pt idx="1">
                  <c:v>517.221267616161</c:v>
                </c:pt>
                <c:pt idx="2">
                  <c:v>507.221267616161</c:v>
                </c:pt>
                <c:pt idx="3">
                  <c:v>517.221267616161</c:v>
                </c:pt>
                <c:pt idx="4">
                  <c:v>507.221267616161</c:v>
                </c:pt>
                <c:pt idx="5">
                  <c:v>504.221267616161</c:v>
                </c:pt>
                <c:pt idx="6">
                  <c:v>500.221267616161</c:v>
                </c:pt>
                <c:pt idx="7">
                  <c:v>497.221267616161</c:v>
                </c:pt>
                <c:pt idx="8">
                  <c:v>492.221267616161</c:v>
                </c:pt>
                <c:pt idx="9">
                  <c:v>487.221267616161</c:v>
                </c:pt>
                <c:pt idx="10">
                  <c:v>481.221267616161</c:v>
                </c:pt>
                <c:pt idx="11">
                  <c:v>469.221267616161</c:v>
                </c:pt>
                <c:pt idx="12">
                  <c:v>455.221267616161</c:v>
                </c:pt>
                <c:pt idx="13">
                  <c:v>480.221267616161</c:v>
                </c:pt>
                <c:pt idx="14">
                  <c:v>487.221267616161</c:v>
                </c:pt>
                <c:pt idx="15">
                  <c:v>502.221267616161</c:v>
                </c:pt>
                <c:pt idx="16">
                  <c:v>517.221267616161</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1"/>
        </c:ser>
        <c:ser>
          <c:idx val="11"/>
          <c:order val="11"/>
          <c:tx>
            <c:strRef>
              <c:f>Trajecto!$D$176</c:f>
              <c:strCache>
                <c:ptCount val="1"/>
                <c:pt idx="0">
                  <c:v>Tour Eiffel</c:v>
                </c:pt>
              </c:strCache>
            </c:strRef>
          </c:tx>
          <c:spPr>
            <a:solidFill>
              <a:srgbClr val="c0c0c0"/>
            </a:solidFill>
            <a:ln w="28440">
              <a:solidFill>
                <a:srgbClr val="c0c0c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Trajecto!$D$194:$D$197</c:f>
              <c:numCache>
                <c:formatCode>General</c:formatCode>
                <c:ptCount val="4"/>
                <c:pt idx="0">
                  <c:v>517.221267616161</c:v>
                </c:pt>
                <c:pt idx="1">
                  <c:v>534.221267616161</c:v>
                </c:pt>
                <c:pt idx="2">
                  <c:v>528.221267616161</c:v>
                </c:pt>
                <c:pt idx="3">
                  <c:v>517.221267616161</c:v>
                </c:pt>
              </c:numCache>
            </c:numRef>
          </c:xVal>
          <c:yVal>
            <c:numRef>
              <c:f>Trajecto!$B$196:$B$199</c:f>
              <c:numCache>
                <c:formatCode>General</c:formatCode>
                <c:ptCount val="4"/>
                <c:pt idx="0">
                  <c:v>67</c:v>
                </c:pt>
                <c:pt idx="1">
                  <c:v>67</c:v>
                </c:pt>
                <c:pt idx="2">
                  <c:v>100</c:v>
                </c:pt>
                <c:pt idx="3">
                  <c:v>100</c:v>
                </c:pt>
              </c:numCache>
            </c:numRef>
          </c:yVal>
          <c:smooth val="1"/>
        </c:ser>
        <c:ser>
          <c:idx val="12"/>
          <c:order val="12"/>
          <c:tx>
            <c:strRef>
              <c:f>Trajecto!$F$176</c:f>
              <c:strCache>
                <c:ptCount val="1"/>
                <c:pt idx="0">
                  <c:v>Tour Eiffel</c:v>
                </c:pt>
              </c:strCache>
            </c:strRef>
          </c:tx>
          <c:spPr>
            <a:solidFill>
              <a:srgbClr val="c0c0c0"/>
            </a:solidFill>
            <a:ln w="28440">
              <a:solidFill>
                <a:srgbClr val="c0c0c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Trajecto!$F$194:$F$197</c:f>
              <c:numCache>
                <c:formatCode>General</c:formatCode>
                <c:ptCount val="4"/>
                <c:pt idx="0">
                  <c:v>517.221267616161</c:v>
                </c:pt>
                <c:pt idx="1">
                  <c:v>500.221267616161</c:v>
                </c:pt>
                <c:pt idx="2">
                  <c:v>506.221267616161</c:v>
                </c:pt>
                <c:pt idx="3">
                  <c:v>517.221267616161</c:v>
                </c:pt>
              </c:numCache>
            </c:numRef>
          </c:xVal>
          <c:yVal>
            <c:numRef>
              <c:f>Trajecto!$B$196:$B$199</c:f>
              <c:numCache>
                <c:formatCode>General</c:formatCode>
                <c:ptCount val="4"/>
                <c:pt idx="0">
                  <c:v>67</c:v>
                </c:pt>
                <c:pt idx="1">
                  <c:v>67</c:v>
                </c:pt>
                <c:pt idx="2">
                  <c:v>100</c:v>
                </c:pt>
                <c:pt idx="3">
                  <c:v>100</c:v>
                </c:pt>
              </c:numCache>
            </c:numRef>
          </c:yVal>
          <c:smooth val="1"/>
        </c:ser>
        <c:ser>
          <c:idx val="13"/>
          <c:order val="13"/>
          <c:tx>
            <c:strRef>
              <c:f>Trajecto!$B$108</c:f>
              <c:strCache>
                <c:ptCount val="1"/>
                <c:pt idx="0">
                  <c:v>Fusée sous parachute</c:v>
                </c:pt>
              </c:strCache>
            </c:strRef>
          </c:tx>
          <c:spPr>
            <a:solidFill>
              <a:srgbClr val="008000"/>
            </a:solidFill>
            <a:ln w="28440">
              <a:solidFill>
                <a:srgbClr val="008000"/>
              </a:solidFill>
              <a:round/>
            </a:ln>
          </c:spPr>
          <c:marker>
            <c:symbol val="none"/>
          </c:marker>
          <c:dPt>
            <c:idx val="1"/>
            <c:marker>
              <c:symbol val="none"/>
            </c:marker>
          </c:dPt>
          <c:dLbls>
            <c:dLbl>
              <c:idx val="1"/>
              <c:txPr>
                <a:bodyPr wrap="square"/>
                <a:lstStyle/>
                <a:p>
                  <a:pPr>
                    <a:defRPr b="1" sz="700" spc="-1" strike="noStrike">
                      <a:solidFill>
                        <a:srgbClr val="008000"/>
                      </a:solidFill>
                      <a:latin typeface="Arial"/>
                      <a:ea typeface="Arial"/>
                    </a:defRPr>
                  </a:pPr>
                </a:p>
              </c:txPr>
              <c:dLblPos val="r"/>
              <c:showLegendKey val="0"/>
              <c:showVal val="0"/>
              <c:showCatName val="0"/>
              <c:showSerName val="0"/>
              <c:showPercent val="0"/>
              <c:separator> </c:separator>
            </c:dLbl>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Trajecto!$B$123:$B$129</c:f>
              <c:numCache>
                <c:formatCode>General</c:formatCode>
                <c:ptCount val="7"/>
                <c:pt idx="0">
                  <c:v>265.120484141669</c:v>
                </c:pt>
                <c:pt idx="1">
                  <c:v>265.120484141669</c:v>
                </c:pt>
                <c:pt idx="2">
                  <c:v>265.120484141669</c:v>
                </c:pt>
                <c:pt idx="3">
                  <c:v>291.55131983223</c:v>
                </c:pt>
                <c:pt idx="4">
                  <c:v>265.120484141669</c:v>
                </c:pt>
                <c:pt idx="5">
                  <c:v>238.689648451108</c:v>
                </c:pt>
                <c:pt idx="6">
                  <c:v>265.120484141669</c:v>
                </c:pt>
              </c:numCache>
            </c:numRef>
          </c:xVal>
          <c:yVal>
            <c:numRef>
              <c:f>Trajecto!$C$121:$C$127</c:f>
              <c:numCache>
                <c:formatCode>General</c:formatCode>
                <c:ptCount val="7"/>
                <c:pt idx="0">
                  <c:v>1057.23342762243</c:v>
                </c:pt>
                <c:pt idx="1">
                  <c:v>528.616713811215</c:v>
                </c:pt>
                <c:pt idx="2">
                  <c:v>0</c:v>
                </c:pt>
                <c:pt idx="3">
                  <c:v>52.8616713811215</c:v>
                </c:pt>
                <c:pt idx="4">
                  <c:v>0</c:v>
                </c:pt>
                <c:pt idx="5">
                  <c:v>52.8616713811215</c:v>
                </c:pt>
                <c:pt idx="6">
                  <c:v>0</c:v>
                </c:pt>
              </c:numCache>
            </c:numRef>
          </c:yVal>
          <c:smooth val="1"/>
        </c:ser>
        <c:axId val="7646101"/>
        <c:axId val="14864814"/>
      </c:scatterChart>
      <c:valAx>
        <c:axId val="7646101"/>
        <c:scaling>
          <c:orientation val="minMax"/>
          <c:min val="0"/>
        </c:scaling>
        <c:delete val="0"/>
        <c:axPos val="b"/>
        <c:majorGridlines>
          <c:spPr>
            <a:ln w="3240">
              <a:solidFill>
                <a:srgbClr val="000000"/>
              </a:solidFill>
              <a:prstDash val="sysDash"/>
              <a:round/>
            </a:ln>
          </c:spPr>
        </c:majorGridlines>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Portée x [m]</a:t>
                </a:r>
              </a:p>
            </c:rich>
          </c:tx>
          <c:layout>
            <c:manualLayout>
              <c:xMode val="edge"/>
              <c:yMode val="edge"/>
              <c:x val="0.564580848064201"/>
              <c:y val="0.848098303101229"/>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14864814"/>
        <c:crosses val="autoZero"/>
        <c:crossBetween val="midCat"/>
      </c:valAx>
      <c:valAx>
        <c:axId val="14864814"/>
        <c:scaling>
          <c:orientation val="minMax"/>
          <c:min val="0"/>
        </c:scaling>
        <c:delete val="0"/>
        <c:axPos val="l"/>
        <c:majorGridlines>
          <c:spPr>
            <a:ln w="3240">
              <a:solidFill>
                <a:srgbClr val="000000"/>
              </a:solidFill>
              <a:prstDash val="sysDash"/>
              <a:round/>
            </a:ln>
          </c:spPr>
        </c:majorGridlines>
        <c:title>
          <c:tx>
            <c:rich>
              <a:bodyPr rot="-5400000"/>
              <a:lstStyle/>
              <a:p>
                <a:pPr>
                  <a:defRPr b="1" lang="fr-FR" sz="800" spc="-1" strike="noStrike">
                    <a:solidFill>
                      <a:srgbClr val="0000ff"/>
                    </a:solidFill>
                    <a:latin typeface="Arial"/>
                    <a:ea typeface="Arial"/>
                  </a:defRPr>
                </a:pPr>
                <a:r>
                  <a:rPr b="1" lang="fr-FR" sz="800" spc="-1" strike="noStrike">
                    <a:solidFill>
                      <a:srgbClr val="0000ff"/>
                    </a:solidFill>
                    <a:latin typeface="Arial"/>
                    <a:ea typeface="Arial"/>
                  </a:rPr>
                  <a:t>Altitude z [m]</a:t>
                </a:r>
              </a:p>
            </c:rich>
          </c:tx>
          <c:layout>
            <c:manualLayout>
              <c:xMode val="edge"/>
              <c:yMode val="edge"/>
              <c:x val="0.0816614250081336"/>
              <c:y val="0.0677589233469865"/>
            </c:manualLayout>
          </c:layout>
          <c:overlay val="0"/>
          <c:spPr>
            <a:no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7646101"/>
        <c:crosses val="autoZero"/>
        <c:crossBetween val="midCat"/>
      </c:valAx>
      <c:spPr>
        <a:gradFill>
          <a:gsLst>
            <a:gs pos="0">
              <a:srgbClr val="99ccff"/>
            </a:gs>
            <a:gs pos="100000">
              <a:srgbClr val="ffffff"/>
            </a:gs>
          </a:gsLst>
          <a:lin ang="5400000"/>
        </a:gradFill>
        <a:ln w="12600">
          <a:solidFill>
            <a:srgbClr val="808080"/>
          </a:solidFill>
          <a:round/>
        </a:ln>
      </c:spPr>
    </c:plotArea>
    <c:plotVisOnly val="0"/>
    <c:dispBlanksAs val="gap"/>
  </c:chart>
  <c:spPr>
    <a:solidFill>
      <a:srgbClr val="ffffff"/>
    </a:solidFill>
    <a:ln w="3240">
      <a:solidFill>
        <a:srgbClr val="000000"/>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Altitude z  /  Temps</a:t>
            </a:r>
          </a:p>
        </c:rich>
      </c:tx>
      <c:layout>
        <c:manualLayout>
          <c:xMode val="edge"/>
          <c:yMode val="edge"/>
          <c:x val="0.576529397762438"/>
          <c:y val="0.0370977179637215"/>
        </c:manualLayout>
      </c:layout>
      <c:overlay val="0"/>
      <c:spPr>
        <a:noFill/>
        <a:ln w="25560">
          <a:noFill/>
        </a:ln>
      </c:spPr>
    </c:title>
    <c:autoTitleDeleted val="0"/>
    <c:plotArea>
      <c:layout>
        <c:manualLayout>
          <c:layoutTarget val="inner"/>
          <c:xMode val="edge"/>
          <c:yMode val="edge"/>
          <c:x val="0.0766484170435611"/>
          <c:y val="0.0355763604447045"/>
          <c:w val="0.893120685551059"/>
          <c:h val="0.895962551199532"/>
        </c:manualLayout>
      </c:layout>
      <c:scatterChart>
        <c:scatterStyle val="lineMarker"/>
        <c:varyColors val="0"/>
        <c:ser>
          <c:idx val="0"/>
          <c:order val="0"/>
          <c:tx>
            <c:strRef>
              <c:f>"Point invisible pour mise à l'echelle"</c:f>
              <c:strCache>
                <c:ptCount val="1"/>
                <c:pt idx="0">
                  <c:v>Point invisible pour mise à l'echelle</c:v>
                </c:pt>
              </c:strCache>
            </c:strRef>
          </c:tx>
          <c:spPr>
            <a:solidFill>
              <a:srgbClr val="99ccff"/>
            </a:solidFill>
            <a:ln w="28440">
              <a:noFill/>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yVal>
            <c:numRef>
              <c:f>Trajecto!$B$120</c:f>
              <c:numCache>
                <c:formatCode>General</c:formatCode>
                <c:ptCount val="1"/>
                <c:pt idx="0">
                  <c:v>1468.27102651883</c:v>
                </c:pt>
              </c:numCache>
            </c:numRef>
          </c:yVal>
          <c:smooth val="1"/>
        </c:ser>
        <c:ser>
          <c:idx val="1"/>
          <c:order val="1"/>
          <c:tx>
            <c:strRef>
              <c:f>"1 point par seconde"</c:f>
              <c:strCache>
                <c:ptCount val="1"/>
                <c:pt idx="0">
                  <c:v>1 point par seconde</c:v>
                </c:pt>
              </c:strCache>
            </c:strRef>
          </c:tx>
          <c:spPr>
            <a:solidFill>
              <a:srgbClr val="000000"/>
            </a:solidFill>
            <a:ln w="28440">
              <a:noFill/>
            </a:ln>
          </c:spPr>
          <c:marker>
            <c:symbol val="plus"/>
            <c:size val="7"/>
            <c:spPr>
              <a:solidFill>
                <a:srgbClr val="000000"/>
              </a:solidFill>
            </c:spPr>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Calculs!$AC$4:$AC$1004</c:f>
              <c:numCache>
                <c:formatCode>General</c:formatCode>
                <c:ptCount val="1001"/>
                <c:pt idx="0">
                  <c:v>0</c:v>
                </c:pt>
                <c:pt idx="100">
                  <c:v>1</c:v>
                </c:pt>
                <c:pt idx="200">
                  <c:v>2</c:v>
                </c:pt>
                <c:pt idx="300">
                  <c:v>2.99999999999998</c:v>
                </c:pt>
                <c:pt idx="400">
                  <c:v>3.99999999999996</c:v>
                </c:pt>
                <c:pt idx="410">
                  <c:v>4.99999999999996</c:v>
                </c:pt>
                <c:pt idx="420">
                  <c:v>5.99999999999995</c:v>
                </c:pt>
                <c:pt idx="430">
                  <c:v>6.99999999999995</c:v>
                </c:pt>
                <c:pt idx="440">
                  <c:v>7.99999999999995</c:v>
                </c:pt>
                <c:pt idx="450">
                  <c:v>8.99999999999994</c:v>
                </c:pt>
                <c:pt idx="460">
                  <c:v>9.99999999999994</c:v>
                </c:pt>
                <c:pt idx="470">
                  <c:v>10.9999999999999</c:v>
                </c:pt>
                <c:pt idx="480">
                  <c:v>11.9999999999999</c:v>
                </c:pt>
                <c:pt idx="490">
                  <c:v>12.9999999999999</c:v>
                </c:pt>
                <c:pt idx="500">
                  <c:v>13.9999999999999</c:v>
                </c:pt>
                <c:pt idx="510">
                  <c:v>14.9999999999999</c:v>
                </c:pt>
                <c:pt idx="520">
                  <c:v>15.9999999999999</c:v>
                </c:pt>
                <c:pt idx="530">
                  <c:v>16.9999999999999</c:v>
                </c:pt>
                <c:pt idx="540">
                  <c:v>17.9999999999999</c:v>
                </c:pt>
                <c:pt idx="550">
                  <c:v>19</c:v>
                </c:pt>
                <c:pt idx="560">
                  <c:v>20</c:v>
                </c:pt>
                <c:pt idx="570">
                  <c:v>21</c:v>
                </c:pt>
                <c:pt idx="580">
                  <c:v>22</c:v>
                </c:pt>
                <c:pt idx="590">
                  <c:v>23</c:v>
                </c:pt>
                <c:pt idx="600">
                  <c:v>24</c:v>
                </c:pt>
                <c:pt idx="610">
                  <c:v>25</c:v>
                </c:pt>
                <c:pt idx="620">
                  <c:v>26.0000000000001</c:v>
                </c:pt>
                <c:pt idx="630">
                  <c:v>27.0000000000001</c:v>
                </c:pt>
                <c:pt idx="640">
                  <c:v>28.0000000000001</c:v>
                </c:pt>
                <c:pt idx="650">
                  <c:v>29.0000000000001</c:v>
                </c:pt>
                <c:pt idx="660">
                  <c:v>30.0000000000001</c:v>
                </c:pt>
                <c:pt idx="670">
                  <c:v>31.0000000000001</c:v>
                </c:pt>
                <c:pt idx="680">
                  <c:v>32.0000000000001</c:v>
                </c:pt>
                <c:pt idx="690">
                  <c:v>33.0000000000002</c:v>
                </c:pt>
                <c:pt idx="700">
                  <c:v>34.0000000000002</c:v>
                </c:pt>
                <c:pt idx="710">
                  <c:v>35.0000000000002</c:v>
                </c:pt>
                <c:pt idx="720">
                  <c:v>36.0000000000002</c:v>
                </c:pt>
              </c:numCache>
            </c:numRef>
          </c:xVal>
          <c:yVal>
            <c:numRef>
              <c:f>Calculs!$K$4:$K$1004</c:f>
              <c:numCache>
                <c:formatCode>General</c:formatCode>
                <c:ptCount val="1001"/>
                <c:pt idx="0">
                  <c:v>0</c:v>
                </c:pt>
                <c:pt idx="1">
                  <c:v>4.71066430277206E-005</c:v>
                </c:pt>
                <c:pt idx="2">
                  <c:v>0.00123430985045809</c:v>
                </c:pt>
                <c:pt idx="3">
                  <c:v>0.00565398827554792</c:v>
                </c:pt>
                <c:pt idx="4">
                  <c:v>0.0154000738490383</c:v>
                </c:pt>
                <c:pt idx="5">
                  <c:v>0.032568704976589</c:v>
                </c:pt>
                <c:pt idx="6">
                  <c:v>0.0587286030075707</c:v>
                </c:pt>
                <c:pt idx="7">
                  <c:v>0.0943900694407182</c:v>
                </c:pt>
                <c:pt idx="8">
                  <c:v>0.139533610440935</c:v>
                </c:pt>
                <c:pt idx="9">
                  <c:v>0.194139616707074</c:v>
                </c:pt>
                <c:pt idx="10">
                  <c:v>0.25818836387632</c:v>
                </c:pt>
                <c:pt idx="11">
                  <c:v>0.331660012933674</c:v>
                </c:pt>
                <c:pt idx="12">
                  <c:v>0.414534610626495</c:v>
                </c:pt>
                <c:pt idx="13">
                  <c:v>0.506792089884068</c:v>
                </c:pt>
                <c:pt idx="14">
                  <c:v>0.608412270242167</c:v>
                </c:pt>
                <c:pt idx="15">
                  <c:v>0.719374858272552</c:v>
                </c:pt>
                <c:pt idx="16">
                  <c:v>0.839659448017392</c:v>
                </c:pt>
                <c:pt idx="17">
                  <c:v>0.969245521428544</c:v>
                </c:pt>
                <c:pt idx="18">
                  <c:v>1.10811244881168</c:v>
                </c:pt>
                <c:pt idx="19">
                  <c:v>1.25623948927518</c:v>
                </c:pt>
                <c:pt idx="20">
                  <c:v>1.4136057911838</c:v>
                </c:pt>
                <c:pt idx="21">
                  <c:v>1.58019039261706</c:v>
                </c:pt>
                <c:pt idx="22">
                  <c:v>1.75597222183222</c:v>
                </c:pt>
                <c:pt idx="23">
                  <c:v>1.94093009773201</c:v>
                </c:pt>
                <c:pt idx="24">
                  <c:v>2.13504273033682</c:v>
                </c:pt>
                <c:pt idx="25">
                  <c:v>2.33828872126149</c:v>
                </c:pt>
                <c:pt idx="26">
                  <c:v>2.55064656419662</c:v>
                </c:pt>
                <c:pt idx="27">
                  <c:v>2.77209464539425</c:v>
                </c:pt>
                <c:pt idx="28">
                  <c:v>3.00261124415803</c:v>
                </c:pt>
                <c:pt idx="29">
                  <c:v>3.24217453333772</c:v>
                </c:pt>
                <c:pt idx="30">
                  <c:v>3.49076257982799</c:v>
                </c:pt>
                <c:pt idx="31">
                  <c:v>3.74835334507152</c:v>
                </c:pt>
                <c:pt idx="32">
                  <c:v>4.01492468556632</c:v>
                </c:pt>
                <c:pt idx="33">
                  <c:v>4.29043955550623</c:v>
                </c:pt>
                <c:pt idx="34">
                  <c:v>4.57486029065876</c:v>
                </c:pt>
                <c:pt idx="35">
                  <c:v>4.86816341380027</c:v>
                </c:pt>
                <c:pt idx="36">
                  <c:v>5.17032536614843</c:v>
                </c:pt>
                <c:pt idx="37">
                  <c:v>5.48132251439453</c:v>
                </c:pt>
                <c:pt idx="38">
                  <c:v>5.80113114984989</c:v>
                </c:pt>
                <c:pt idx="39">
                  <c:v>6.12972748770731</c:v>
                </c:pt>
                <c:pt idx="40">
                  <c:v>6.46708766640578</c:v>
                </c:pt>
                <c:pt idx="41">
                  <c:v>6.81318774708791</c:v>
                </c:pt>
                <c:pt idx="42">
                  <c:v>7.16800371314139</c:v>
                </c:pt>
                <c:pt idx="43">
                  <c:v>7.53151146981626</c:v>
                </c:pt>
                <c:pt idx="44">
                  <c:v>7.90368684391139</c:v>
                </c:pt>
                <c:pt idx="45">
                  <c:v>8.28450558352366</c:v>
                </c:pt>
                <c:pt idx="46">
                  <c:v>8.67394335785479</c:v>
                </c:pt>
                <c:pt idx="47">
                  <c:v>9.07197575707059</c:v>
                </c:pt>
                <c:pt idx="48">
                  <c:v>9.47857829220871</c:v>
                </c:pt>
                <c:pt idx="49">
                  <c:v>9.89372639513068</c:v>
                </c:pt>
                <c:pt idx="50">
                  <c:v>10.3173954185151</c:v>
                </c:pt>
                <c:pt idx="51">
                  <c:v>10.7495634267414</c:v>
                </c:pt>
                <c:pt idx="52">
                  <c:v>11.1902139904642</c:v>
                </c:pt>
                <c:pt idx="53">
                  <c:v>11.6393334007848</c:v>
                </c:pt>
                <c:pt idx="54">
                  <c:v>12.096907879664</c:v>
                </c:pt>
                <c:pt idx="55">
                  <c:v>12.5629235798068</c:v>
                </c:pt>
                <c:pt idx="56">
                  <c:v>13.0373665845716</c:v>
                </c:pt>
                <c:pt idx="57">
                  <c:v>13.5202229079007</c:v>
                </c:pt>
                <c:pt idx="58">
                  <c:v>14.0114784942715</c:v>
                </c:pt>
                <c:pt idx="59">
                  <c:v>14.5111192186678</c:v>
                </c:pt>
                <c:pt idx="60">
                  <c:v>15.0191308865683</c:v>
                </c:pt>
                <c:pt idx="61">
                  <c:v>15.5354992339537</c:v>
                </c:pt>
                <c:pt idx="62">
                  <c:v>16.0602099273289</c:v>
                </c:pt>
                <c:pt idx="63">
                  <c:v>16.5932485637618</c:v>
                </c:pt>
                <c:pt idx="64">
                  <c:v>17.1346006709362</c:v>
                </c:pt>
                <c:pt idx="65">
                  <c:v>17.6842517072186</c:v>
                </c:pt>
                <c:pt idx="66">
                  <c:v>18.2421870617386</c:v>
                </c:pt>
                <c:pt idx="67">
                  <c:v>18.8083920544817</c:v>
                </c:pt>
                <c:pt idx="68">
                  <c:v>19.3828519363943</c:v>
                </c:pt>
                <c:pt idx="69">
                  <c:v>19.9655518894997</c:v>
                </c:pt>
                <c:pt idx="70">
                  <c:v>20.5564770270259</c:v>
                </c:pt>
                <c:pt idx="71">
                  <c:v>21.1556123935431</c:v>
                </c:pt>
                <c:pt idx="72">
                  <c:v>21.7629429651116</c:v>
                </c:pt>
                <c:pt idx="73">
                  <c:v>22.3784536494392</c:v>
                </c:pt>
                <c:pt idx="74">
                  <c:v>23.002129286048</c:v>
                </c:pt>
                <c:pt idx="75">
                  <c:v>23.6339546464496</c:v>
                </c:pt>
                <c:pt idx="76">
                  <c:v>24.2739144343295</c:v>
                </c:pt>
                <c:pt idx="77">
                  <c:v>24.9219932857388</c:v>
                </c:pt>
                <c:pt idx="78">
                  <c:v>25.5781757692946</c:v>
                </c:pt>
                <c:pt idx="79">
                  <c:v>26.2424463863875</c:v>
                </c:pt>
                <c:pt idx="80">
                  <c:v>26.9147895713961</c:v>
                </c:pt>
                <c:pt idx="81">
                  <c:v>27.5951896919097</c:v>
                </c:pt>
                <c:pt idx="82">
                  <c:v>28.283631048956</c:v>
                </c:pt>
                <c:pt idx="83">
                  <c:v>28.9800978772374</c:v>
                </c:pt>
                <c:pt idx="84">
                  <c:v>29.6845743453716</c:v>
                </c:pt>
                <c:pt idx="85">
                  <c:v>30.3970445561403</c:v>
                </c:pt>
                <c:pt idx="86">
                  <c:v>31.1174925467421</c:v>
                </c:pt>
                <c:pt idx="87">
                  <c:v>31.8459022890522</c:v>
                </c:pt>
                <c:pt idx="88">
                  <c:v>32.5822576898873</c:v>
                </c:pt>
                <c:pt idx="89">
                  <c:v>33.3265425912761</c:v>
                </c:pt>
                <c:pt idx="90">
                  <c:v>34.0787407707346</c:v>
                </c:pt>
                <c:pt idx="91">
                  <c:v>34.8388359415468</c:v>
                </c:pt>
                <c:pt idx="92">
                  <c:v>35.6068117530504</c:v>
                </c:pt>
                <c:pt idx="93">
                  <c:v>36.382651790927</c:v>
                </c:pt>
                <c:pt idx="94">
                  <c:v>37.166339577497</c:v>
                </c:pt>
                <c:pt idx="95">
                  <c:v>37.9578585720189</c:v>
                </c:pt>
                <c:pt idx="96">
                  <c:v>38.7571921709936</c:v>
                </c:pt>
                <c:pt idx="97">
                  <c:v>39.5643237084719</c:v>
                </c:pt>
                <c:pt idx="98">
                  <c:v>40.3792364563671</c:v>
                </c:pt>
                <c:pt idx="99">
                  <c:v>41.2019136247711</c:v>
                </c:pt>
                <c:pt idx="100">
                  <c:v>42.0323383622743</c:v>
                </c:pt>
                <c:pt idx="101">
                  <c:v>42.8704924708862</c:v>
                </c:pt>
                <c:pt idx="102">
                  <c:v>43.716355119818</c:v>
                </c:pt>
                <c:pt idx="103">
                  <c:v>44.569904130051</c:v>
                </c:pt>
                <c:pt idx="104">
                  <c:v>45.4311172601144</c:v>
                </c:pt>
                <c:pt idx="105">
                  <c:v>46.2999722065565</c:v>
                </c:pt>
                <c:pt idx="106">
                  <c:v>47.1764466044198</c:v>
                </c:pt>
                <c:pt idx="107">
                  <c:v>48.060518027718</c:v>
                </c:pt>
                <c:pt idx="108">
                  <c:v>48.9521639899168</c:v>
                </c:pt>
                <c:pt idx="109">
                  <c:v>49.851361944418</c:v>
                </c:pt>
                <c:pt idx="110">
                  <c:v>50.7580892850451</c:v>
                </c:pt>
                <c:pt idx="111">
                  <c:v>51.6723233465329</c:v>
                </c:pt>
                <c:pt idx="112">
                  <c:v>52.5940414050188</c:v>
                </c:pt>
                <c:pt idx="113">
                  <c:v>53.5232206785372</c:v>
                </c:pt>
                <c:pt idx="114">
                  <c:v>54.4598383275164</c:v>
                </c:pt>
                <c:pt idx="115">
                  <c:v>55.403871455277</c:v>
                </c:pt>
                <c:pt idx="116">
                  <c:v>56.3552971085334</c:v>
                </c:pt>
                <c:pt idx="117">
                  <c:v>57.3140922778975</c:v>
                </c:pt>
                <c:pt idx="118">
                  <c:v>58.2802338983836</c:v>
                </c:pt>
                <c:pt idx="119">
                  <c:v>59.2536988499165</c:v>
                </c:pt>
                <c:pt idx="120">
                  <c:v>60.2344639578404</c:v>
                </c:pt>
                <c:pt idx="121">
                  <c:v>61.2225059934308</c:v>
                </c:pt>
                <c:pt idx="122">
                  <c:v>62.217801674407</c:v>
                </c:pt>
                <c:pt idx="123">
                  <c:v>63.2203276654471</c:v>
                </c:pt>
                <c:pt idx="124">
                  <c:v>64.2300605787047</c:v>
                </c:pt>
                <c:pt idx="125">
                  <c:v>65.2469769743264</c:v>
                </c:pt>
                <c:pt idx="126">
                  <c:v>66.2710533609717</c:v>
                </c:pt>
                <c:pt idx="127">
                  <c:v>67.3022661963334</c:v>
                </c:pt>
                <c:pt idx="128">
                  <c:v>68.3405918876606</c:v>
                </c:pt>
                <c:pt idx="129">
                  <c:v>69.3860067922815</c:v>
                </c:pt>
                <c:pt idx="130">
                  <c:v>70.4384872181287</c:v>
                </c:pt>
                <c:pt idx="131">
                  <c:v>71.4980094242647</c:v>
                </c:pt>
                <c:pt idx="132">
                  <c:v>72.5645496214094</c:v>
                </c:pt>
                <c:pt idx="133">
                  <c:v>73.6380839724678</c:v>
                </c:pt>
                <c:pt idx="134">
                  <c:v>74.7185885930593</c:v>
                </c:pt>
                <c:pt idx="135">
                  <c:v>75.8060395520476</c:v>
                </c:pt>
                <c:pt idx="136">
                  <c:v>76.9004128720713</c:v>
                </c:pt>
                <c:pt idx="137">
                  <c:v>78.0016845300758</c:v>
                </c:pt>
                <c:pt idx="138">
                  <c:v>79.1098304578455</c:v>
                </c:pt>
                <c:pt idx="139">
                  <c:v>80.2248265425371</c:v>
                </c:pt>
                <c:pt idx="140">
                  <c:v>81.3466486272129</c:v>
                </c:pt>
                <c:pt idx="141">
                  <c:v>82.4752725113751</c:v>
                </c:pt>
                <c:pt idx="142">
                  <c:v>83.6106739515009</c:v>
                </c:pt>
                <c:pt idx="143">
                  <c:v>84.7528286615774</c:v>
                </c:pt>
                <c:pt idx="144">
                  <c:v>85.9017123136373</c:v>
                </c:pt>
                <c:pt idx="145">
                  <c:v>87.0573005382948</c:v>
                </c:pt>
                <c:pt idx="146">
                  <c:v>88.2195689252822</c:v>
                </c:pt>
                <c:pt idx="147">
                  <c:v>89.3884930239861</c:v>
                </c:pt>
                <c:pt idx="148">
                  <c:v>90.5640483439844</c:v>
                </c:pt>
                <c:pt idx="149">
                  <c:v>91.7462103555831</c:v>
                </c:pt>
                <c:pt idx="150">
                  <c:v>92.9349544903534</c:v>
                </c:pt>
                <c:pt idx="151">
                  <c:v>94.1302565788154</c:v>
                </c:pt>
                <c:pt idx="152">
                  <c:v>95.3320932882854</c:v>
                </c:pt>
                <c:pt idx="153">
                  <c:v>96.5404416862398</c:v>
                </c:pt>
                <c:pt idx="154">
                  <c:v>97.7552788034952</c:v>
                </c:pt>
                <c:pt idx="155">
                  <c:v>98.9765816347021</c:v>
                </c:pt>
                <c:pt idx="156">
                  <c:v>100.20432713884</c:v>
                </c:pt>
                <c:pt idx="157">
                  <c:v>101.438492239708</c:v>
                </c:pt>
                <c:pt idx="158">
                  <c:v>102.679053826426</c:v>
                </c:pt>
                <c:pt idx="159">
                  <c:v>103.925988753919</c:v>
                </c:pt>
                <c:pt idx="160">
                  <c:v>105.179273843418</c:v>
                </c:pt>
                <c:pt idx="161">
                  <c:v>106.438885882952</c:v>
                </c:pt>
                <c:pt idx="162">
                  <c:v>107.704801627838</c:v>
                </c:pt>
                <c:pt idx="163">
                  <c:v>108.976997801179</c:v>
                </c:pt>
                <c:pt idx="164">
                  <c:v>110.255451094353</c:v>
                </c:pt>
                <c:pt idx="165">
                  <c:v>111.540138167508</c:v>
                </c:pt>
                <c:pt idx="166">
                  <c:v>112.831035650051</c:v>
                </c:pt>
                <c:pt idx="167">
                  <c:v>114.128120141145</c:v>
                </c:pt>
                <c:pt idx="168">
                  <c:v>115.431368210194</c:v>
                </c:pt>
                <c:pt idx="169">
                  <c:v>116.740756397338</c:v>
                </c:pt>
                <c:pt idx="170">
                  <c:v>118.056261213942</c:v>
                </c:pt>
                <c:pt idx="171">
                  <c:v>119.377859143086</c:v>
                </c:pt>
                <c:pt idx="172">
                  <c:v>120.705526640052</c:v>
                </c:pt>
                <c:pt idx="173">
                  <c:v>122.039240132817</c:v>
                </c:pt>
                <c:pt idx="174">
                  <c:v>123.378976022538</c:v>
                </c:pt>
                <c:pt idx="175">
                  <c:v>124.724710684037</c:v>
                </c:pt>
                <c:pt idx="176">
                  <c:v>126.076420466293</c:v>
                </c:pt>
                <c:pt idx="177">
                  <c:v>127.434081692924</c:v>
                </c:pt>
                <c:pt idx="178">
                  <c:v>128.797670662672</c:v>
                </c:pt>
                <c:pt idx="179">
                  <c:v>130.167163649887</c:v>
                </c:pt>
                <c:pt idx="180">
                  <c:v>131.542536905014</c:v>
                </c:pt>
                <c:pt idx="181">
                  <c:v>132.923766655069</c:v>
                </c:pt>
                <c:pt idx="182">
                  <c:v>134.310829104127</c:v>
                </c:pt>
                <c:pt idx="183">
                  <c:v>135.703700433798</c:v>
                </c:pt>
                <c:pt idx="184">
                  <c:v>137.102356803708</c:v>
                </c:pt>
                <c:pt idx="185">
                  <c:v>138.506774351979</c:v>
                </c:pt>
                <c:pt idx="186">
                  <c:v>139.916929195703</c:v>
                </c:pt>
                <c:pt idx="187">
                  <c:v>141.332797431424</c:v>
                </c:pt>
                <c:pt idx="188">
                  <c:v>142.754355135606</c:v>
                </c:pt>
                <c:pt idx="189">
                  <c:v>144.181578365115</c:v>
                </c:pt>
                <c:pt idx="190">
                  <c:v>145.614443157687</c:v>
                </c:pt>
                <c:pt idx="191">
                  <c:v>147.0529255324</c:v>
                </c:pt>
                <c:pt idx="192">
                  <c:v>148.497001490148</c:v>
                </c:pt>
                <c:pt idx="193">
                  <c:v>149.946647014108</c:v>
                </c:pt>
                <c:pt idx="194">
                  <c:v>151.401838070208</c:v>
                </c:pt>
                <c:pt idx="195">
                  <c:v>152.862550607597</c:v>
                </c:pt>
                <c:pt idx="196">
                  <c:v>154.328760559107</c:v>
                </c:pt>
                <c:pt idx="197">
                  <c:v>155.800443841716</c:v>
                </c:pt>
                <c:pt idx="198">
                  <c:v>157.277576357019</c:v>
                </c:pt>
                <c:pt idx="199">
                  <c:v>158.760133991679</c:v>
                </c:pt>
                <c:pt idx="200">
                  <c:v>160.248092617895</c:v>
                </c:pt>
                <c:pt idx="201">
                  <c:v>161.741428093858</c:v>
                </c:pt>
                <c:pt idx="202">
                  <c:v>163.240116264207</c:v>
                </c:pt>
                <c:pt idx="203">
                  <c:v>164.744132960485</c:v>
                </c:pt>
                <c:pt idx="204">
                  <c:v>166.253454001595</c:v>
                </c:pt>
                <c:pt idx="205">
                  <c:v>167.768055194253</c:v>
                </c:pt>
                <c:pt idx="206">
                  <c:v>169.287912333435</c:v>
                </c:pt>
                <c:pt idx="207">
                  <c:v>170.81300120283</c:v>
                </c:pt>
                <c:pt idx="208">
                  <c:v>172.343297575289</c:v>
                </c:pt>
                <c:pt idx="209">
                  <c:v>173.878777213267</c:v>
                </c:pt>
                <c:pt idx="210">
                  <c:v>175.419415869271</c:v>
                </c:pt>
                <c:pt idx="211">
                  <c:v>176.965189286301</c:v>
                </c:pt>
                <c:pt idx="212">
                  <c:v>178.516073198294</c:v>
                </c:pt>
                <c:pt idx="213">
                  <c:v>180.07204333056</c:v>
                </c:pt>
                <c:pt idx="214">
                  <c:v>181.633075400222</c:v>
                </c:pt>
                <c:pt idx="215">
                  <c:v>183.199145116653</c:v>
                </c:pt>
                <c:pt idx="216">
                  <c:v>184.770228181906</c:v>
                </c:pt>
                <c:pt idx="217">
                  <c:v>186.346300291152</c:v>
                </c:pt>
                <c:pt idx="218">
                  <c:v>187.927337133106</c:v>
                </c:pt>
                <c:pt idx="219">
                  <c:v>189.51331439046</c:v>
                </c:pt>
                <c:pt idx="220">
                  <c:v>191.104207740305</c:v>
                </c:pt>
                <c:pt idx="221">
                  <c:v>192.699992854561</c:v>
                </c:pt>
                <c:pt idx="222">
                  <c:v>194.300645400397</c:v>
                </c:pt>
                <c:pt idx="223">
                  <c:v>195.906141040655</c:v>
                </c:pt>
                <c:pt idx="224">
                  <c:v>197.516455434266</c:v>
                </c:pt>
                <c:pt idx="225">
                  <c:v>199.13156423667</c:v>
                </c:pt>
                <c:pt idx="226">
                  <c:v>200.751443100231</c:v>
                </c:pt>
                <c:pt idx="227">
                  <c:v>202.376067674649</c:v>
                </c:pt>
                <c:pt idx="228">
                  <c:v>204.005413607376</c:v>
                </c:pt>
                <c:pt idx="229">
                  <c:v>205.639456544018</c:v>
                </c:pt>
                <c:pt idx="230">
                  <c:v>207.27817212875</c:v>
                </c:pt>
                <c:pt idx="231">
                  <c:v>208.921536004717</c:v>
                </c:pt>
                <c:pt idx="232">
                  <c:v>210.56952381444</c:v>
                </c:pt>
                <c:pt idx="233">
                  <c:v>212.222111200213</c:v>
                </c:pt>
                <c:pt idx="234">
                  <c:v>213.879273804509</c:v>
                </c:pt>
                <c:pt idx="235">
                  <c:v>215.540987270371</c:v>
                </c:pt>
                <c:pt idx="236">
                  <c:v>217.207227241811</c:v>
                </c:pt>
                <c:pt idx="237">
                  <c:v>218.8779693642</c:v>
                </c:pt>
                <c:pt idx="238">
                  <c:v>220.553189284663</c:v>
                </c:pt>
                <c:pt idx="239">
                  <c:v>222.232862652461</c:v>
                </c:pt>
                <c:pt idx="240">
                  <c:v>223.916965119385</c:v>
                </c:pt>
                <c:pt idx="241">
                  <c:v>225.605472340134</c:v>
                </c:pt>
                <c:pt idx="242">
                  <c:v>227.298359972703</c:v>
                </c:pt>
                <c:pt idx="243">
                  <c:v>228.995603678757</c:v>
                </c:pt>
                <c:pt idx="244">
                  <c:v>230.697179124013</c:v>
                </c:pt>
                <c:pt idx="245">
                  <c:v>232.403061978614</c:v>
                </c:pt>
                <c:pt idx="246">
                  <c:v>234.113227917502</c:v>
                </c:pt>
                <c:pt idx="247">
                  <c:v>235.82765262079</c:v>
                </c:pt>
                <c:pt idx="248">
                  <c:v>237.54631177413</c:v>
                </c:pt>
                <c:pt idx="249">
                  <c:v>239.26918106908</c:v>
                </c:pt>
                <c:pt idx="250">
                  <c:v>240.996236203467</c:v>
                </c:pt>
                <c:pt idx="251">
                  <c:v>242.727450997963</c:v>
                </c:pt>
                <c:pt idx="252">
                  <c:v>244.46279551367</c:v>
                </c:pt>
                <c:pt idx="253">
                  <c:v>246.202237939506</c:v>
                </c:pt>
                <c:pt idx="254">
                  <c:v>247.945746478657</c:v>
                </c:pt>
                <c:pt idx="255">
                  <c:v>249.693289349061</c:v>
                </c:pt>
                <c:pt idx="256">
                  <c:v>251.444834783895</c:v>
                </c:pt>
                <c:pt idx="257">
                  <c:v>253.200351032058</c:v>
                </c:pt>
                <c:pt idx="258">
                  <c:v>254.959806358648</c:v>
                </c:pt>
                <c:pt idx="259">
                  <c:v>256.723169045439</c:v>
                </c:pt>
                <c:pt idx="260">
                  <c:v>258.490407391346</c:v>
                </c:pt>
                <c:pt idx="261">
                  <c:v>260.261489712894</c:v>
                </c:pt>
                <c:pt idx="262">
                  <c:v>262.036384344682</c:v>
                </c:pt>
                <c:pt idx="263">
                  <c:v>263.815059639837</c:v>
                </c:pt>
                <c:pt idx="264">
                  <c:v>265.597483970473</c:v>
                </c:pt>
                <c:pt idx="265">
                  <c:v>267.383625728138</c:v>
                </c:pt>
                <c:pt idx="266">
                  <c:v>269.173453324261</c:v>
                </c:pt>
                <c:pt idx="267">
                  <c:v>270.966935190597</c:v>
                </c:pt>
                <c:pt idx="268">
                  <c:v>272.764039779661</c:v>
                </c:pt>
                <c:pt idx="269">
                  <c:v>274.564735565166</c:v>
                </c:pt>
                <c:pt idx="270">
                  <c:v>276.368991042453</c:v>
                </c:pt>
                <c:pt idx="271">
                  <c:v>278.176774728917</c:v>
                </c:pt>
                <c:pt idx="272">
                  <c:v>279.988055164428</c:v>
                </c:pt>
                <c:pt idx="273">
                  <c:v>281.802800911753</c:v>
                </c:pt>
                <c:pt idx="274">
                  <c:v>283.620980556967</c:v>
                </c:pt>
                <c:pt idx="275">
                  <c:v>285.442562709865</c:v>
                </c:pt>
                <c:pt idx="276">
                  <c:v>287.26751600437</c:v>
                </c:pt>
                <c:pt idx="277">
                  <c:v>289.095809098934</c:v>
                </c:pt>
                <c:pt idx="278">
                  <c:v>290.927410676934</c:v>
                </c:pt>
                <c:pt idx="279">
                  <c:v>292.762289447072</c:v>
                </c:pt>
                <c:pt idx="280">
                  <c:v>294.600414143763</c:v>
                </c:pt>
                <c:pt idx="281">
                  <c:v>296.441753527518</c:v>
                </c:pt>
                <c:pt idx="282">
                  <c:v>298.286276385332</c:v>
                </c:pt>
                <c:pt idx="283">
                  <c:v>300.133951531061</c:v>
                </c:pt>
                <c:pt idx="284">
                  <c:v>301.984747805795</c:v>
                </c:pt>
                <c:pt idx="285">
                  <c:v>303.838634078227</c:v>
                </c:pt>
                <c:pt idx="286">
                  <c:v>305.695579245027</c:v>
                </c:pt>
                <c:pt idx="287">
                  <c:v>307.555552231193</c:v>
                </c:pt>
                <c:pt idx="288">
                  <c:v>309.418521990423</c:v>
                </c:pt>
                <c:pt idx="289">
                  <c:v>311.284457505456</c:v>
                </c:pt>
                <c:pt idx="290">
                  <c:v>313.153327788433</c:v>
                </c:pt>
                <c:pt idx="291">
                  <c:v>315.025101881241</c:v>
                </c:pt>
                <c:pt idx="292">
                  <c:v>316.89974885585</c:v>
                </c:pt>
                <c:pt idx="293">
                  <c:v>318.777237814659</c:v>
                </c:pt>
                <c:pt idx="294">
                  <c:v>320.657537890829</c:v>
                </c:pt>
                <c:pt idx="295">
                  <c:v>322.540618248611</c:v>
                </c:pt>
                <c:pt idx="296">
                  <c:v>324.426448083675</c:v>
                </c:pt>
                <c:pt idx="297">
                  <c:v>326.314996623431</c:v>
                </c:pt>
                <c:pt idx="298">
                  <c:v>328.206212466285</c:v>
                </c:pt>
                <c:pt idx="299">
                  <c:v>330.100002941184</c:v>
                </c:pt>
                <c:pt idx="300">
                  <c:v>331.996254820626</c:v>
                </c:pt>
                <c:pt idx="301">
                  <c:v>333.89485501445</c:v>
                </c:pt>
                <c:pt idx="302">
                  <c:v>335.795690572298</c:v>
                </c:pt>
                <c:pt idx="303">
                  <c:v>337.698648686044</c:v>
                </c:pt>
                <c:pt idx="304">
                  <c:v>339.603616692162</c:v>
                </c:pt>
                <c:pt idx="305">
                  <c:v>341.510482074057</c:v>
                </c:pt>
                <c:pt idx="306">
                  <c:v>343.419132464343</c:v>
                </c:pt>
                <c:pt idx="307">
                  <c:v>345.329455647081</c:v>
                </c:pt>
                <c:pt idx="308">
                  <c:v>347.241339559963</c:v>
                </c:pt>
                <c:pt idx="309">
                  <c:v>349.154672296456</c:v>
                </c:pt>
                <c:pt idx="310">
                  <c:v>351.069342107896</c:v>
                </c:pt>
                <c:pt idx="311">
                  <c:v>352.985237405536</c:v>
                </c:pt>
                <c:pt idx="312">
                  <c:v>354.902246762553</c:v>
                </c:pt>
                <c:pt idx="313">
                  <c:v>356.820258916</c:v>
                </c:pt>
                <c:pt idx="314">
                  <c:v>358.739162768723</c:v>
                </c:pt>
                <c:pt idx="315">
                  <c:v>360.658847391222</c:v>
                </c:pt>
                <c:pt idx="316">
                  <c:v>362.579202023477</c:v>
                </c:pt>
                <c:pt idx="317">
                  <c:v>364.50011607672</c:v>
                </c:pt>
                <c:pt idx="318">
                  <c:v>366.421479135169</c:v>
                </c:pt>
                <c:pt idx="319">
                  <c:v>368.343180957711</c:v>
                </c:pt>
                <c:pt idx="320">
                  <c:v>370.265111479548</c:v>
                </c:pt>
                <c:pt idx="321">
                  <c:v>372.1871690264</c:v>
                </c:pt>
                <c:pt idx="322">
                  <c:v>374.109268515989</c:v>
                </c:pt>
                <c:pt idx="323">
                  <c:v>376.031333219358</c:v>
                </c:pt>
                <c:pt idx="324">
                  <c:v>377.953286534437</c:v>
                </c:pt>
                <c:pt idx="325">
                  <c:v>379.875051986663</c:v>
                </c:pt>
                <c:pt idx="326">
                  <c:v>381.796553229589</c:v>
                </c:pt>
                <c:pt idx="327">
                  <c:v>383.717714045467</c:v>
                </c:pt>
                <c:pt idx="328">
                  <c:v>385.638458345807</c:v>
                </c:pt>
                <c:pt idx="329">
                  <c:v>387.558710171922</c:v>
                </c:pt>
                <c:pt idx="330">
                  <c:v>389.478393695449</c:v>
                </c:pt>
                <c:pt idx="331">
                  <c:v>391.39743321885</c:v>
                </c:pt>
                <c:pt idx="332">
                  <c:v>393.315753175894</c:v>
                </c:pt>
                <c:pt idx="333">
                  <c:v>395.233278132115</c:v>
                </c:pt>
                <c:pt idx="334">
                  <c:v>397.149932785254</c:v>
                </c:pt>
                <c:pt idx="335">
                  <c:v>399.065641965684</c:v>
                </c:pt>
                <c:pt idx="336">
                  <c:v>400.980330636806</c:v>
                </c:pt>
                <c:pt idx="337">
                  <c:v>402.893923895431</c:v>
                </c:pt>
                <c:pt idx="338">
                  <c:v>404.806346972149</c:v>
                </c:pt>
                <c:pt idx="339">
                  <c:v>406.717525231664</c:v>
                </c:pt>
                <c:pt idx="340">
                  <c:v>408.627384173124</c:v>
                </c:pt>
                <c:pt idx="341">
                  <c:v>410.535849430424</c:v>
                </c:pt>
                <c:pt idx="342">
                  <c:v>412.442846772492</c:v>
                </c:pt>
                <c:pt idx="343">
                  <c:v>414.34830210356</c:v>
                </c:pt>
                <c:pt idx="344">
                  <c:v>416.252141463406</c:v>
                </c:pt>
                <c:pt idx="345">
                  <c:v>418.154291027595</c:v>
                </c:pt>
                <c:pt idx="346">
                  <c:v>420.054677107683</c:v>
                </c:pt>
                <c:pt idx="347">
                  <c:v>421.953226151417</c:v>
                </c:pt>
                <c:pt idx="348">
                  <c:v>423.849865627964</c:v>
                </c:pt>
                <c:pt idx="349">
                  <c:v>425.744524911418</c:v>
                </c:pt>
                <c:pt idx="350">
                  <c:v>427.637134392424</c:v>
                </c:pt>
                <c:pt idx="351">
                  <c:v>429.527624591481</c:v>
                </c:pt>
                <c:pt idx="352">
                  <c:v>431.415926159006</c:v>
                </c:pt>
                <c:pt idx="353">
                  <c:v>433.301969875388</c:v>
                </c:pt>
                <c:pt idx="354">
                  <c:v>435.185686651018</c:v>
                </c:pt>
                <c:pt idx="355">
                  <c:v>437.067007526316</c:v>
                </c:pt>
                <c:pt idx="356">
                  <c:v>438.945863671729</c:v>
                </c:pt>
                <c:pt idx="357">
                  <c:v>440.822186387727</c:v>
                </c:pt>
                <c:pt idx="358">
                  <c:v>442.695907104775</c:v>
                </c:pt>
                <c:pt idx="359">
                  <c:v>444.566957383295</c:v>
                </c:pt>
                <c:pt idx="360">
                  <c:v>446.435287313958</c:v>
                </c:pt>
                <c:pt idx="361">
                  <c:v>448.300883879948</c:v>
                </c:pt>
                <c:pt idx="362">
                  <c:v>450.163752481729</c:v>
                </c:pt>
                <c:pt idx="363">
                  <c:v>452.023898499902</c:v>
                </c:pt>
                <c:pt idx="364">
                  <c:v>453.881327295308</c:v>
                </c:pt>
                <c:pt idx="365">
                  <c:v>455.73604420912</c:v>
                </c:pt>
                <c:pt idx="366">
                  <c:v>457.588054562936</c:v>
                </c:pt>
                <c:pt idx="367">
                  <c:v>459.437363658876</c:v>
                </c:pt>
                <c:pt idx="368">
                  <c:v>461.283976779679</c:v>
                </c:pt>
                <c:pt idx="369">
                  <c:v>463.12789918879</c:v>
                </c:pt>
                <c:pt idx="370">
                  <c:v>464.969136130456</c:v>
                </c:pt>
                <c:pt idx="371">
                  <c:v>466.80769282982</c:v>
                </c:pt>
                <c:pt idx="372">
                  <c:v>468.64357449301</c:v>
                </c:pt>
                <c:pt idx="373">
                  <c:v>470.476786307231</c:v>
                </c:pt>
                <c:pt idx="374">
                  <c:v>472.307333440856</c:v>
                </c:pt>
                <c:pt idx="375">
                  <c:v>474.135221043514</c:v>
                </c:pt>
                <c:pt idx="376">
                  <c:v>475.960454246184</c:v>
                </c:pt>
                <c:pt idx="377">
                  <c:v>477.783038161279</c:v>
                </c:pt>
                <c:pt idx="378">
                  <c:v>479.602977882736</c:v>
                </c:pt>
                <c:pt idx="379">
                  <c:v>481.420278486108</c:v>
                </c:pt>
                <c:pt idx="380">
                  <c:v>483.234945028644</c:v>
                </c:pt>
                <c:pt idx="381">
                  <c:v>485.04698254938</c:v>
                </c:pt>
                <c:pt idx="382">
                  <c:v>486.856396069227</c:v>
                </c:pt>
                <c:pt idx="383">
                  <c:v>488.663190591054</c:v>
                </c:pt>
                <c:pt idx="384">
                  <c:v>490.467371099771</c:v>
                </c:pt>
                <c:pt idx="385">
                  <c:v>492.268942562421</c:v>
                </c:pt>
                <c:pt idx="386">
                  <c:v>494.067909928258</c:v>
                </c:pt>
                <c:pt idx="387">
                  <c:v>495.864278128833</c:v>
                </c:pt>
                <c:pt idx="388">
                  <c:v>497.658052078076</c:v>
                </c:pt>
                <c:pt idx="389">
                  <c:v>499.449236672381</c:v>
                </c:pt>
                <c:pt idx="390">
                  <c:v>501.237836790687</c:v>
                </c:pt>
                <c:pt idx="391">
                  <c:v>503.023857294559</c:v>
                </c:pt>
                <c:pt idx="392">
                  <c:v>504.80730302827</c:v>
                </c:pt>
                <c:pt idx="393">
                  <c:v>506.588178818884</c:v>
                </c:pt>
                <c:pt idx="394">
                  <c:v>508.366489476332</c:v>
                </c:pt>
                <c:pt idx="395">
                  <c:v>510.142239793496</c:v>
                </c:pt>
                <c:pt idx="396">
                  <c:v>511.915434546283</c:v>
                </c:pt>
                <c:pt idx="397">
                  <c:v>513.686078493713</c:v>
                </c:pt>
                <c:pt idx="398">
                  <c:v>515.454176377986</c:v>
                </c:pt>
                <c:pt idx="399">
                  <c:v>517.219732924571</c:v>
                </c:pt>
                <c:pt idx="400">
                  <c:v>518.982752842275</c:v>
                </c:pt>
                <c:pt idx="401">
                  <c:v>536.473800892352</c:v>
                </c:pt>
                <c:pt idx="402">
                  <c:v>553.714204690806</c:v>
                </c:pt>
                <c:pt idx="403">
                  <c:v>570.708514530673</c:v>
                </c:pt>
                <c:pt idx="404">
                  <c:v>587.461124033914</c:v>
                </c:pt>
                <c:pt idx="405">
                  <c:v>603.976277161297</c:v>
                </c:pt>
                <c:pt idx="406">
                  <c:v>620.258074828367</c:v>
                </c:pt>
                <c:pt idx="407">
                  <c:v>636.310481153894</c:v>
                </c:pt>
                <c:pt idx="408">
                  <c:v>652.137329365098</c:v>
                </c:pt>
                <c:pt idx="409">
                  <c:v>667.74232738213</c:v>
                </c:pt>
                <c:pt idx="410">
                  <c:v>683.129063102546</c:v>
                </c:pt>
                <c:pt idx="411">
                  <c:v>698.301009404979</c:v>
                </c:pt>
                <c:pt idx="412">
                  <c:v>713.261528889775</c:v>
                </c:pt>
                <c:pt idx="413">
                  <c:v>728.013878373066</c:v>
                </c:pt>
                <c:pt idx="414">
                  <c:v>742.561213149541</c:v>
                </c:pt>
                <c:pt idx="415">
                  <c:v>756.906591038096</c:v>
                </c:pt>
                <c:pt idx="416">
                  <c:v>771.052976223531</c:v>
                </c:pt>
                <c:pt idx="417">
                  <c:v>785.003242906522</c:v>
                </c:pt>
                <c:pt idx="418">
                  <c:v>798.760178773266</c:v>
                </c:pt>
                <c:pt idx="419">
                  <c:v>812.326488295387</c:v>
                </c:pt>
                <c:pt idx="420">
                  <c:v>825.704795869996</c:v>
                </c:pt>
                <c:pt idx="421">
                  <c:v>838.897648809097</c:v>
                </c:pt>
                <c:pt idx="422">
                  <c:v>851.907520186954</c:v>
                </c:pt>
                <c:pt idx="423">
                  <c:v>864.736811553414</c:v>
                </c:pt>
                <c:pt idx="424">
                  <c:v>877.387855520712</c:v>
                </c:pt>
                <c:pt idx="425">
                  <c:v>889.862918230744</c:v>
                </c:pt>
                <c:pt idx="426">
                  <c:v>902.164201709387</c:v>
                </c:pt>
                <c:pt idx="427">
                  <c:v>914.29384611398</c:v>
                </c:pt>
                <c:pt idx="428">
                  <c:v>926.253931879745</c:v>
                </c:pt>
                <c:pt idx="429">
                  <c:v>938.04648177052</c:v>
                </c:pt>
                <c:pt idx="430">
                  <c:v>949.673462838862</c:v>
                </c:pt>
                <c:pt idx="431">
                  <c:v>961.13678830028</c:v>
                </c:pt>
                <c:pt idx="432">
                  <c:v>972.438319326032</c:v>
                </c:pt>
                <c:pt idx="433">
                  <c:v>983.579866758694</c:v>
                </c:pt>
                <c:pt idx="434">
                  <c:v>994.563192754425</c:v>
                </c:pt>
                <c:pt idx="435">
                  <c:v>1005.39001235563</c:v>
                </c:pt>
                <c:pt idx="436">
                  <c:v>1016.06199499751</c:v>
                </c:pt>
                <c:pt idx="437">
                  <c:v>1026.58076595179</c:v>
                </c:pt>
                <c:pt idx="438">
                  <c:v>1036.94790771068</c:v>
                </c:pt>
                <c:pt idx="439">
                  <c:v>1047.16496131404</c:v>
                </c:pt>
                <c:pt idx="440">
                  <c:v>1057.23342762243</c:v>
                </c:pt>
                <c:pt idx="441">
                  <c:v>1067.15476853871</c:v>
                </c:pt>
                <c:pt idx="442">
                  <c:v>1076.9304081806</c:v>
                </c:pt>
                <c:pt idx="443">
                  <c:v>1086.56173400643</c:v>
                </c:pt>
                <c:pt idx="444">
                  <c:v>1096.05009789652</c:v>
                </c:pt>
                <c:pt idx="445">
                  <c:v>1105.39681719191</c:v>
                </c:pt>
                <c:pt idx="446">
                  <c:v>1114.60317569265</c:v>
                </c:pt>
                <c:pt idx="447">
                  <c:v>1123.67042461744</c:v>
                </c:pt>
                <c:pt idx="448">
                  <c:v>1132.59978352632</c:v>
                </c:pt>
                <c:pt idx="449">
                  <c:v>1141.39244120804</c:v>
                </c:pt>
                <c:pt idx="450">
                  <c:v>1150.04955653388</c:v>
                </c:pt>
                <c:pt idx="451">
                  <c:v>1158.57225927911</c:v>
                </c:pt>
                <c:pt idx="452">
                  <c:v>1166.96165091378</c:v>
                </c:pt>
                <c:pt idx="453">
                  <c:v>1175.21880536399</c:v>
                </c:pt>
                <c:pt idx="454">
                  <c:v>1183.34476974504</c:v>
                </c:pt>
                <c:pt idx="455">
                  <c:v>1191.34056506756</c:v>
                </c:pt>
                <c:pt idx="456">
                  <c:v>1199.20718691783</c:v>
                </c:pt>
                <c:pt idx="457">
                  <c:v>1206.94560611347</c:v>
                </c:pt>
                <c:pt idx="458">
                  <c:v>1214.55676933526</c:v>
                </c:pt>
                <c:pt idx="459">
                  <c:v>1222.04159973646</c:v>
                </c:pt>
                <c:pt idx="460">
                  <c:v>1229.40099753023</c:v>
                </c:pt>
                <c:pt idx="461">
                  <c:v>1236.63584055626</c:v>
                </c:pt>
                <c:pt idx="462">
                  <c:v>1243.74698482738</c:v>
                </c:pt>
                <c:pt idx="463">
                  <c:v>1250.73526505695</c:v>
                </c:pt>
                <c:pt idx="464">
                  <c:v>1257.60149516792</c:v>
                </c:pt>
                <c:pt idx="465">
                  <c:v>1264.3464687841</c:v>
                </c:pt>
                <c:pt idx="466">
                  <c:v>1270.97095970457</c:v>
                </c:pt>
                <c:pt idx="467">
                  <c:v>1277.47572236175</c:v>
                </c:pt>
                <c:pt idx="468">
                  <c:v>1283.8614922639</c:v>
                </c:pt>
                <c:pt idx="469">
                  <c:v>1290.1289864225</c:v>
                </c:pt>
                <c:pt idx="470">
                  <c:v>1296.27890376534</c:v>
                </c:pt>
                <c:pt idx="471">
                  <c:v>1302.31192553567</c:v>
                </c:pt>
                <c:pt idx="472">
                  <c:v>1308.22871567811</c:v>
                </c:pt>
                <c:pt idx="473">
                  <c:v>1314.02992121177</c:v>
                </c:pt>
                <c:pt idx="474">
                  <c:v>1319.71617259112</c:v>
                </c:pt>
                <c:pt idx="475">
                  <c:v>1325.28808405511</c:v>
                </c:pt>
                <c:pt idx="476">
                  <c:v>1330.74625396496</c:v>
                </c:pt>
                <c:pt idx="477">
                  <c:v>1336.09126513115</c:v>
                </c:pt>
                <c:pt idx="478">
                  <c:v>1341.32368513</c:v>
                </c:pt>
                <c:pt idx="479">
                  <c:v>1346.44406661033</c:v>
                </c:pt>
                <c:pt idx="480">
                  <c:v>1351.45294759054</c:v>
                </c:pt>
                <c:pt idx="481">
                  <c:v>1356.3508517466</c:v>
                </c:pt>
                <c:pt idx="482">
                  <c:v>1361.13828869131</c:v>
                </c:pt>
                <c:pt idx="483">
                  <c:v>1365.81575424524</c:v>
                </c:pt>
                <c:pt idx="484">
                  <c:v>1370.38373069974</c:v>
                </c:pt>
                <c:pt idx="485">
                  <c:v>1374.8426870724</c:v>
                </c:pt>
                <c:pt idx="486">
                  <c:v>1379.19307935538</c:v>
                </c:pt>
                <c:pt idx="487">
                  <c:v>1383.43535075694</c:v>
                </c:pt>
                <c:pt idx="488">
                  <c:v>1387.5699319366</c:v>
                </c:pt>
                <c:pt idx="489">
                  <c:v>1391.59724123428</c:v>
                </c:pt>
                <c:pt idx="490">
                  <c:v>1395.51768489392</c:v>
                </c:pt>
                <c:pt idx="491">
                  <c:v>1399.33165728179</c:v>
                </c:pt>
                <c:pt idx="492">
                  <c:v>1403.03954110011</c:v>
                </c:pt>
                <c:pt idx="493">
                  <c:v>1406.64170759628</c:v>
                </c:pt>
                <c:pt idx="494">
                  <c:v>1410.13851676822</c:v>
                </c:pt>
                <c:pt idx="495">
                  <c:v>1413.53031756616</c:v>
                </c:pt>
                <c:pt idx="496">
                  <c:v>1416.81744809161</c:v>
                </c:pt>
                <c:pt idx="497">
                  <c:v>1420.00023579371</c:v>
                </c:pt>
                <c:pt idx="498">
                  <c:v>1423.0789976637</c:v>
                </c:pt>
                <c:pt idx="499">
                  <c:v>1426.05404042801</c:v>
                </c:pt>
                <c:pt idx="500">
                  <c:v>1428.92566074053</c:v>
                </c:pt>
                <c:pt idx="501">
                  <c:v>1431.69414537473</c:v>
                </c:pt>
                <c:pt idx="502">
                  <c:v>1434.35977141632</c:v>
                </c:pt>
                <c:pt idx="503">
                  <c:v>1436.92280645707</c:v>
                </c:pt>
                <c:pt idx="504">
                  <c:v>1439.38350879069</c:v>
                </c:pt>
                <c:pt idx="505">
                  <c:v>1441.74212761151</c:v>
                </c:pt>
                <c:pt idx="506">
                  <c:v>1443.99890321673</c:v>
                </c:pt>
                <c:pt idx="507">
                  <c:v>1446.15406721341</c:v>
                </c:pt>
                <c:pt idx="508">
                  <c:v>1448.20784273087</c:v>
                </c:pt>
                <c:pt idx="509">
                  <c:v>1450.1604446397</c:v>
                </c:pt>
                <c:pt idx="510">
                  <c:v>1452.01207977844</c:v>
                </c:pt>
                <c:pt idx="511">
                  <c:v>1453.76294718888</c:v>
                </c:pt>
                <c:pt idx="512">
                  <c:v>1455.41323836126</c:v>
                </c:pt>
                <c:pt idx="513">
                  <c:v>1456.96313749045</c:v>
                </c:pt>
                <c:pt idx="514">
                  <c:v>1458.41282174416</c:v>
                </c:pt>
                <c:pt idx="515">
                  <c:v>1459.7624615444</c:v>
                </c:pt>
                <c:pt idx="516">
                  <c:v>1461.01222086315</c:v>
                </c:pt>
                <c:pt idx="517">
                  <c:v>1462.16225753319</c:v>
                </c:pt>
                <c:pt idx="518">
                  <c:v>1463.21272357493</c:v>
                </c:pt>
                <c:pt idx="519">
                  <c:v>1464.16376553986</c:v>
                </c:pt>
                <c:pt idx="520">
                  <c:v>1465.01552487109</c:v>
                </c:pt>
                <c:pt idx="521">
                  <c:v>1465.76813828109</c:v>
                </c:pt>
                <c:pt idx="522">
                  <c:v>1466.42173814652</c:v>
                </c:pt>
                <c:pt idx="523">
                  <c:v>1466.97645291975</c:v>
                </c:pt>
                <c:pt idx="524">
                  <c:v>1467.43240755602</c:v>
                </c:pt>
                <c:pt idx="525">
                  <c:v>1467.78972395522</c:v>
                </c:pt>
                <c:pt idx="526">
                  <c:v>1468.04852141647</c:v>
                </c:pt>
                <c:pt idx="527">
                  <c:v>1468.20891710357</c:v>
                </c:pt>
                <c:pt idx="528">
                  <c:v>1468.27102651883</c:v>
                </c:pt>
                <c:pt idx="529">
                  <c:v>1468.23496398257</c:v>
                </c:pt>
                <c:pt idx="530">
                  <c:v>1468.10084311547</c:v>
                </c:pt>
                <c:pt idx="531">
                  <c:v>1467.86877732031</c:v>
                </c:pt>
                <c:pt idx="532">
                  <c:v>1467.53888026027</c:v>
                </c:pt>
                <c:pt idx="533">
                  <c:v>1467.11126633019</c:v>
                </c:pt>
                <c:pt idx="534">
                  <c:v>1466.58605111802</c:v>
                </c:pt>
                <c:pt idx="535">
                  <c:v>1465.96335185332</c:v>
                </c:pt>
                <c:pt idx="536">
                  <c:v>1465.2432878402</c:v>
                </c:pt>
                <c:pt idx="537">
                  <c:v>1464.42598087253</c:v>
                </c:pt>
                <c:pt idx="538">
                  <c:v>1463.51155562929</c:v>
                </c:pt>
                <c:pt idx="539">
                  <c:v>1462.50014004868</c:v>
                </c:pt>
                <c:pt idx="540">
                  <c:v>1461.39186567972</c:v>
                </c:pt>
                <c:pt idx="541">
                  <c:v>1460.18686801067</c:v>
                </c:pt>
                <c:pt idx="542">
                  <c:v>1458.88528677394</c:v>
                </c:pt>
                <c:pt idx="543">
                  <c:v>1457.48726622733</c:v>
                </c:pt>
                <c:pt idx="544">
                  <c:v>1455.99295541192</c:v>
                </c:pt>
                <c:pt idx="545">
                  <c:v>1454.40250838716</c:v>
                </c:pt>
                <c:pt idx="546">
                  <c:v>1452.71608444375</c:v>
                </c:pt>
                <c:pt idx="547">
                  <c:v>1450.93384829522</c:v>
                </c:pt>
                <c:pt idx="548">
                  <c:v>1449.0559702493</c:v>
                </c:pt>
                <c:pt idx="549">
                  <c:v>1447.08262635987</c:v>
                </c:pt>
                <c:pt idx="550">
                  <c:v>1445.01399856081</c:v>
                </c:pt>
                <c:pt idx="551">
                  <c:v>1442.85027478285</c:v>
                </c:pt>
                <c:pt idx="552">
                  <c:v>1440.59164905434</c:v>
                </c:pt>
                <c:pt idx="553">
                  <c:v>1438.23832158725</c:v>
                </c:pt>
                <c:pt idx="554">
                  <c:v>1435.79049884932</c:v>
                </c:pt>
                <c:pt idx="555">
                  <c:v>1433.24839362339</c:v>
                </c:pt>
                <c:pt idx="556">
                  <c:v>1430.61222505487</c:v>
                </c:pt>
                <c:pt idx="557">
                  <c:v>1427.88221868822</c:v>
                </c:pt>
                <c:pt idx="558">
                  <c:v>1425.05860649334</c:v>
                </c:pt>
                <c:pt idx="559">
                  <c:v>1422.14162688253</c:v>
                </c:pt>
                <c:pt idx="560">
                  <c:v>1419.13152471887</c:v>
                </c:pt>
                <c:pt idx="561">
                  <c:v>1416.0285513166</c:v>
                </c:pt>
                <c:pt idx="562">
                  <c:v>1412.83296443412</c:v>
                </c:pt>
                <c:pt idx="563">
                  <c:v>1409.54502826015</c:v>
                </c:pt>
                <c:pt idx="564">
                  <c:v>1406.16501339372</c:v>
                </c:pt>
                <c:pt idx="565">
                  <c:v>1402.69319681818</c:v>
                </c:pt>
                <c:pt idx="566">
                  <c:v>1399.12986186992</c:v>
                </c:pt>
                <c:pt idx="567">
                  <c:v>1395.47529820205</c:v>
                </c:pt>
                <c:pt idx="568">
                  <c:v>1391.72980174344</c:v>
                </c:pt>
                <c:pt idx="569">
                  <c:v>1387.89367465347</c:v>
                </c:pt>
                <c:pt idx="570">
                  <c:v>1383.96722527276</c:v>
                </c:pt>
                <c:pt idx="571">
                  <c:v>1379.95076807015</c:v>
                </c:pt>
                <c:pt idx="572">
                  <c:v>1375.84462358623</c:v>
                </c:pt>
                <c:pt idx="573">
                  <c:v>1371.64911837363</c:v>
                </c:pt>
                <c:pt idx="574">
                  <c:v>1367.36458493421</c:v>
                </c:pt>
                <c:pt idx="575">
                  <c:v>1362.99136165352</c:v>
                </c:pt>
                <c:pt idx="576">
                  <c:v>1358.52979273258</c:v>
                </c:pt>
                <c:pt idx="577">
                  <c:v>1353.98022811707</c:v>
                </c:pt>
                <c:pt idx="578">
                  <c:v>1349.34302342442</c:v>
                </c:pt>
                <c:pt idx="579">
                  <c:v>1344.6185398685</c:v>
                </c:pt>
                <c:pt idx="580">
                  <c:v>1339.80714418241</c:v>
                </c:pt>
                <c:pt idx="581">
                  <c:v>1334.90920853935</c:v>
                </c:pt>
                <c:pt idx="582">
                  <c:v>1329.92511047161</c:v>
                </c:pt>
                <c:pt idx="583">
                  <c:v>1324.85523278801</c:v>
                </c:pt>
                <c:pt idx="584">
                  <c:v>1319.69996348968</c:v>
                </c:pt>
                <c:pt idx="585">
                  <c:v>1314.4596956844</c:v>
                </c:pt>
                <c:pt idx="586">
                  <c:v>1309.1348274996</c:v>
                </c:pt>
                <c:pt idx="587">
                  <c:v>1303.72576199401</c:v>
                </c:pt>
                <c:pt idx="588">
                  <c:v>1298.23290706814</c:v>
                </c:pt>
                <c:pt idx="589">
                  <c:v>1292.65667537374</c:v>
                </c:pt>
                <c:pt idx="590">
                  <c:v>1286.99748422204</c:v>
                </c:pt>
                <c:pt idx="591">
                  <c:v>1281.25575549121</c:v>
                </c:pt>
                <c:pt idx="592">
                  <c:v>1275.43191553285</c:v>
                </c:pt>
                <c:pt idx="593">
                  <c:v>1269.52639507765</c:v>
                </c:pt>
                <c:pt idx="594">
                  <c:v>1263.53962914035</c:v>
                </c:pt>
                <c:pt idx="595">
                  <c:v>1257.472056924</c:v>
                </c:pt>
                <c:pt idx="596">
                  <c:v>1251.32412172357</c:v>
                </c:pt>
                <c:pt idx="597">
                  <c:v>1245.09627082908</c:v>
                </c:pt>
                <c:pt idx="598">
                  <c:v>1238.78895542813</c:v>
                </c:pt>
                <c:pt idx="599">
                  <c:v>1232.40263050806</c:v>
                </c:pt>
                <c:pt idx="600">
                  <c:v>1225.9377547577</c:v>
                </c:pt>
                <c:pt idx="601">
                  <c:v>1219.3947904688</c:v>
                </c:pt>
                <c:pt idx="602">
                  <c:v>1212.77420343716</c:v>
                </c:pt>
                <c:pt idx="603">
                  <c:v>1206.07646286358</c:v>
                </c:pt>
                <c:pt idx="604">
                  <c:v>1199.30204125453</c:v>
                </c:pt>
                <c:pt idx="605">
                  <c:v>1192.45141432287</c:v>
                </c:pt>
                <c:pt idx="606">
                  <c:v>1185.52506088827</c:v>
                </c:pt>
                <c:pt idx="607">
                  <c:v>1178.52346277779</c:v>
                </c:pt>
                <c:pt idx="608">
                  <c:v>1171.44710472639</c:v>
                </c:pt>
                <c:pt idx="609">
                  <c:v>1164.29647427745</c:v>
                </c:pt>
                <c:pt idx="610">
                  <c:v>1157.0720616835</c:v>
                </c:pt>
                <c:pt idx="611">
                  <c:v>1149.77435980699</c:v>
                </c:pt>
                <c:pt idx="612">
                  <c:v>1142.40386402133</c:v>
                </c:pt>
                <c:pt idx="613">
                  <c:v>1134.96107211209</c:v>
                </c:pt>
                <c:pt idx="614">
                  <c:v>1127.44648417848</c:v>
                </c:pt>
                <c:pt idx="615">
                  <c:v>1119.86060253517</c:v>
                </c:pt>
                <c:pt idx="616">
                  <c:v>1112.20393161441</c:v>
                </c:pt>
                <c:pt idx="617">
                  <c:v>1104.47697786853</c:v>
                </c:pt>
                <c:pt idx="618">
                  <c:v>1096.68024967288</c:v>
                </c:pt>
                <c:pt idx="619">
                  <c:v>1088.81425722916</c:v>
                </c:pt>
                <c:pt idx="620">
                  <c:v>1080.87951246934</c:v>
                </c:pt>
                <c:pt idx="621">
                  <c:v>1072.87652895995</c:v>
                </c:pt>
                <c:pt idx="622">
                  <c:v>1064.80582180704</c:v>
                </c:pt>
                <c:pt idx="623">
                  <c:v>1056.66790756166</c:v>
                </c:pt>
                <c:pt idx="624">
                  <c:v>1048.46330412594</c:v>
                </c:pt>
                <c:pt idx="625">
                  <c:v>1040.19253065983</c:v>
                </c:pt>
                <c:pt idx="626">
                  <c:v>1031.85610748854</c:v>
                </c:pt>
                <c:pt idx="627">
                  <c:v>1023.45455601056</c:v>
                </c:pt>
                <c:pt idx="628">
                  <c:v>1014.98839860653</c:v>
                </c:pt>
                <c:pt idx="629">
                  <c:v>1006.45815854882</c:v>
                </c:pt>
                <c:pt idx="630">
                  <c:v>997.864359911785</c:v>
                </c:pt>
                <c:pt idx="631">
                  <c:v>989.207527482981</c:v>
                </c:pt>
                <c:pt idx="632">
                  <c:v>980.488186675064</c:v>
                </c:pt>
                <c:pt idx="633">
                  <c:v>971.706863438598</c:v>
                </c:pt>
                <c:pt idx="634">
                  <c:v>962.864084175715</c:v>
                </c:pt>
                <c:pt idx="635">
                  <c:v>953.960375654654</c:v>
                </c:pt>
                <c:pt idx="636">
                  <c:v>944.996264925206</c:v>
                </c:pt>
                <c:pt idx="637">
                  <c:v>935.972279235095</c:v>
                </c:pt>
                <c:pt idx="638">
                  <c:v>926.888945947285</c:v>
                </c:pt>
                <c:pt idx="639">
                  <c:v>917.746792458262</c:v>
                </c:pt>
                <c:pt idx="640">
                  <c:v>908.546346117288</c:v>
                </c:pt>
                <c:pt idx="641">
                  <c:v>899.28813414665</c:v>
                </c:pt>
                <c:pt idx="642">
                  <c:v>889.972683562918</c:v>
                </c:pt>
                <c:pt idx="643">
                  <c:v>880.600521099227</c:v>
                </c:pt>
                <c:pt idx="644">
                  <c:v>871.172173128597</c:v>
                </c:pt>
                <c:pt idx="645">
                  <c:v>861.688165588304</c:v>
                </c:pt>
                <c:pt idx="646">
                  <c:v>852.149023905314</c:v>
                </c:pt>
                <c:pt idx="647">
                  <c:v>842.555272922789</c:v>
                </c:pt>
                <c:pt idx="648">
                  <c:v>832.907436827685</c:v>
                </c:pt>
                <c:pt idx="649">
                  <c:v>823.206039079432</c:v>
                </c:pt>
                <c:pt idx="650">
                  <c:v>813.451602339736</c:v>
                </c:pt>
                <c:pt idx="651">
                  <c:v>803.64464840348</c:v>
                </c:pt>
                <c:pt idx="652">
                  <c:v>793.785698130749</c:v>
                </c:pt>
                <c:pt idx="653">
                  <c:v>783.87527137999</c:v>
                </c:pt>
                <c:pt idx="654">
                  <c:v>773.913886942299</c:v>
                </c:pt>
                <c:pt idx="655">
                  <c:v>763.902062476848</c:v>
                </c:pt>
                <c:pt idx="656">
                  <c:v>753.840314447465</c:v>
                </c:pt>
                <c:pt idx="657">
                  <c:v>743.729158060357</c:v>
                </c:pt>
                <c:pt idx="658">
                  <c:v>733.569107202988</c:v>
                </c:pt>
                <c:pt idx="659">
                  <c:v>723.360674384119</c:v>
                </c:pt>
                <c:pt idx="660">
                  <c:v>713.104370674998</c:v>
                </c:pt>
                <c:pt idx="661">
                  <c:v>702.800705651723</c:v>
                </c:pt>
                <c:pt idx="662">
                  <c:v>692.450187338759</c:v>
                </c:pt>
                <c:pt idx="663">
                  <c:v>682.053322153623</c:v>
                </c:pt>
                <c:pt idx="664">
                  <c:v>671.610614852733</c:v>
                </c:pt>
                <c:pt idx="665">
                  <c:v>661.122568478419</c:v>
                </c:pt>
                <c:pt idx="666">
                  <c:v>650.589684307097</c:v>
                </c:pt>
                <c:pt idx="667">
                  <c:v>640.012461798606</c:v>
                </c:pt>
                <c:pt idx="668">
                  <c:v>629.391398546705</c:v>
                </c:pt>
                <c:pt idx="669">
                  <c:v>618.726990230722</c:v>
                </c:pt>
                <c:pt idx="670">
                  <c:v>608.019730568364</c:v>
                </c:pt>
                <c:pt idx="671">
                  <c:v>597.27011126967</c:v>
                </c:pt>
                <c:pt idx="672">
                  <c:v>586.478621992121</c:v>
                </c:pt>
                <c:pt idx="673">
                  <c:v>575.645750296878</c:v>
                </c:pt>
                <c:pt idx="674">
                  <c:v>564.771981606174</c:v>
                </c:pt>
                <c:pt idx="675">
                  <c:v>553.857799161824</c:v>
                </c:pt>
                <c:pt idx="676">
                  <c:v>542.903683984871</c:v>
                </c:pt>
                <c:pt idx="677">
                  <c:v>531.910114836345</c:v>
                </c:pt>
                <c:pt idx="678">
                  <c:v>520.877568179148</c:v>
                </c:pt>
                <c:pt idx="679">
                  <c:v>509.806518141028</c:v>
                </c:pt>
                <c:pt idx="680">
                  <c:v>498.697436478672</c:v>
                </c:pt>
                <c:pt idx="681">
                  <c:v>487.55079254288</c:v>
                </c:pt>
                <c:pt idx="682">
                  <c:v>476.367053244825</c:v>
                </c:pt>
                <c:pt idx="683">
                  <c:v>465.146683023392</c:v>
                </c:pt>
                <c:pt idx="684">
                  <c:v>453.890143813586</c:v>
                </c:pt>
                <c:pt idx="685">
                  <c:v>442.59789501599</c:v>
                </c:pt>
                <c:pt idx="686">
                  <c:v>431.270393467287</c:v>
                </c:pt>
                <c:pt idx="687">
                  <c:v>419.908093411806</c:v>
                </c:pt>
                <c:pt idx="688">
                  <c:v>408.511446474114</c:v>
                </c:pt>
                <c:pt idx="689">
                  <c:v>397.080901632617</c:v>
                </c:pt>
                <c:pt idx="690">
                  <c:v>385.616905194179</c:v>
                </c:pt>
                <c:pt idx="691">
                  <c:v>374.119900769733</c:v>
                </c:pt>
                <c:pt idx="692">
                  <c:v>362.59032925089</c:v>
                </c:pt>
                <c:pt idx="693">
                  <c:v>351.028628787522</c:v>
                </c:pt>
                <c:pt idx="694">
                  <c:v>339.43523476631</c:v>
                </c:pt>
                <c:pt idx="695">
                  <c:v>327.810579790254</c:v>
                </c:pt>
                <c:pt idx="696">
                  <c:v>316.155093659119</c:v>
                </c:pt>
                <c:pt idx="697">
                  <c:v>304.469203350827</c:v>
                </c:pt>
                <c:pt idx="698">
                  <c:v>292.753333003753</c:v>
                </c:pt>
                <c:pt idx="699">
                  <c:v>281.007903899948</c:v>
                </c:pt>
                <c:pt idx="700">
                  <c:v>269.233334449244</c:v>
                </c:pt>
                <c:pt idx="701">
                  <c:v>257.430040174258</c:v>
                </c:pt>
                <c:pt idx="702">
                  <c:v>245.598433696256</c:v>
                </c:pt>
                <c:pt idx="703">
                  <c:v>233.738924721883</c:v>
                </c:pt>
                <c:pt idx="704">
                  <c:v>221.851920030746</c:v>
                </c:pt>
                <c:pt idx="705">
                  <c:v>209.937823463824</c:v>
                </c:pt>
                <c:pt idx="706">
                  <c:v>197.997035912704</c:v>
                </c:pt>
                <c:pt idx="707">
                  <c:v>186.029955309629</c:v>
                </c:pt>
                <c:pt idx="708">
                  <c:v>174.03697661834</c:v>
                </c:pt>
                <c:pt idx="709">
                  <c:v>162.018491825703</c:v>
                </c:pt>
                <c:pt idx="710">
                  <c:v>149.97488993411</c:v>
                </c:pt>
                <c:pt idx="711">
                  <c:v>137.906556954638</c:v>
                </c:pt>
                <c:pt idx="712">
                  <c:v>125.813875900948</c:v>
                </c:pt>
                <c:pt idx="713">
                  <c:v>113.697226783927</c:v>
                </c:pt>
                <c:pt idx="714">
                  <c:v>101.55698660704</c:v>
                </c:pt>
                <c:pt idx="715">
                  <c:v>89.3935293623948</c:v>
                </c:pt>
                <c:pt idx="716">
                  <c:v>77.2072260275001</c:v>
                </c:pt>
                <c:pt idx="717">
                  <c:v>64.9984445627005</c:v>
                </c:pt>
                <c:pt idx="718">
                  <c:v>52.7675499092845</c:v>
                </c:pt>
                <c:pt idx="719">
                  <c:v>40.5149039882447</c:v>
                </c:pt>
                <c:pt idx="720">
                  <c:v>28.2408656996809</c:v>
                </c:pt>
                <c:pt idx="721">
                  <c:v>15.945790922833</c:v>
                </c:pt>
                <c:pt idx="722">
                  <c:v>3.63003251672989</c:v>
                </c:pt>
                <c:pt idx="723">
                  <c:v>-8.70605967855783</c:v>
                </c:pt>
                <c:pt idx="724">
                  <c:v>-8.71840586047211</c:v>
                </c:pt>
                <c:pt idx="725">
                  <c:v>-8.73075206220054</c:v>
                </c:pt>
                <c:pt idx="726">
                  <c:v>-8.74309828374276</c:v>
                </c:pt>
                <c:pt idx="727">
                  <c:v>-8.75544452509844</c:v>
                </c:pt>
                <c:pt idx="728">
                  <c:v>-8.76779078626723</c:v>
                </c:pt>
                <c:pt idx="729">
                  <c:v>-8.7801370672488</c:v>
                </c:pt>
                <c:pt idx="730">
                  <c:v>-8.79248336804279</c:v>
                </c:pt>
                <c:pt idx="731">
                  <c:v>-8.80482968864887</c:v>
                </c:pt>
                <c:pt idx="732">
                  <c:v>-8.8171760290667</c:v>
                </c:pt>
                <c:pt idx="733">
                  <c:v>-8.82952238929593</c:v>
                </c:pt>
                <c:pt idx="734">
                  <c:v>-8.84186876933622</c:v>
                </c:pt>
                <c:pt idx="735">
                  <c:v>-8.85421516918724</c:v>
                </c:pt>
                <c:pt idx="736">
                  <c:v>-8.86656158884864</c:v>
                </c:pt>
                <c:pt idx="737">
                  <c:v>-8.87890802832007</c:v>
                </c:pt>
                <c:pt idx="738">
                  <c:v>-8.8912544876012</c:v>
                </c:pt>
                <c:pt idx="739">
                  <c:v>-8.90360096669169</c:v>
                </c:pt>
                <c:pt idx="740">
                  <c:v>-8.91594746559119</c:v>
                </c:pt>
                <c:pt idx="741">
                  <c:v>-8.92829398429936</c:v>
                </c:pt>
                <c:pt idx="742">
                  <c:v>-8.94064052281587</c:v>
                </c:pt>
                <c:pt idx="743">
                  <c:v>-8.95298708114036</c:v>
                </c:pt>
                <c:pt idx="744">
                  <c:v>-8.9653336592725</c:v>
                </c:pt>
                <c:pt idx="745">
                  <c:v>-8.97768025721194</c:v>
                </c:pt>
                <c:pt idx="746">
                  <c:v>-8.99002687495835</c:v>
                </c:pt>
                <c:pt idx="747">
                  <c:v>-9.00237351251138</c:v>
                </c:pt>
                <c:pt idx="748">
                  <c:v>-9.0147201698707</c:v>
                </c:pt>
                <c:pt idx="749">
                  <c:v>-9.02706684703595</c:v>
                </c:pt>
                <c:pt idx="750">
                  <c:v>-9.0394135440068</c:v>
                </c:pt>
                <c:pt idx="751">
                  <c:v>-9.0517602607829</c:v>
                </c:pt>
                <c:pt idx="752">
                  <c:v>-9.06410699736392</c:v>
                </c:pt>
                <c:pt idx="753">
                  <c:v>-9.07645375374952</c:v>
                </c:pt>
                <c:pt idx="754">
                  <c:v>-9.08880052993934</c:v>
                </c:pt>
                <c:pt idx="755">
                  <c:v>-9.10114732593305</c:v>
                </c:pt>
                <c:pt idx="756">
                  <c:v>-9.11349414173032</c:v>
                </c:pt>
                <c:pt idx="757">
                  <c:v>-9.12584097733079</c:v>
                </c:pt>
                <c:pt idx="758">
                  <c:v>-9.13818783273412</c:v>
                </c:pt>
                <c:pt idx="759">
                  <c:v>-9.15053470793998</c:v>
                </c:pt>
                <c:pt idx="760">
                  <c:v>-9.16288160294802</c:v>
                </c:pt>
                <c:pt idx="761">
                  <c:v>-9.1752285177579</c:v>
                </c:pt>
                <c:pt idx="762">
                  <c:v>-9.18757545236928</c:v>
                </c:pt>
                <c:pt idx="763">
                  <c:v>-9.19992240678182</c:v>
                </c:pt>
                <c:pt idx="764">
                  <c:v>-9.21226938099518</c:v>
                </c:pt>
                <c:pt idx="765">
                  <c:v>-9.224616375009</c:v>
                </c:pt>
                <c:pt idx="766">
                  <c:v>-9.23696338882297</c:v>
                </c:pt>
                <c:pt idx="767">
                  <c:v>-9.24931042243672</c:v>
                </c:pt>
                <c:pt idx="768">
                  <c:v>-9.26165747584992</c:v>
                </c:pt>
                <c:pt idx="769">
                  <c:v>-9.27400454906223</c:v>
                </c:pt>
                <c:pt idx="770">
                  <c:v>-9.28635164207331</c:v>
                </c:pt>
                <c:pt idx="771">
                  <c:v>-9.29869875488282</c:v>
                </c:pt>
                <c:pt idx="772">
                  <c:v>-9.3110458874904</c:v>
                </c:pt>
                <c:pt idx="773">
                  <c:v>-9.32339303989573</c:v>
                </c:pt>
                <c:pt idx="774">
                  <c:v>-9.33574021209846</c:v>
                </c:pt>
                <c:pt idx="775">
                  <c:v>-9.34808740409825</c:v>
                </c:pt>
                <c:pt idx="776">
                  <c:v>-9.36043461589476</c:v>
                </c:pt>
                <c:pt idx="777">
                  <c:v>-9.37278184748765</c:v>
                </c:pt>
                <c:pt idx="778">
                  <c:v>-9.38512909887657</c:v>
                </c:pt>
                <c:pt idx="779">
                  <c:v>-9.39747637006118</c:v>
                </c:pt>
                <c:pt idx="780">
                  <c:v>-9.40982366104115</c:v>
                </c:pt>
                <c:pt idx="781">
                  <c:v>-9.42217097181612</c:v>
                </c:pt>
                <c:pt idx="782">
                  <c:v>-9.43451830238577</c:v>
                </c:pt>
                <c:pt idx="783">
                  <c:v>-9.44686565274974</c:v>
                </c:pt>
                <c:pt idx="784">
                  <c:v>-9.4592130229077</c:v>
                </c:pt>
                <c:pt idx="785">
                  <c:v>-9.4715604128593</c:v>
                </c:pt>
                <c:pt idx="786">
                  <c:v>-9.4839078226042</c:v>
                </c:pt>
                <c:pt idx="787">
                  <c:v>-9.49625525214207</c:v>
                </c:pt>
                <c:pt idx="788">
                  <c:v>-9.50860270147256</c:v>
                </c:pt>
                <c:pt idx="789">
                  <c:v>-9.52095017059532</c:v>
                </c:pt>
                <c:pt idx="790">
                  <c:v>-9.53329765951003</c:v>
                </c:pt>
                <c:pt idx="791">
                  <c:v>-9.54564516821633</c:v>
                </c:pt>
                <c:pt idx="792">
                  <c:v>-9.55799269671388</c:v>
                </c:pt>
                <c:pt idx="793">
                  <c:v>-9.57034024500235</c:v>
                </c:pt>
                <c:pt idx="794">
                  <c:v>-9.58268781308139</c:v>
                </c:pt>
                <c:pt idx="795">
                  <c:v>-9.59503540095066</c:v>
                </c:pt>
                <c:pt idx="796">
                  <c:v>-9.60738300860981</c:v>
                </c:pt>
                <c:pt idx="797">
                  <c:v>-9.61973063605852</c:v>
                </c:pt>
                <c:pt idx="798">
                  <c:v>-9.63207828329643</c:v>
                </c:pt>
                <c:pt idx="799">
                  <c:v>-9.6444259503232</c:v>
                </c:pt>
                <c:pt idx="800">
                  <c:v>-9.6567736371385</c:v>
                </c:pt>
                <c:pt idx="801">
                  <c:v>-9.66912134374197</c:v>
                </c:pt>
                <c:pt idx="802">
                  <c:v>-9.68146907013329</c:v>
                </c:pt>
                <c:pt idx="803">
                  <c:v>-9.69381681631211</c:v>
                </c:pt>
                <c:pt idx="804">
                  <c:v>-9.70616458227809</c:v>
                </c:pt>
                <c:pt idx="805">
                  <c:v>-9.71851236803088</c:v>
                </c:pt>
                <c:pt idx="806">
                  <c:v>-9.73086017357014</c:v>
                </c:pt>
                <c:pt idx="807">
                  <c:v>-9.74320799889554</c:v>
                </c:pt>
                <c:pt idx="808">
                  <c:v>-9.75555584400673</c:v>
                </c:pt>
                <c:pt idx="809">
                  <c:v>-9.76790370890337</c:v>
                </c:pt>
                <c:pt idx="810">
                  <c:v>-9.78025159358512</c:v>
                </c:pt>
                <c:pt idx="811">
                  <c:v>-9.79259949805163</c:v>
                </c:pt>
                <c:pt idx="812">
                  <c:v>-9.80494742230258</c:v>
                </c:pt>
                <c:pt idx="813">
                  <c:v>-9.8172953663376</c:v>
                </c:pt>
                <c:pt idx="814">
                  <c:v>-9.82964333015637</c:v>
                </c:pt>
                <c:pt idx="815">
                  <c:v>-9.84199131375855</c:v>
                </c:pt>
                <c:pt idx="816">
                  <c:v>-9.85433931714378</c:v>
                </c:pt>
                <c:pt idx="817">
                  <c:v>-9.86668734031173</c:v>
                </c:pt>
                <c:pt idx="818">
                  <c:v>-9.87903538326206</c:v>
                </c:pt>
                <c:pt idx="819">
                  <c:v>-9.89138344599443</c:v>
                </c:pt>
                <c:pt idx="820">
                  <c:v>-9.90373152850849</c:v>
                </c:pt>
                <c:pt idx="821">
                  <c:v>-9.9160796308039</c:v>
                </c:pt>
                <c:pt idx="822">
                  <c:v>-9.92842775288033</c:v>
                </c:pt>
                <c:pt idx="823">
                  <c:v>-9.94077589473742</c:v>
                </c:pt>
                <c:pt idx="824">
                  <c:v>-9.95312405637485</c:v>
                </c:pt>
                <c:pt idx="825">
                  <c:v>-9.96547223779227</c:v>
                </c:pt>
                <c:pt idx="826">
                  <c:v>-9.97782043898933</c:v>
                </c:pt>
                <c:pt idx="827">
                  <c:v>-9.9901686599657</c:v>
                </c:pt>
                <c:pt idx="828">
                  <c:v>-10.002516900721</c:v>
                </c:pt>
                <c:pt idx="829">
                  <c:v>-10.014865161255</c:v>
                </c:pt>
                <c:pt idx="830">
                  <c:v>-10.0272134415672</c:v>
                </c:pt>
                <c:pt idx="831">
                  <c:v>-10.0395617416574</c:v>
                </c:pt>
                <c:pt idx="832">
                  <c:v>-10.0519100615252</c:v>
                </c:pt>
                <c:pt idx="833">
                  <c:v>-10.0642584011702</c:v>
                </c:pt>
                <c:pt idx="834">
                  <c:v>-10.0766067605922</c:v>
                </c:pt>
                <c:pt idx="835">
                  <c:v>-10.0889551397907</c:v>
                </c:pt>
                <c:pt idx="836">
                  <c:v>-10.1013035387655</c:v>
                </c:pt>
                <c:pt idx="837">
                  <c:v>-10.1136519575161</c:v>
                </c:pt>
                <c:pt idx="838">
                  <c:v>-10.1260003960423</c:v>
                </c:pt>
                <c:pt idx="839">
                  <c:v>-10.1383488543437</c:v>
                </c:pt>
                <c:pt idx="840">
                  <c:v>-10.15069733242</c:v>
                </c:pt>
                <c:pt idx="841">
                  <c:v>-10.1630458302708</c:v>
                </c:pt>
                <c:pt idx="842">
                  <c:v>-10.1753943478958</c:v>
                </c:pt>
                <c:pt idx="843">
                  <c:v>-10.1877428852946</c:v>
                </c:pt>
                <c:pt idx="844">
                  <c:v>-10.200091442467</c:v>
                </c:pt>
                <c:pt idx="845">
                  <c:v>-10.2124400194125</c:v>
                </c:pt>
                <c:pt idx="846">
                  <c:v>-10.2247886161308</c:v>
                </c:pt>
                <c:pt idx="847">
                  <c:v>-10.2371372326216</c:v>
                </c:pt>
                <c:pt idx="848">
                  <c:v>-10.2494858688846</c:v>
                </c:pt>
                <c:pt idx="849">
                  <c:v>-10.2618345249193</c:v>
                </c:pt>
                <c:pt idx="850">
                  <c:v>-10.2741832007255</c:v>
                </c:pt>
                <c:pt idx="851">
                  <c:v>-10.2865318963028</c:v>
                </c:pt>
                <c:pt idx="852">
                  <c:v>-10.2988806116509</c:v>
                </c:pt>
                <c:pt idx="853">
                  <c:v>-10.3112293467694</c:v>
                </c:pt>
                <c:pt idx="854">
                  <c:v>-10.323578101658</c:v>
                </c:pt>
                <c:pt idx="855">
                  <c:v>-10.3359268763164</c:v>
                </c:pt>
                <c:pt idx="856">
                  <c:v>-10.3482756707441</c:v>
                </c:pt>
                <c:pt idx="857">
                  <c:v>-10.3606244849409</c:v>
                </c:pt>
                <c:pt idx="858">
                  <c:v>-10.3729733189065</c:v>
                </c:pt>
                <c:pt idx="859">
                  <c:v>-10.3853221726404</c:v>
                </c:pt>
                <c:pt idx="860">
                  <c:v>-10.3976710461424</c:v>
                </c:pt>
                <c:pt idx="861">
                  <c:v>-10.4100199394121</c:v>
                </c:pt>
                <c:pt idx="862">
                  <c:v>-10.4223688524491</c:v>
                </c:pt>
                <c:pt idx="863">
                  <c:v>-10.4347177852532</c:v>
                </c:pt>
                <c:pt idx="864">
                  <c:v>-10.4470667378239</c:v>
                </c:pt>
                <c:pt idx="865">
                  <c:v>-10.459415710161</c:v>
                </c:pt>
                <c:pt idx="866">
                  <c:v>-10.4717647022641</c:v>
                </c:pt>
                <c:pt idx="867">
                  <c:v>-10.4841137141328</c:v>
                </c:pt>
                <c:pt idx="868">
                  <c:v>-10.4964627457668</c:v>
                </c:pt>
                <c:pt idx="869">
                  <c:v>-10.5088117971659</c:v>
                </c:pt>
                <c:pt idx="870">
                  <c:v>-10.5211608683295</c:v>
                </c:pt>
                <c:pt idx="871">
                  <c:v>-10.5335099592574</c:v>
                </c:pt>
                <c:pt idx="872">
                  <c:v>-10.5458590699493</c:v>
                </c:pt>
                <c:pt idx="873">
                  <c:v>-10.5582082004048</c:v>
                </c:pt>
                <c:pt idx="874">
                  <c:v>-10.5705573506236</c:v>
                </c:pt>
                <c:pt idx="875">
                  <c:v>-10.5829065206052</c:v>
                </c:pt>
                <c:pt idx="876">
                  <c:v>-10.5952557103495</c:v>
                </c:pt>
                <c:pt idx="877">
                  <c:v>-10.607604919856</c:v>
                </c:pt>
                <c:pt idx="878">
                  <c:v>-10.6199541491244</c:v>
                </c:pt>
                <c:pt idx="879">
                  <c:v>-10.6323033981544</c:v>
                </c:pt>
                <c:pt idx="880">
                  <c:v>-10.6446526669455</c:v>
                </c:pt>
                <c:pt idx="881">
                  <c:v>-10.6570019554976</c:v>
                </c:pt>
                <c:pt idx="882">
                  <c:v>-10.6693512638102</c:v>
                </c:pt>
                <c:pt idx="883">
                  <c:v>-10.681700591883</c:v>
                </c:pt>
                <c:pt idx="884">
                  <c:v>-10.6940499397156</c:v>
                </c:pt>
                <c:pt idx="885">
                  <c:v>-10.7063993073078</c:v>
                </c:pt>
                <c:pt idx="886">
                  <c:v>-10.7187486946591</c:v>
                </c:pt>
                <c:pt idx="887">
                  <c:v>-10.7310981017693</c:v>
                </c:pt>
                <c:pt idx="888">
                  <c:v>-10.7434475286379</c:v>
                </c:pt>
                <c:pt idx="889">
                  <c:v>-10.7557969752647</c:v>
                </c:pt>
                <c:pt idx="890">
                  <c:v>-10.7681464416493</c:v>
                </c:pt>
                <c:pt idx="891">
                  <c:v>-10.7804959277914</c:v>
                </c:pt>
                <c:pt idx="892">
                  <c:v>-10.7928454336906</c:v>
                </c:pt>
                <c:pt idx="893">
                  <c:v>-10.8051949593466</c:v>
                </c:pt>
                <c:pt idx="894">
                  <c:v>-10.817544504759</c:v>
                </c:pt>
                <c:pt idx="895">
                  <c:v>-10.8298940699275</c:v>
                </c:pt>
                <c:pt idx="896">
                  <c:v>-10.8422436548518</c:v>
                </c:pt>
                <c:pt idx="897">
                  <c:v>-10.8545932595315</c:v>
                </c:pt>
                <c:pt idx="898">
                  <c:v>-10.8669428839663</c:v>
                </c:pt>
                <c:pt idx="899">
                  <c:v>-10.8792925281558</c:v>
                </c:pt>
                <c:pt idx="900">
                  <c:v>-10.8916421920997</c:v>
                </c:pt>
                <c:pt idx="901">
                  <c:v>-10.9039918757977</c:v>
                </c:pt>
                <c:pt idx="902">
                  <c:v>-10.9163415792494</c:v>
                </c:pt>
                <c:pt idx="903">
                  <c:v>-10.9286913024544</c:v>
                </c:pt>
                <c:pt idx="904">
                  <c:v>-10.9410410454125</c:v>
                </c:pt>
                <c:pt idx="905">
                  <c:v>-10.9533908081233</c:v>
                </c:pt>
                <c:pt idx="906">
                  <c:v>-10.9657405905864</c:v>
                </c:pt>
                <c:pt idx="907">
                  <c:v>-10.9780903928015</c:v>
                </c:pt>
                <c:pt idx="908">
                  <c:v>-10.9904402147683</c:v>
                </c:pt>
                <c:pt idx="909">
                  <c:v>-11.0027900564865</c:v>
                </c:pt>
                <c:pt idx="910">
                  <c:v>-11.0151399179556</c:v>
                </c:pt>
                <c:pt idx="911">
                  <c:v>-11.0274897991753</c:v>
                </c:pt>
                <c:pt idx="912">
                  <c:v>-11.0398397001454</c:v>
                </c:pt>
                <c:pt idx="913">
                  <c:v>-11.0521896208654</c:v>
                </c:pt>
                <c:pt idx="914">
                  <c:v>-11.064539561335</c:v>
                </c:pt>
                <c:pt idx="915">
                  <c:v>-11.0768895215539</c:v>
                </c:pt>
                <c:pt idx="916">
                  <c:v>-11.0892395015218</c:v>
                </c:pt>
                <c:pt idx="917">
                  <c:v>-11.1015895012382</c:v>
                </c:pt>
                <c:pt idx="918">
                  <c:v>-11.1139395207029</c:v>
                </c:pt>
                <c:pt idx="919">
                  <c:v>-11.1262895599156</c:v>
                </c:pt>
                <c:pt idx="920">
                  <c:v>-11.1386396188757</c:v>
                </c:pt>
                <c:pt idx="921">
                  <c:v>-11.1509896975832</c:v>
                </c:pt>
                <c:pt idx="922">
                  <c:v>-11.1633397960375</c:v>
                </c:pt>
                <c:pt idx="923">
                  <c:v>-11.1756899142384</c:v>
                </c:pt>
                <c:pt idx="924">
                  <c:v>-11.1880400521854</c:v>
                </c:pt>
                <c:pt idx="925">
                  <c:v>-11.2003902098784</c:v>
                </c:pt>
                <c:pt idx="926">
                  <c:v>-11.2127403873169</c:v>
                </c:pt>
                <c:pt idx="927">
                  <c:v>-11.2250905845005</c:v>
                </c:pt>
                <c:pt idx="928">
                  <c:v>-11.237440801429</c:v>
                </c:pt>
                <c:pt idx="929">
                  <c:v>-11.249791038102</c:v>
                </c:pt>
                <c:pt idx="930">
                  <c:v>-11.2621412945192</c:v>
                </c:pt>
                <c:pt idx="931">
                  <c:v>-11.2744915706802</c:v>
                </c:pt>
                <c:pt idx="932">
                  <c:v>-11.2868418665847</c:v>
                </c:pt>
                <c:pt idx="933">
                  <c:v>-11.2991921822323</c:v>
                </c:pt>
                <c:pt idx="934">
                  <c:v>-11.3115425176227</c:v>
                </c:pt>
                <c:pt idx="935">
                  <c:v>-11.3238928727556</c:v>
                </c:pt>
                <c:pt idx="936">
                  <c:v>-11.3362432476306</c:v>
                </c:pt>
                <c:pt idx="937">
                  <c:v>-11.3485936422473</c:v>
                </c:pt>
                <c:pt idx="938">
                  <c:v>-11.3609440566055</c:v>
                </c:pt>
                <c:pt idx="939">
                  <c:v>-11.3732944907048</c:v>
                </c:pt>
                <c:pt idx="940">
                  <c:v>-11.3856449445449</c:v>
                </c:pt>
                <c:pt idx="941">
                  <c:v>-11.3979954181254</c:v>
                </c:pt>
                <c:pt idx="942">
                  <c:v>-11.4103459114459</c:v>
                </c:pt>
                <c:pt idx="943">
                  <c:v>-11.4226964245061</c:v>
                </c:pt>
                <c:pt idx="944">
                  <c:v>-11.4350469573058</c:v>
                </c:pt>
                <c:pt idx="945">
                  <c:v>-11.4473975098445</c:v>
                </c:pt>
                <c:pt idx="946">
                  <c:v>-11.4597480821219</c:v>
                </c:pt>
                <c:pt idx="947">
                  <c:v>-11.4720986741377</c:v>
                </c:pt>
                <c:pt idx="948">
                  <c:v>-11.4844492858915</c:v>
                </c:pt>
                <c:pt idx="949">
                  <c:v>-11.496799917383</c:v>
                </c:pt>
                <c:pt idx="950">
                  <c:v>-11.5091505686118</c:v>
                </c:pt>
                <c:pt idx="951">
                  <c:v>-11.5215012395776</c:v>
                </c:pt>
                <c:pt idx="952">
                  <c:v>-11.5338519302801</c:v>
                </c:pt>
                <c:pt idx="953">
                  <c:v>-11.5462026407189</c:v>
                </c:pt>
                <c:pt idx="954">
                  <c:v>-11.5585533708937</c:v>
                </c:pt>
                <c:pt idx="955">
                  <c:v>-11.5709041208041</c:v>
                </c:pt>
                <c:pt idx="956">
                  <c:v>-11.5832548904498</c:v>
                </c:pt>
                <c:pt idx="957">
                  <c:v>-11.5956056798305</c:v>
                </c:pt>
                <c:pt idx="958">
                  <c:v>-11.6079564889458</c:v>
                </c:pt>
                <c:pt idx="959">
                  <c:v>-11.6203073177954</c:v>
                </c:pt>
                <c:pt idx="960">
                  <c:v>-11.6326581663789</c:v>
                </c:pt>
                <c:pt idx="961">
                  <c:v>-11.645009034696</c:v>
                </c:pt>
                <c:pt idx="962">
                  <c:v>-11.6573599227463</c:v>
                </c:pt>
                <c:pt idx="963">
                  <c:v>-11.6697108305296</c:v>
                </c:pt>
                <c:pt idx="964">
                  <c:v>-11.6820617580454</c:v>
                </c:pt>
                <c:pt idx="965">
                  <c:v>-11.6944127052935</c:v>
                </c:pt>
                <c:pt idx="966">
                  <c:v>-11.7067636722734</c:v>
                </c:pt>
                <c:pt idx="967">
                  <c:v>-11.7191146589849</c:v>
                </c:pt>
                <c:pt idx="968">
                  <c:v>-11.7314656654276</c:v>
                </c:pt>
                <c:pt idx="969">
                  <c:v>-11.7438166916012</c:v>
                </c:pt>
                <c:pt idx="970">
                  <c:v>-11.7561677375053</c:v>
                </c:pt>
                <c:pt idx="971">
                  <c:v>-11.7685188031395</c:v>
                </c:pt>
                <c:pt idx="972">
                  <c:v>-11.7808698885037</c:v>
                </c:pt>
                <c:pt idx="973">
                  <c:v>-11.7932209935973</c:v>
                </c:pt>
                <c:pt idx="974">
                  <c:v>-11.80557211842</c:v>
                </c:pt>
                <c:pt idx="975">
                  <c:v>-11.8179232629716</c:v>
                </c:pt>
                <c:pt idx="976">
                  <c:v>-11.8302744272517</c:v>
                </c:pt>
                <c:pt idx="977">
                  <c:v>-11.8426256112599</c:v>
                </c:pt>
                <c:pt idx="978">
                  <c:v>-11.8549768149959</c:v>
                </c:pt>
                <c:pt idx="979">
                  <c:v>-11.8673280384594</c:v>
                </c:pt>
                <c:pt idx="980">
                  <c:v>-11.87967928165</c:v>
                </c:pt>
                <c:pt idx="981">
                  <c:v>-11.8920305445673</c:v>
                </c:pt>
                <c:pt idx="982">
                  <c:v>-11.9043818272111</c:v>
                </c:pt>
                <c:pt idx="983">
                  <c:v>-11.916733129581</c:v>
                </c:pt>
                <c:pt idx="984">
                  <c:v>-11.9290844516766</c:v>
                </c:pt>
                <c:pt idx="985">
                  <c:v>-11.9414357934977</c:v>
                </c:pt>
                <c:pt idx="986">
                  <c:v>-11.9537871550438</c:v>
                </c:pt>
                <c:pt idx="987">
                  <c:v>-11.9661385363146</c:v>
                </c:pt>
                <c:pt idx="988">
                  <c:v>-11.9784899373099</c:v>
                </c:pt>
                <c:pt idx="989">
                  <c:v>-11.9908413580292</c:v>
                </c:pt>
                <c:pt idx="990">
                  <c:v>-12.0031927984721</c:v>
                </c:pt>
                <c:pt idx="991">
                  <c:v>-12.0155442586385</c:v>
                </c:pt>
                <c:pt idx="992">
                  <c:v>-12.0278957385279</c:v>
                </c:pt>
                <c:pt idx="993">
                  <c:v>-12.0402472381399</c:v>
                </c:pt>
                <c:pt idx="994">
                  <c:v>-12.0525987574743</c:v>
                </c:pt>
                <c:pt idx="995">
                  <c:v>-12.0649502965307</c:v>
                </c:pt>
                <c:pt idx="996">
                  <c:v>-12.0773018553088</c:v>
                </c:pt>
                <c:pt idx="997">
                  <c:v>-12.0896534338082</c:v>
                </c:pt>
                <c:pt idx="998">
                  <c:v>-12.1020050320286</c:v>
                </c:pt>
                <c:pt idx="999">
                  <c:v>-12.1143566499696</c:v>
                </c:pt>
                <c:pt idx="1000">
                  <c:v>-12.1267082876309</c:v>
                </c:pt>
              </c:numCache>
            </c:numRef>
          </c:yVal>
          <c:smooth val="1"/>
        </c:ser>
        <c:ser>
          <c:idx val="2"/>
          <c:order val="2"/>
          <c:tx>
            <c:strRef>
              <c:f>Trajecto!$B$107</c:f>
              <c:strCache>
                <c:ptCount val="1"/>
                <c:pt idx="0">
                  <c:v>Descente balistique</c:v>
                </c:pt>
              </c:strCache>
            </c:strRef>
          </c:tx>
          <c:spPr>
            <a:solidFill>
              <a:srgbClr val="808080"/>
            </a:solidFill>
            <a:ln w="12600">
              <a:solidFill>
                <a:srgbClr val="808080"/>
              </a:solidFill>
              <a:prstDash val="sysDash"/>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34.8000000000002</c:v>
                </c:pt>
                <c:pt idx="709">
                  <c:v>34.9000000000002</c:v>
                </c:pt>
                <c:pt idx="710">
                  <c:v>35.0000000000002</c:v>
                </c:pt>
                <c:pt idx="711">
                  <c:v>35.1000000000002</c:v>
                </c:pt>
                <c:pt idx="712">
                  <c:v>35.2000000000002</c:v>
                </c:pt>
                <c:pt idx="713">
                  <c:v>35.3000000000002</c:v>
                </c:pt>
                <c:pt idx="714">
                  <c:v>35.4000000000002</c:v>
                </c:pt>
                <c:pt idx="715">
                  <c:v>35.5000000000002</c:v>
                </c:pt>
                <c:pt idx="716">
                  <c:v>35.6000000000002</c:v>
                </c:pt>
                <c:pt idx="717">
                  <c:v>35.7000000000002</c:v>
                </c:pt>
                <c:pt idx="718">
                  <c:v>35.8000000000002</c:v>
                </c:pt>
                <c:pt idx="719">
                  <c:v>35.9000000000002</c:v>
                </c:pt>
                <c:pt idx="720">
                  <c:v>36.0000000000002</c:v>
                </c:pt>
                <c:pt idx="721">
                  <c:v>36.1000000000002</c:v>
                </c:pt>
                <c:pt idx="722">
                  <c:v>36.2000000000002</c:v>
                </c:pt>
                <c:pt idx="723">
                  <c:v>36.3000000000002</c:v>
                </c:pt>
                <c:pt idx="724">
                  <c:v>36.3001000000002</c:v>
                </c:pt>
                <c:pt idx="725">
                  <c:v>36.3002000000002</c:v>
                </c:pt>
                <c:pt idx="726">
                  <c:v>36.3003000000002</c:v>
                </c:pt>
                <c:pt idx="727">
                  <c:v>36.3004000000002</c:v>
                </c:pt>
                <c:pt idx="728">
                  <c:v>36.3005000000002</c:v>
                </c:pt>
                <c:pt idx="729">
                  <c:v>36.3006000000002</c:v>
                </c:pt>
                <c:pt idx="730">
                  <c:v>36.3007000000002</c:v>
                </c:pt>
                <c:pt idx="731">
                  <c:v>36.3008000000002</c:v>
                </c:pt>
                <c:pt idx="732">
                  <c:v>36.3009000000002</c:v>
                </c:pt>
                <c:pt idx="733">
                  <c:v>36.3010000000002</c:v>
                </c:pt>
                <c:pt idx="734">
                  <c:v>36.3011000000002</c:v>
                </c:pt>
                <c:pt idx="735">
                  <c:v>36.3012000000002</c:v>
                </c:pt>
                <c:pt idx="736">
                  <c:v>36.3013000000002</c:v>
                </c:pt>
                <c:pt idx="737">
                  <c:v>36.3014000000003</c:v>
                </c:pt>
                <c:pt idx="738">
                  <c:v>36.3015000000003</c:v>
                </c:pt>
                <c:pt idx="739">
                  <c:v>36.3016000000003</c:v>
                </c:pt>
                <c:pt idx="740">
                  <c:v>36.3017000000003</c:v>
                </c:pt>
                <c:pt idx="741">
                  <c:v>36.3018000000003</c:v>
                </c:pt>
                <c:pt idx="742">
                  <c:v>36.3019000000003</c:v>
                </c:pt>
                <c:pt idx="743">
                  <c:v>36.3020000000003</c:v>
                </c:pt>
                <c:pt idx="744">
                  <c:v>36.3021000000003</c:v>
                </c:pt>
                <c:pt idx="745">
                  <c:v>36.3022000000003</c:v>
                </c:pt>
                <c:pt idx="746">
                  <c:v>36.3023000000003</c:v>
                </c:pt>
                <c:pt idx="747">
                  <c:v>36.3024000000003</c:v>
                </c:pt>
                <c:pt idx="748">
                  <c:v>36.3025000000003</c:v>
                </c:pt>
                <c:pt idx="749">
                  <c:v>36.3026000000003</c:v>
                </c:pt>
                <c:pt idx="750">
                  <c:v>36.3027000000003</c:v>
                </c:pt>
                <c:pt idx="751">
                  <c:v>36.3028000000003</c:v>
                </c:pt>
                <c:pt idx="752">
                  <c:v>36.3029000000003</c:v>
                </c:pt>
                <c:pt idx="753">
                  <c:v>36.3030000000003</c:v>
                </c:pt>
                <c:pt idx="754">
                  <c:v>36.3031000000003</c:v>
                </c:pt>
                <c:pt idx="755">
                  <c:v>36.3032000000003</c:v>
                </c:pt>
                <c:pt idx="756">
                  <c:v>36.3033000000003</c:v>
                </c:pt>
                <c:pt idx="757">
                  <c:v>36.3034000000003</c:v>
                </c:pt>
                <c:pt idx="758">
                  <c:v>36.3035000000003</c:v>
                </c:pt>
                <c:pt idx="759">
                  <c:v>36.3036000000003</c:v>
                </c:pt>
                <c:pt idx="760">
                  <c:v>36.3037000000003</c:v>
                </c:pt>
                <c:pt idx="761">
                  <c:v>36.3038000000003</c:v>
                </c:pt>
                <c:pt idx="762">
                  <c:v>36.3039000000003</c:v>
                </c:pt>
                <c:pt idx="763">
                  <c:v>36.3040000000003</c:v>
                </c:pt>
                <c:pt idx="764">
                  <c:v>36.3041000000003</c:v>
                </c:pt>
                <c:pt idx="765">
                  <c:v>36.3042000000003</c:v>
                </c:pt>
                <c:pt idx="766">
                  <c:v>36.3043000000003</c:v>
                </c:pt>
                <c:pt idx="767">
                  <c:v>36.3044000000004</c:v>
                </c:pt>
                <c:pt idx="768">
                  <c:v>36.3045000000004</c:v>
                </c:pt>
                <c:pt idx="769">
                  <c:v>36.3046000000004</c:v>
                </c:pt>
                <c:pt idx="770">
                  <c:v>36.3047000000004</c:v>
                </c:pt>
                <c:pt idx="771">
                  <c:v>36.3048000000004</c:v>
                </c:pt>
                <c:pt idx="772">
                  <c:v>36.3049000000004</c:v>
                </c:pt>
                <c:pt idx="773">
                  <c:v>36.3050000000004</c:v>
                </c:pt>
                <c:pt idx="774">
                  <c:v>36.3051000000004</c:v>
                </c:pt>
                <c:pt idx="775">
                  <c:v>36.3052000000004</c:v>
                </c:pt>
                <c:pt idx="776">
                  <c:v>36.3053000000004</c:v>
                </c:pt>
                <c:pt idx="777">
                  <c:v>36.3054000000004</c:v>
                </c:pt>
                <c:pt idx="778">
                  <c:v>36.3055000000004</c:v>
                </c:pt>
                <c:pt idx="779">
                  <c:v>36.3056000000004</c:v>
                </c:pt>
                <c:pt idx="780">
                  <c:v>36.3057000000004</c:v>
                </c:pt>
                <c:pt idx="781">
                  <c:v>36.3058000000004</c:v>
                </c:pt>
                <c:pt idx="782">
                  <c:v>36.3059000000004</c:v>
                </c:pt>
                <c:pt idx="783">
                  <c:v>36.3060000000004</c:v>
                </c:pt>
                <c:pt idx="784">
                  <c:v>36.3061000000004</c:v>
                </c:pt>
                <c:pt idx="785">
                  <c:v>36.3062000000004</c:v>
                </c:pt>
                <c:pt idx="786">
                  <c:v>36.3063000000004</c:v>
                </c:pt>
                <c:pt idx="787">
                  <c:v>36.3064000000004</c:v>
                </c:pt>
                <c:pt idx="788">
                  <c:v>36.3065000000004</c:v>
                </c:pt>
                <c:pt idx="789">
                  <c:v>36.3066000000004</c:v>
                </c:pt>
                <c:pt idx="790">
                  <c:v>36.3067000000004</c:v>
                </c:pt>
                <c:pt idx="791">
                  <c:v>36.3068000000004</c:v>
                </c:pt>
                <c:pt idx="792">
                  <c:v>36.3069000000004</c:v>
                </c:pt>
                <c:pt idx="793">
                  <c:v>36.3070000000004</c:v>
                </c:pt>
                <c:pt idx="794">
                  <c:v>36.3071000000004</c:v>
                </c:pt>
                <c:pt idx="795">
                  <c:v>36.3072000000004</c:v>
                </c:pt>
                <c:pt idx="796">
                  <c:v>36.3073000000004</c:v>
                </c:pt>
                <c:pt idx="797">
                  <c:v>36.3074000000005</c:v>
                </c:pt>
                <c:pt idx="798">
                  <c:v>36.3075000000005</c:v>
                </c:pt>
                <c:pt idx="799">
                  <c:v>36.3076000000005</c:v>
                </c:pt>
                <c:pt idx="800">
                  <c:v>36.3077000000005</c:v>
                </c:pt>
                <c:pt idx="801">
                  <c:v>36.3078000000005</c:v>
                </c:pt>
                <c:pt idx="802">
                  <c:v>36.3079000000005</c:v>
                </c:pt>
                <c:pt idx="803">
                  <c:v>36.3080000000005</c:v>
                </c:pt>
                <c:pt idx="804">
                  <c:v>36.3081000000005</c:v>
                </c:pt>
                <c:pt idx="805">
                  <c:v>36.3082000000005</c:v>
                </c:pt>
                <c:pt idx="806">
                  <c:v>36.3083000000005</c:v>
                </c:pt>
                <c:pt idx="807">
                  <c:v>36.3084000000005</c:v>
                </c:pt>
                <c:pt idx="808">
                  <c:v>36.3085000000005</c:v>
                </c:pt>
                <c:pt idx="809">
                  <c:v>36.3086000000005</c:v>
                </c:pt>
                <c:pt idx="810">
                  <c:v>36.3087000000005</c:v>
                </c:pt>
                <c:pt idx="811">
                  <c:v>36.3088000000005</c:v>
                </c:pt>
                <c:pt idx="812">
                  <c:v>36.3089000000005</c:v>
                </c:pt>
                <c:pt idx="813">
                  <c:v>36.3090000000005</c:v>
                </c:pt>
                <c:pt idx="814">
                  <c:v>36.3091000000005</c:v>
                </c:pt>
                <c:pt idx="815">
                  <c:v>36.3092000000005</c:v>
                </c:pt>
                <c:pt idx="816">
                  <c:v>36.3093000000005</c:v>
                </c:pt>
                <c:pt idx="817">
                  <c:v>36.3094000000005</c:v>
                </c:pt>
                <c:pt idx="818">
                  <c:v>36.3095000000005</c:v>
                </c:pt>
                <c:pt idx="819">
                  <c:v>36.3096000000005</c:v>
                </c:pt>
                <c:pt idx="820">
                  <c:v>36.3097000000005</c:v>
                </c:pt>
                <c:pt idx="821">
                  <c:v>36.3098000000005</c:v>
                </c:pt>
                <c:pt idx="822">
                  <c:v>36.3099000000005</c:v>
                </c:pt>
                <c:pt idx="823">
                  <c:v>36.3100000000005</c:v>
                </c:pt>
                <c:pt idx="824">
                  <c:v>36.3101000000005</c:v>
                </c:pt>
                <c:pt idx="825">
                  <c:v>36.3102000000005</c:v>
                </c:pt>
                <c:pt idx="826">
                  <c:v>36.3103000000005</c:v>
                </c:pt>
                <c:pt idx="827">
                  <c:v>36.3104000000006</c:v>
                </c:pt>
                <c:pt idx="828">
                  <c:v>36.3105000000006</c:v>
                </c:pt>
                <c:pt idx="829">
                  <c:v>36.3106000000006</c:v>
                </c:pt>
                <c:pt idx="830">
                  <c:v>36.3107000000006</c:v>
                </c:pt>
                <c:pt idx="831">
                  <c:v>36.3108000000006</c:v>
                </c:pt>
                <c:pt idx="832">
                  <c:v>36.3109000000006</c:v>
                </c:pt>
                <c:pt idx="833">
                  <c:v>36.3110000000006</c:v>
                </c:pt>
                <c:pt idx="834">
                  <c:v>36.3111000000006</c:v>
                </c:pt>
                <c:pt idx="835">
                  <c:v>36.3112000000006</c:v>
                </c:pt>
                <c:pt idx="836">
                  <c:v>36.3113000000006</c:v>
                </c:pt>
                <c:pt idx="837">
                  <c:v>36.3114000000006</c:v>
                </c:pt>
                <c:pt idx="838">
                  <c:v>36.3115000000006</c:v>
                </c:pt>
                <c:pt idx="839">
                  <c:v>36.3116000000006</c:v>
                </c:pt>
                <c:pt idx="840">
                  <c:v>36.3117000000006</c:v>
                </c:pt>
                <c:pt idx="841">
                  <c:v>36.3118000000006</c:v>
                </c:pt>
                <c:pt idx="842">
                  <c:v>36.3119000000006</c:v>
                </c:pt>
                <c:pt idx="843">
                  <c:v>36.3120000000006</c:v>
                </c:pt>
                <c:pt idx="844">
                  <c:v>36.3121000000006</c:v>
                </c:pt>
                <c:pt idx="845">
                  <c:v>36.3122000000006</c:v>
                </c:pt>
                <c:pt idx="846">
                  <c:v>36.3123000000006</c:v>
                </c:pt>
                <c:pt idx="847">
                  <c:v>36.3124000000006</c:v>
                </c:pt>
                <c:pt idx="848">
                  <c:v>36.3125000000006</c:v>
                </c:pt>
                <c:pt idx="849">
                  <c:v>36.3126000000006</c:v>
                </c:pt>
                <c:pt idx="850">
                  <c:v>36.3127000000006</c:v>
                </c:pt>
                <c:pt idx="851">
                  <c:v>36.3128000000006</c:v>
                </c:pt>
                <c:pt idx="852">
                  <c:v>36.3129000000006</c:v>
                </c:pt>
                <c:pt idx="853">
                  <c:v>36.3130000000006</c:v>
                </c:pt>
                <c:pt idx="854">
                  <c:v>36.3131000000006</c:v>
                </c:pt>
                <c:pt idx="855">
                  <c:v>36.3132000000006</c:v>
                </c:pt>
                <c:pt idx="856">
                  <c:v>36.3133000000006</c:v>
                </c:pt>
                <c:pt idx="857">
                  <c:v>36.3134000000007</c:v>
                </c:pt>
                <c:pt idx="858">
                  <c:v>36.3135000000007</c:v>
                </c:pt>
                <c:pt idx="859">
                  <c:v>36.3136000000007</c:v>
                </c:pt>
                <c:pt idx="860">
                  <c:v>36.3137000000007</c:v>
                </c:pt>
                <c:pt idx="861">
                  <c:v>36.3138000000007</c:v>
                </c:pt>
                <c:pt idx="862">
                  <c:v>36.3139000000007</c:v>
                </c:pt>
                <c:pt idx="863">
                  <c:v>36.3140000000007</c:v>
                </c:pt>
                <c:pt idx="864">
                  <c:v>36.3141000000007</c:v>
                </c:pt>
                <c:pt idx="865">
                  <c:v>36.3142000000007</c:v>
                </c:pt>
                <c:pt idx="866">
                  <c:v>36.3143000000007</c:v>
                </c:pt>
                <c:pt idx="867">
                  <c:v>36.3144000000007</c:v>
                </c:pt>
                <c:pt idx="868">
                  <c:v>36.3145000000007</c:v>
                </c:pt>
                <c:pt idx="869">
                  <c:v>36.3146000000007</c:v>
                </c:pt>
                <c:pt idx="870">
                  <c:v>36.3147000000007</c:v>
                </c:pt>
                <c:pt idx="871">
                  <c:v>36.3148000000007</c:v>
                </c:pt>
                <c:pt idx="872">
                  <c:v>36.3149000000007</c:v>
                </c:pt>
                <c:pt idx="873">
                  <c:v>36.3150000000007</c:v>
                </c:pt>
                <c:pt idx="874">
                  <c:v>36.3151000000007</c:v>
                </c:pt>
                <c:pt idx="875">
                  <c:v>36.3152000000007</c:v>
                </c:pt>
                <c:pt idx="876">
                  <c:v>36.3153000000007</c:v>
                </c:pt>
                <c:pt idx="877">
                  <c:v>36.3154000000007</c:v>
                </c:pt>
                <c:pt idx="878">
                  <c:v>36.3155000000007</c:v>
                </c:pt>
                <c:pt idx="879">
                  <c:v>36.3156000000007</c:v>
                </c:pt>
                <c:pt idx="880">
                  <c:v>36.3157000000007</c:v>
                </c:pt>
                <c:pt idx="881">
                  <c:v>36.3158000000007</c:v>
                </c:pt>
                <c:pt idx="882">
                  <c:v>36.3159000000007</c:v>
                </c:pt>
                <c:pt idx="883">
                  <c:v>36.3160000000007</c:v>
                </c:pt>
                <c:pt idx="884">
                  <c:v>36.3161000000007</c:v>
                </c:pt>
                <c:pt idx="885">
                  <c:v>36.3162000000007</c:v>
                </c:pt>
                <c:pt idx="886">
                  <c:v>36.3163000000007</c:v>
                </c:pt>
                <c:pt idx="887">
                  <c:v>36.3164000000008</c:v>
                </c:pt>
                <c:pt idx="888">
                  <c:v>36.3165000000008</c:v>
                </c:pt>
                <c:pt idx="889">
                  <c:v>36.3166000000008</c:v>
                </c:pt>
                <c:pt idx="890">
                  <c:v>36.3167000000008</c:v>
                </c:pt>
                <c:pt idx="891">
                  <c:v>36.3168000000008</c:v>
                </c:pt>
                <c:pt idx="892">
                  <c:v>36.3169000000008</c:v>
                </c:pt>
                <c:pt idx="893">
                  <c:v>36.3170000000008</c:v>
                </c:pt>
                <c:pt idx="894">
                  <c:v>36.3171000000008</c:v>
                </c:pt>
                <c:pt idx="895">
                  <c:v>36.3172000000008</c:v>
                </c:pt>
                <c:pt idx="896">
                  <c:v>36.3173000000008</c:v>
                </c:pt>
                <c:pt idx="897">
                  <c:v>36.3174000000008</c:v>
                </c:pt>
                <c:pt idx="898">
                  <c:v>36.3175000000008</c:v>
                </c:pt>
                <c:pt idx="899">
                  <c:v>36.3176000000008</c:v>
                </c:pt>
                <c:pt idx="900">
                  <c:v>36.3177000000008</c:v>
                </c:pt>
                <c:pt idx="901">
                  <c:v>36.3178000000008</c:v>
                </c:pt>
                <c:pt idx="902">
                  <c:v>36.3179000000008</c:v>
                </c:pt>
                <c:pt idx="903">
                  <c:v>36.3180000000008</c:v>
                </c:pt>
                <c:pt idx="904">
                  <c:v>36.3181000000008</c:v>
                </c:pt>
                <c:pt idx="905">
                  <c:v>36.3182000000008</c:v>
                </c:pt>
                <c:pt idx="906">
                  <c:v>36.3183000000008</c:v>
                </c:pt>
                <c:pt idx="907">
                  <c:v>36.3184000000008</c:v>
                </c:pt>
                <c:pt idx="908">
                  <c:v>36.3185000000008</c:v>
                </c:pt>
                <c:pt idx="909">
                  <c:v>36.3186000000008</c:v>
                </c:pt>
                <c:pt idx="910">
                  <c:v>36.3187000000008</c:v>
                </c:pt>
                <c:pt idx="911">
                  <c:v>36.3188000000008</c:v>
                </c:pt>
                <c:pt idx="912">
                  <c:v>36.3189000000008</c:v>
                </c:pt>
                <c:pt idx="913">
                  <c:v>36.3190000000008</c:v>
                </c:pt>
                <c:pt idx="914">
                  <c:v>36.3191000000008</c:v>
                </c:pt>
                <c:pt idx="915">
                  <c:v>36.3192000000008</c:v>
                </c:pt>
                <c:pt idx="916">
                  <c:v>36.3193000000008</c:v>
                </c:pt>
                <c:pt idx="917">
                  <c:v>36.3194000000009</c:v>
                </c:pt>
                <c:pt idx="918">
                  <c:v>36.3195000000009</c:v>
                </c:pt>
                <c:pt idx="919">
                  <c:v>36.3196000000009</c:v>
                </c:pt>
                <c:pt idx="920">
                  <c:v>36.3197000000009</c:v>
                </c:pt>
                <c:pt idx="921">
                  <c:v>36.3198000000009</c:v>
                </c:pt>
                <c:pt idx="922">
                  <c:v>36.3199000000009</c:v>
                </c:pt>
                <c:pt idx="923">
                  <c:v>36.3200000000009</c:v>
                </c:pt>
                <c:pt idx="924">
                  <c:v>36.3201000000009</c:v>
                </c:pt>
                <c:pt idx="925">
                  <c:v>36.3202000000009</c:v>
                </c:pt>
                <c:pt idx="926">
                  <c:v>36.3203000000009</c:v>
                </c:pt>
                <c:pt idx="927">
                  <c:v>36.3204000000009</c:v>
                </c:pt>
                <c:pt idx="928">
                  <c:v>36.3205000000009</c:v>
                </c:pt>
                <c:pt idx="929">
                  <c:v>36.3206000000009</c:v>
                </c:pt>
                <c:pt idx="930">
                  <c:v>36.3207000000009</c:v>
                </c:pt>
                <c:pt idx="931">
                  <c:v>36.3208000000009</c:v>
                </c:pt>
                <c:pt idx="932">
                  <c:v>36.3209000000009</c:v>
                </c:pt>
                <c:pt idx="933">
                  <c:v>36.3210000000009</c:v>
                </c:pt>
                <c:pt idx="934">
                  <c:v>36.3211000000009</c:v>
                </c:pt>
                <c:pt idx="935">
                  <c:v>36.3212000000009</c:v>
                </c:pt>
                <c:pt idx="936">
                  <c:v>36.3213000000009</c:v>
                </c:pt>
                <c:pt idx="937">
                  <c:v>36.3214000000009</c:v>
                </c:pt>
                <c:pt idx="938">
                  <c:v>36.3215000000009</c:v>
                </c:pt>
                <c:pt idx="939">
                  <c:v>36.3216000000009</c:v>
                </c:pt>
                <c:pt idx="940">
                  <c:v>36.3217000000009</c:v>
                </c:pt>
                <c:pt idx="941">
                  <c:v>36.3218000000009</c:v>
                </c:pt>
                <c:pt idx="942">
                  <c:v>36.3219000000009</c:v>
                </c:pt>
                <c:pt idx="943">
                  <c:v>36.3220000000009</c:v>
                </c:pt>
                <c:pt idx="944">
                  <c:v>36.3221000000009</c:v>
                </c:pt>
                <c:pt idx="945">
                  <c:v>36.3222000000009</c:v>
                </c:pt>
                <c:pt idx="946">
                  <c:v>36.3223000000009</c:v>
                </c:pt>
                <c:pt idx="947">
                  <c:v>36.322400000001</c:v>
                </c:pt>
                <c:pt idx="948">
                  <c:v>36.322500000001</c:v>
                </c:pt>
                <c:pt idx="949">
                  <c:v>36.322600000001</c:v>
                </c:pt>
                <c:pt idx="950">
                  <c:v>36.322700000001</c:v>
                </c:pt>
                <c:pt idx="951">
                  <c:v>36.322800000001</c:v>
                </c:pt>
                <c:pt idx="952">
                  <c:v>36.322900000001</c:v>
                </c:pt>
                <c:pt idx="953">
                  <c:v>36.323000000001</c:v>
                </c:pt>
                <c:pt idx="954">
                  <c:v>36.323100000001</c:v>
                </c:pt>
                <c:pt idx="955">
                  <c:v>36.323200000001</c:v>
                </c:pt>
                <c:pt idx="956">
                  <c:v>36.323300000001</c:v>
                </c:pt>
                <c:pt idx="957">
                  <c:v>36.323400000001</c:v>
                </c:pt>
                <c:pt idx="958">
                  <c:v>36.323500000001</c:v>
                </c:pt>
                <c:pt idx="959">
                  <c:v>36.323600000001</c:v>
                </c:pt>
                <c:pt idx="960">
                  <c:v>36.323700000001</c:v>
                </c:pt>
                <c:pt idx="961">
                  <c:v>36.323800000001</c:v>
                </c:pt>
                <c:pt idx="962">
                  <c:v>36.323900000001</c:v>
                </c:pt>
                <c:pt idx="963">
                  <c:v>36.324000000001</c:v>
                </c:pt>
                <c:pt idx="964">
                  <c:v>36.324100000001</c:v>
                </c:pt>
                <c:pt idx="965">
                  <c:v>36.324200000001</c:v>
                </c:pt>
                <c:pt idx="966">
                  <c:v>36.324300000001</c:v>
                </c:pt>
                <c:pt idx="967">
                  <c:v>36.324400000001</c:v>
                </c:pt>
                <c:pt idx="968">
                  <c:v>36.324500000001</c:v>
                </c:pt>
                <c:pt idx="969">
                  <c:v>36.324600000001</c:v>
                </c:pt>
                <c:pt idx="970">
                  <c:v>36.324700000001</c:v>
                </c:pt>
                <c:pt idx="971">
                  <c:v>36.324800000001</c:v>
                </c:pt>
                <c:pt idx="972">
                  <c:v>36.324900000001</c:v>
                </c:pt>
                <c:pt idx="973">
                  <c:v>36.325000000001</c:v>
                </c:pt>
                <c:pt idx="974">
                  <c:v>36.325100000001</c:v>
                </c:pt>
                <c:pt idx="975">
                  <c:v>36.325200000001</c:v>
                </c:pt>
                <c:pt idx="976">
                  <c:v>36.325300000001</c:v>
                </c:pt>
                <c:pt idx="977">
                  <c:v>36.325400000001</c:v>
                </c:pt>
                <c:pt idx="978">
                  <c:v>36.3255000000011</c:v>
                </c:pt>
                <c:pt idx="979">
                  <c:v>36.3256000000011</c:v>
                </c:pt>
                <c:pt idx="980">
                  <c:v>36.3257000000011</c:v>
                </c:pt>
                <c:pt idx="981">
                  <c:v>36.3258000000011</c:v>
                </c:pt>
                <c:pt idx="982">
                  <c:v>36.3259000000011</c:v>
                </c:pt>
                <c:pt idx="983">
                  <c:v>36.3260000000011</c:v>
                </c:pt>
                <c:pt idx="984">
                  <c:v>36.3261000000011</c:v>
                </c:pt>
                <c:pt idx="985">
                  <c:v>36.3262000000011</c:v>
                </c:pt>
                <c:pt idx="986">
                  <c:v>36.3263000000011</c:v>
                </c:pt>
                <c:pt idx="987">
                  <c:v>36.3264000000011</c:v>
                </c:pt>
                <c:pt idx="988">
                  <c:v>36.3265000000011</c:v>
                </c:pt>
                <c:pt idx="989">
                  <c:v>36.3266000000011</c:v>
                </c:pt>
                <c:pt idx="990">
                  <c:v>36.3267000000011</c:v>
                </c:pt>
                <c:pt idx="991">
                  <c:v>36.3268000000011</c:v>
                </c:pt>
                <c:pt idx="992">
                  <c:v>36.3269000000011</c:v>
                </c:pt>
                <c:pt idx="993">
                  <c:v>36.3270000000011</c:v>
                </c:pt>
                <c:pt idx="994">
                  <c:v>36.3271000000011</c:v>
                </c:pt>
                <c:pt idx="995">
                  <c:v>36.3272000000011</c:v>
                </c:pt>
                <c:pt idx="996">
                  <c:v>36.3273000000011</c:v>
                </c:pt>
                <c:pt idx="997">
                  <c:v>36.3274000000011</c:v>
                </c:pt>
                <c:pt idx="998">
                  <c:v>36.3275000000011</c:v>
                </c:pt>
                <c:pt idx="999">
                  <c:v>36.3276000000011</c:v>
                </c:pt>
                <c:pt idx="1000">
                  <c:v>36.3277000000011</c:v>
                </c:pt>
              </c:numCache>
            </c:numRef>
          </c:xVal>
          <c:yVal>
            <c:numRef>
              <c:f>Calculs!$K$4:$K$1004</c:f>
              <c:numCache>
                <c:formatCode>General</c:formatCode>
                <c:ptCount val="1001"/>
                <c:pt idx="0">
                  <c:v>0</c:v>
                </c:pt>
                <c:pt idx="1">
                  <c:v>4.71066430277206E-005</c:v>
                </c:pt>
                <c:pt idx="2">
                  <c:v>0.00123430985045809</c:v>
                </c:pt>
                <c:pt idx="3">
                  <c:v>0.00565398827554792</c:v>
                </c:pt>
                <c:pt idx="4">
                  <c:v>0.0154000738490383</c:v>
                </c:pt>
                <c:pt idx="5">
                  <c:v>0.032568704976589</c:v>
                </c:pt>
                <c:pt idx="6">
                  <c:v>0.0587286030075707</c:v>
                </c:pt>
                <c:pt idx="7">
                  <c:v>0.0943900694407182</c:v>
                </c:pt>
                <c:pt idx="8">
                  <c:v>0.139533610440935</c:v>
                </c:pt>
                <c:pt idx="9">
                  <c:v>0.194139616707074</c:v>
                </c:pt>
                <c:pt idx="10">
                  <c:v>0.25818836387632</c:v>
                </c:pt>
                <c:pt idx="11">
                  <c:v>0.331660012933674</c:v>
                </c:pt>
                <c:pt idx="12">
                  <c:v>0.414534610626495</c:v>
                </c:pt>
                <c:pt idx="13">
                  <c:v>0.506792089884068</c:v>
                </c:pt>
                <c:pt idx="14">
                  <c:v>0.608412270242167</c:v>
                </c:pt>
                <c:pt idx="15">
                  <c:v>0.719374858272552</c:v>
                </c:pt>
                <c:pt idx="16">
                  <c:v>0.839659448017392</c:v>
                </c:pt>
                <c:pt idx="17">
                  <c:v>0.969245521428544</c:v>
                </c:pt>
                <c:pt idx="18">
                  <c:v>1.10811244881168</c:v>
                </c:pt>
                <c:pt idx="19">
                  <c:v>1.25623948927518</c:v>
                </c:pt>
                <c:pt idx="20">
                  <c:v>1.4136057911838</c:v>
                </c:pt>
                <c:pt idx="21">
                  <c:v>1.58019039261706</c:v>
                </c:pt>
                <c:pt idx="22">
                  <c:v>1.75597222183222</c:v>
                </c:pt>
                <c:pt idx="23">
                  <c:v>1.94093009773201</c:v>
                </c:pt>
                <c:pt idx="24">
                  <c:v>2.13504273033682</c:v>
                </c:pt>
                <c:pt idx="25">
                  <c:v>2.33828872126149</c:v>
                </c:pt>
                <c:pt idx="26">
                  <c:v>2.55064656419662</c:v>
                </c:pt>
                <c:pt idx="27">
                  <c:v>2.77209464539425</c:v>
                </c:pt>
                <c:pt idx="28">
                  <c:v>3.00261124415803</c:v>
                </c:pt>
                <c:pt idx="29">
                  <c:v>3.24217453333772</c:v>
                </c:pt>
                <c:pt idx="30">
                  <c:v>3.49076257982799</c:v>
                </c:pt>
                <c:pt idx="31">
                  <c:v>3.74835334507152</c:v>
                </c:pt>
                <c:pt idx="32">
                  <c:v>4.01492468556632</c:v>
                </c:pt>
                <c:pt idx="33">
                  <c:v>4.29043955550623</c:v>
                </c:pt>
                <c:pt idx="34">
                  <c:v>4.57486029065876</c:v>
                </c:pt>
                <c:pt idx="35">
                  <c:v>4.86816341380027</c:v>
                </c:pt>
                <c:pt idx="36">
                  <c:v>5.17032536614843</c:v>
                </c:pt>
                <c:pt idx="37">
                  <c:v>5.48132251439453</c:v>
                </c:pt>
                <c:pt idx="38">
                  <c:v>5.80113114984989</c:v>
                </c:pt>
                <c:pt idx="39">
                  <c:v>6.12972748770731</c:v>
                </c:pt>
                <c:pt idx="40">
                  <c:v>6.46708766640578</c:v>
                </c:pt>
                <c:pt idx="41">
                  <c:v>6.81318774708791</c:v>
                </c:pt>
                <c:pt idx="42">
                  <c:v>7.16800371314139</c:v>
                </c:pt>
                <c:pt idx="43">
                  <c:v>7.53151146981626</c:v>
                </c:pt>
                <c:pt idx="44">
                  <c:v>7.90368684391139</c:v>
                </c:pt>
                <c:pt idx="45">
                  <c:v>8.28450558352366</c:v>
                </c:pt>
                <c:pt idx="46">
                  <c:v>8.67394335785479</c:v>
                </c:pt>
                <c:pt idx="47">
                  <c:v>9.07197575707059</c:v>
                </c:pt>
                <c:pt idx="48">
                  <c:v>9.47857829220871</c:v>
                </c:pt>
                <c:pt idx="49">
                  <c:v>9.89372639513068</c:v>
                </c:pt>
                <c:pt idx="50">
                  <c:v>10.3173954185151</c:v>
                </c:pt>
                <c:pt idx="51">
                  <c:v>10.7495634267414</c:v>
                </c:pt>
                <c:pt idx="52">
                  <c:v>11.1902139904642</c:v>
                </c:pt>
                <c:pt idx="53">
                  <c:v>11.6393334007848</c:v>
                </c:pt>
                <c:pt idx="54">
                  <c:v>12.096907879664</c:v>
                </c:pt>
                <c:pt idx="55">
                  <c:v>12.5629235798068</c:v>
                </c:pt>
                <c:pt idx="56">
                  <c:v>13.0373665845716</c:v>
                </c:pt>
                <c:pt idx="57">
                  <c:v>13.5202229079007</c:v>
                </c:pt>
                <c:pt idx="58">
                  <c:v>14.0114784942715</c:v>
                </c:pt>
                <c:pt idx="59">
                  <c:v>14.5111192186678</c:v>
                </c:pt>
                <c:pt idx="60">
                  <c:v>15.0191308865683</c:v>
                </c:pt>
                <c:pt idx="61">
                  <c:v>15.5354992339537</c:v>
                </c:pt>
                <c:pt idx="62">
                  <c:v>16.0602099273289</c:v>
                </c:pt>
                <c:pt idx="63">
                  <c:v>16.5932485637618</c:v>
                </c:pt>
                <c:pt idx="64">
                  <c:v>17.1346006709362</c:v>
                </c:pt>
                <c:pt idx="65">
                  <c:v>17.6842517072186</c:v>
                </c:pt>
                <c:pt idx="66">
                  <c:v>18.2421870617386</c:v>
                </c:pt>
                <c:pt idx="67">
                  <c:v>18.8083920544817</c:v>
                </c:pt>
                <c:pt idx="68">
                  <c:v>19.3828519363943</c:v>
                </c:pt>
                <c:pt idx="69">
                  <c:v>19.9655518894997</c:v>
                </c:pt>
                <c:pt idx="70">
                  <c:v>20.5564770270259</c:v>
                </c:pt>
                <c:pt idx="71">
                  <c:v>21.1556123935431</c:v>
                </c:pt>
                <c:pt idx="72">
                  <c:v>21.7629429651116</c:v>
                </c:pt>
                <c:pt idx="73">
                  <c:v>22.3784536494392</c:v>
                </c:pt>
                <c:pt idx="74">
                  <c:v>23.002129286048</c:v>
                </c:pt>
                <c:pt idx="75">
                  <c:v>23.6339546464496</c:v>
                </c:pt>
                <c:pt idx="76">
                  <c:v>24.2739144343295</c:v>
                </c:pt>
                <c:pt idx="77">
                  <c:v>24.9219932857388</c:v>
                </c:pt>
                <c:pt idx="78">
                  <c:v>25.5781757692946</c:v>
                </c:pt>
                <c:pt idx="79">
                  <c:v>26.2424463863875</c:v>
                </c:pt>
                <c:pt idx="80">
                  <c:v>26.9147895713961</c:v>
                </c:pt>
                <c:pt idx="81">
                  <c:v>27.5951896919097</c:v>
                </c:pt>
                <c:pt idx="82">
                  <c:v>28.283631048956</c:v>
                </c:pt>
                <c:pt idx="83">
                  <c:v>28.9800978772374</c:v>
                </c:pt>
                <c:pt idx="84">
                  <c:v>29.6845743453716</c:v>
                </c:pt>
                <c:pt idx="85">
                  <c:v>30.3970445561403</c:v>
                </c:pt>
                <c:pt idx="86">
                  <c:v>31.1174925467421</c:v>
                </c:pt>
                <c:pt idx="87">
                  <c:v>31.8459022890522</c:v>
                </c:pt>
                <c:pt idx="88">
                  <c:v>32.5822576898873</c:v>
                </c:pt>
                <c:pt idx="89">
                  <c:v>33.3265425912761</c:v>
                </c:pt>
                <c:pt idx="90">
                  <c:v>34.0787407707346</c:v>
                </c:pt>
                <c:pt idx="91">
                  <c:v>34.8388359415468</c:v>
                </c:pt>
                <c:pt idx="92">
                  <c:v>35.6068117530504</c:v>
                </c:pt>
                <c:pt idx="93">
                  <c:v>36.382651790927</c:v>
                </c:pt>
                <c:pt idx="94">
                  <c:v>37.166339577497</c:v>
                </c:pt>
                <c:pt idx="95">
                  <c:v>37.9578585720189</c:v>
                </c:pt>
                <c:pt idx="96">
                  <c:v>38.7571921709936</c:v>
                </c:pt>
                <c:pt idx="97">
                  <c:v>39.5643237084719</c:v>
                </c:pt>
                <c:pt idx="98">
                  <c:v>40.3792364563671</c:v>
                </c:pt>
                <c:pt idx="99">
                  <c:v>41.2019136247711</c:v>
                </c:pt>
                <c:pt idx="100">
                  <c:v>42.0323383622743</c:v>
                </c:pt>
                <c:pt idx="101">
                  <c:v>42.8704924708862</c:v>
                </c:pt>
                <c:pt idx="102">
                  <c:v>43.716355119818</c:v>
                </c:pt>
                <c:pt idx="103">
                  <c:v>44.569904130051</c:v>
                </c:pt>
                <c:pt idx="104">
                  <c:v>45.4311172601144</c:v>
                </c:pt>
                <c:pt idx="105">
                  <c:v>46.2999722065565</c:v>
                </c:pt>
                <c:pt idx="106">
                  <c:v>47.1764466044198</c:v>
                </c:pt>
                <c:pt idx="107">
                  <c:v>48.060518027718</c:v>
                </c:pt>
                <c:pt idx="108">
                  <c:v>48.9521639899168</c:v>
                </c:pt>
                <c:pt idx="109">
                  <c:v>49.851361944418</c:v>
                </c:pt>
                <c:pt idx="110">
                  <c:v>50.7580892850451</c:v>
                </c:pt>
                <c:pt idx="111">
                  <c:v>51.6723233465329</c:v>
                </c:pt>
                <c:pt idx="112">
                  <c:v>52.5940414050188</c:v>
                </c:pt>
                <c:pt idx="113">
                  <c:v>53.5232206785372</c:v>
                </c:pt>
                <c:pt idx="114">
                  <c:v>54.4598383275164</c:v>
                </c:pt>
                <c:pt idx="115">
                  <c:v>55.403871455277</c:v>
                </c:pt>
                <c:pt idx="116">
                  <c:v>56.3552971085334</c:v>
                </c:pt>
                <c:pt idx="117">
                  <c:v>57.3140922778975</c:v>
                </c:pt>
                <c:pt idx="118">
                  <c:v>58.2802338983836</c:v>
                </c:pt>
                <c:pt idx="119">
                  <c:v>59.2536988499165</c:v>
                </c:pt>
                <c:pt idx="120">
                  <c:v>60.2344639578404</c:v>
                </c:pt>
                <c:pt idx="121">
                  <c:v>61.2225059934308</c:v>
                </c:pt>
                <c:pt idx="122">
                  <c:v>62.217801674407</c:v>
                </c:pt>
                <c:pt idx="123">
                  <c:v>63.2203276654471</c:v>
                </c:pt>
                <c:pt idx="124">
                  <c:v>64.2300605787047</c:v>
                </c:pt>
                <c:pt idx="125">
                  <c:v>65.2469769743264</c:v>
                </c:pt>
                <c:pt idx="126">
                  <c:v>66.2710533609717</c:v>
                </c:pt>
                <c:pt idx="127">
                  <c:v>67.3022661963334</c:v>
                </c:pt>
                <c:pt idx="128">
                  <c:v>68.3405918876606</c:v>
                </c:pt>
                <c:pt idx="129">
                  <c:v>69.3860067922815</c:v>
                </c:pt>
                <c:pt idx="130">
                  <c:v>70.4384872181287</c:v>
                </c:pt>
                <c:pt idx="131">
                  <c:v>71.4980094242647</c:v>
                </c:pt>
                <c:pt idx="132">
                  <c:v>72.5645496214094</c:v>
                </c:pt>
                <c:pt idx="133">
                  <c:v>73.6380839724678</c:v>
                </c:pt>
                <c:pt idx="134">
                  <c:v>74.7185885930593</c:v>
                </c:pt>
                <c:pt idx="135">
                  <c:v>75.8060395520476</c:v>
                </c:pt>
                <c:pt idx="136">
                  <c:v>76.9004128720713</c:v>
                </c:pt>
                <c:pt idx="137">
                  <c:v>78.0016845300758</c:v>
                </c:pt>
                <c:pt idx="138">
                  <c:v>79.1098304578455</c:v>
                </c:pt>
                <c:pt idx="139">
                  <c:v>80.2248265425371</c:v>
                </c:pt>
                <c:pt idx="140">
                  <c:v>81.3466486272129</c:v>
                </c:pt>
                <c:pt idx="141">
                  <c:v>82.4752725113751</c:v>
                </c:pt>
                <c:pt idx="142">
                  <c:v>83.6106739515009</c:v>
                </c:pt>
                <c:pt idx="143">
                  <c:v>84.7528286615774</c:v>
                </c:pt>
                <c:pt idx="144">
                  <c:v>85.9017123136373</c:v>
                </c:pt>
                <c:pt idx="145">
                  <c:v>87.0573005382948</c:v>
                </c:pt>
                <c:pt idx="146">
                  <c:v>88.2195689252822</c:v>
                </c:pt>
                <c:pt idx="147">
                  <c:v>89.3884930239861</c:v>
                </c:pt>
                <c:pt idx="148">
                  <c:v>90.5640483439844</c:v>
                </c:pt>
                <c:pt idx="149">
                  <c:v>91.7462103555831</c:v>
                </c:pt>
                <c:pt idx="150">
                  <c:v>92.9349544903534</c:v>
                </c:pt>
                <c:pt idx="151">
                  <c:v>94.1302565788154</c:v>
                </c:pt>
                <c:pt idx="152">
                  <c:v>95.3320932882854</c:v>
                </c:pt>
                <c:pt idx="153">
                  <c:v>96.5404416862398</c:v>
                </c:pt>
                <c:pt idx="154">
                  <c:v>97.7552788034952</c:v>
                </c:pt>
                <c:pt idx="155">
                  <c:v>98.9765816347021</c:v>
                </c:pt>
                <c:pt idx="156">
                  <c:v>100.20432713884</c:v>
                </c:pt>
                <c:pt idx="157">
                  <c:v>101.438492239708</c:v>
                </c:pt>
                <c:pt idx="158">
                  <c:v>102.679053826426</c:v>
                </c:pt>
                <c:pt idx="159">
                  <c:v>103.925988753919</c:v>
                </c:pt>
                <c:pt idx="160">
                  <c:v>105.179273843418</c:v>
                </c:pt>
                <c:pt idx="161">
                  <c:v>106.438885882952</c:v>
                </c:pt>
                <c:pt idx="162">
                  <c:v>107.704801627838</c:v>
                </c:pt>
                <c:pt idx="163">
                  <c:v>108.976997801179</c:v>
                </c:pt>
                <c:pt idx="164">
                  <c:v>110.255451094353</c:v>
                </c:pt>
                <c:pt idx="165">
                  <c:v>111.540138167508</c:v>
                </c:pt>
                <c:pt idx="166">
                  <c:v>112.831035650051</c:v>
                </c:pt>
                <c:pt idx="167">
                  <c:v>114.128120141145</c:v>
                </c:pt>
                <c:pt idx="168">
                  <c:v>115.431368210194</c:v>
                </c:pt>
                <c:pt idx="169">
                  <c:v>116.740756397338</c:v>
                </c:pt>
                <c:pt idx="170">
                  <c:v>118.056261213942</c:v>
                </c:pt>
                <c:pt idx="171">
                  <c:v>119.377859143086</c:v>
                </c:pt>
                <c:pt idx="172">
                  <c:v>120.705526640052</c:v>
                </c:pt>
                <c:pt idx="173">
                  <c:v>122.039240132817</c:v>
                </c:pt>
                <c:pt idx="174">
                  <c:v>123.378976022538</c:v>
                </c:pt>
                <c:pt idx="175">
                  <c:v>124.724710684037</c:v>
                </c:pt>
                <c:pt idx="176">
                  <c:v>126.076420466293</c:v>
                </c:pt>
                <c:pt idx="177">
                  <c:v>127.434081692924</c:v>
                </c:pt>
                <c:pt idx="178">
                  <c:v>128.797670662672</c:v>
                </c:pt>
                <c:pt idx="179">
                  <c:v>130.167163649887</c:v>
                </c:pt>
                <c:pt idx="180">
                  <c:v>131.542536905014</c:v>
                </c:pt>
                <c:pt idx="181">
                  <c:v>132.923766655069</c:v>
                </c:pt>
                <c:pt idx="182">
                  <c:v>134.310829104127</c:v>
                </c:pt>
                <c:pt idx="183">
                  <c:v>135.703700433798</c:v>
                </c:pt>
                <c:pt idx="184">
                  <c:v>137.102356803708</c:v>
                </c:pt>
                <c:pt idx="185">
                  <c:v>138.506774351979</c:v>
                </c:pt>
                <c:pt idx="186">
                  <c:v>139.916929195703</c:v>
                </c:pt>
                <c:pt idx="187">
                  <c:v>141.332797431424</c:v>
                </c:pt>
                <c:pt idx="188">
                  <c:v>142.754355135606</c:v>
                </c:pt>
                <c:pt idx="189">
                  <c:v>144.181578365115</c:v>
                </c:pt>
                <c:pt idx="190">
                  <c:v>145.614443157687</c:v>
                </c:pt>
                <c:pt idx="191">
                  <c:v>147.0529255324</c:v>
                </c:pt>
                <c:pt idx="192">
                  <c:v>148.497001490148</c:v>
                </c:pt>
                <c:pt idx="193">
                  <c:v>149.946647014108</c:v>
                </c:pt>
                <c:pt idx="194">
                  <c:v>151.401838070208</c:v>
                </c:pt>
                <c:pt idx="195">
                  <c:v>152.862550607597</c:v>
                </c:pt>
                <c:pt idx="196">
                  <c:v>154.328760559107</c:v>
                </c:pt>
                <c:pt idx="197">
                  <c:v>155.800443841716</c:v>
                </c:pt>
                <c:pt idx="198">
                  <c:v>157.277576357019</c:v>
                </c:pt>
                <c:pt idx="199">
                  <c:v>158.760133991679</c:v>
                </c:pt>
                <c:pt idx="200">
                  <c:v>160.248092617895</c:v>
                </c:pt>
                <c:pt idx="201">
                  <c:v>161.741428093858</c:v>
                </c:pt>
                <c:pt idx="202">
                  <c:v>163.240116264207</c:v>
                </c:pt>
                <c:pt idx="203">
                  <c:v>164.744132960485</c:v>
                </c:pt>
                <c:pt idx="204">
                  <c:v>166.253454001595</c:v>
                </c:pt>
                <c:pt idx="205">
                  <c:v>167.768055194253</c:v>
                </c:pt>
                <c:pt idx="206">
                  <c:v>169.287912333435</c:v>
                </c:pt>
                <c:pt idx="207">
                  <c:v>170.81300120283</c:v>
                </c:pt>
                <c:pt idx="208">
                  <c:v>172.343297575289</c:v>
                </c:pt>
                <c:pt idx="209">
                  <c:v>173.878777213267</c:v>
                </c:pt>
                <c:pt idx="210">
                  <c:v>175.419415869271</c:v>
                </c:pt>
                <c:pt idx="211">
                  <c:v>176.965189286301</c:v>
                </c:pt>
                <c:pt idx="212">
                  <c:v>178.516073198294</c:v>
                </c:pt>
                <c:pt idx="213">
                  <c:v>180.07204333056</c:v>
                </c:pt>
                <c:pt idx="214">
                  <c:v>181.633075400222</c:v>
                </c:pt>
                <c:pt idx="215">
                  <c:v>183.199145116653</c:v>
                </c:pt>
                <c:pt idx="216">
                  <c:v>184.770228181906</c:v>
                </c:pt>
                <c:pt idx="217">
                  <c:v>186.346300291152</c:v>
                </c:pt>
                <c:pt idx="218">
                  <c:v>187.927337133106</c:v>
                </c:pt>
                <c:pt idx="219">
                  <c:v>189.51331439046</c:v>
                </c:pt>
                <c:pt idx="220">
                  <c:v>191.104207740305</c:v>
                </c:pt>
                <c:pt idx="221">
                  <c:v>192.699992854561</c:v>
                </c:pt>
                <c:pt idx="222">
                  <c:v>194.300645400397</c:v>
                </c:pt>
                <c:pt idx="223">
                  <c:v>195.906141040655</c:v>
                </c:pt>
                <c:pt idx="224">
                  <c:v>197.516455434266</c:v>
                </c:pt>
                <c:pt idx="225">
                  <c:v>199.13156423667</c:v>
                </c:pt>
                <c:pt idx="226">
                  <c:v>200.751443100231</c:v>
                </c:pt>
                <c:pt idx="227">
                  <c:v>202.376067674649</c:v>
                </c:pt>
                <c:pt idx="228">
                  <c:v>204.005413607376</c:v>
                </c:pt>
                <c:pt idx="229">
                  <c:v>205.639456544018</c:v>
                </c:pt>
                <c:pt idx="230">
                  <c:v>207.27817212875</c:v>
                </c:pt>
                <c:pt idx="231">
                  <c:v>208.921536004717</c:v>
                </c:pt>
                <c:pt idx="232">
                  <c:v>210.56952381444</c:v>
                </c:pt>
                <c:pt idx="233">
                  <c:v>212.222111200213</c:v>
                </c:pt>
                <c:pt idx="234">
                  <c:v>213.879273804509</c:v>
                </c:pt>
                <c:pt idx="235">
                  <c:v>215.540987270371</c:v>
                </c:pt>
                <c:pt idx="236">
                  <c:v>217.207227241811</c:v>
                </c:pt>
                <c:pt idx="237">
                  <c:v>218.8779693642</c:v>
                </c:pt>
                <c:pt idx="238">
                  <c:v>220.553189284663</c:v>
                </c:pt>
                <c:pt idx="239">
                  <c:v>222.232862652461</c:v>
                </c:pt>
                <c:pt idx="240">
                  <c:v>223.916965119385</c:v>
                </c:pt>
                <c:pt idx="241">
                  <c:v>225.605472340134</c:v>
                </c:pt>
                <c:pt idx="242">
                  <c:v>227.298359972703</c:v>
                </c:pt>
                <c:pt idx="243">
                  <c:v>228.995603678757</c:v>
                </c:pt>
                <c:pt idx="244">
                  <c:v>230.697179124013</c:v>
                </c:pt>
                <c:pt idx="245">
                  <c:v>232.403061978614</c:v>
                </c:pt>
                <c:pt idx="246">
                  <c:v>234.113227917502</c:v>
                </c:pt>
                <c:pt idx="247">
                  <c:v>235.82765262079</c:v>
                </c:pt>
                <c:pt idx="248">
                  <c:v>237.54631177413</c:v>
                </c:pt>
                <c:pt idx="249">
                  <c:v>239.26918106908</c:v>
                </c:pt>
                <c:pt idx="250">
                  <c:v>240.996236203467</c:v>
                </c:pt>
                <c:pt idx="251">
                  <c:v>242.727450997963</c:v>
                </c:pt>
                <c:pt idx="252">
                  <c:v>244.46279551367</c:v>
                </c:pt>
                <c:pt idx="253">
                  <c:v>246.202237939506</c:v>
                </c:pt>
                <c:pt idx="254">
                  <c:v>247.945746478657</c:v>
                </c:pt>
                <c:pt idx="255">
                  <c:v>249.693289349061</c:v>
                </c:pt>
                <c:pt idx="256">
                  <c:v>251.444834783895</c:v>
                </c:pt>
                <c:pt idx="257">
                  <c:v>253.200351032058</c:v>
                </c:pt>
                <c:pt idx="258">
                  <c:v>254.959806358648</c:v>
                </c:pt>
                <c:pt idx="259">
                  <c:v>256.723169045439</c:v>
                </c:pt>
                <c:pt idx="260">
                  <c:v>258.490407391346</c:v>
                </c:pt>
                <c:pt idx="261">
                  <c:v>260.261489712894</c:v>
                </c:pt>
                <c:pt idx="262">
                  <c:v>262.036384344682</c:v>
                </c:pt>
                <c:pt idx="263">
                  <c:v>263.815059639837</c:v>
                </c:pt>
                <c:pt idx="264">
                  <c:v>265.597483970473</c:v>
                </c:pt>
                <c:pt idx="265">
                  <c:v>267.383625728138</c:v>
                </c:pt>
                <c:pt idx="266">
                  <c:v>269.173453324261</c:v>
                </c:pt>
                <c:pt idx="267">
                  <c:v>270.966935190597</c:v>
                </c:pt>
                <c:pt idx="268">
                  <c:v>272.764039779661</c:v>
                </c:pt>
                <c:pt idx="269">
                  <c:v>274.564735565166</c:v>
                </c:pt>
                <c:pt idx="270">
                  <c:v>276.368991042453</c:v>
                </c:pt>
                <c:pt idx="271">
                  <c:v>278.176774728917</c:v>
                </c:pt>
                <c:pt idx="272">
                  <c:v>279.988055164428</c:v>
                </c:pt>
                <c:pt idx="273">
                  <c:v>281.802800911753</c:v>
                </c:pt>
                <c:pt idx="274">
                  <c:v>283.620980556967</c:v>
                </c:pt>
                <c:pt idx="275">
                  <c:v>285.442562709865</c:v>
                </c:pt>
                <c:pt idx="276">
                  <c:v>287.26751600437</c:v>
                </c:pt>
                <c:pt idx="277">
                  <c:v>289.095809098934</c:v>
                </c:pt>
                <c:pt idx="278">
                  <c:v>290.927410676934</c:v>
                </c:pt>
                <c:pt idx="279">
                  <c:v>292.762289447072</c:v>
                </c:pt>
                <c:pt idx="280">
                  <c:v>294.600414143763</c:v>
                </c:pt>
                <c:pt idx="281">
                  <c:v>296.441753527518</c:v>
                </c:pt>
                <c:pt idx="282">
                  <c:v>298.286276385332</c:v>
                </c:pt>
                <c:pt idx="283">
                  <c:v>300.133951531061</c:v>
                </c:pt>
                <c:pt idx="284">
                  <c:v>301.984747805795</c:v>
                </c:pt>
                <c:pt idx="285">
                  <c:v>303.838634078227</c:v>
                </c:pt>
                <c:pt idx="286">
                  <c:v>305.695579245027</c:v>
                </c:pt>
                <c:pt idx="287">
                  <c:v>307.555552231193</c:v>
                </c:pt>
                <c:pt idx="288">
                  <c:v>309.418521990423</c:v>
                </c:pt>
                <c:pt idx="289">
                  <c:v>311.284457505456</c:v>
                </c:pt>
                <c:pt idx="290">
                  <c:v>313.153327788433</c:v>
                </c:pt>
                <c:pt idx="291">
                  <c:v>315.025101881241</c:v>
                </c:pt>
                <c:pt idx="292">
                  <c:v>316.89974885585</c:v>
                </c:pt>
                <c:pt idx="293">
                  <c:v>318.777237814659</c:v>
                </c:pt>
                <c:pt idx="294">
                  <c:v>320.657537890829</c:v>
                </c:pt>
                <c:pt idx="295">
                  <c:v>322.540618248611</c:v>
                </c:pt>
                <c:pt idx="296">
                  <c:v>324.426448083675</c:v>
                </c:pt>
                <c:pt idx="297">
                  <c:v>326.314996623431</c:v>
                </c:pt>
                <c:pt idx="298">
                  <c:v>328.206212466285</c:v>
                </c:pt>
                <c:pt idx="299">
                  <c:v>330.100002941184</c:v>
                </c:pt>
                <c:pt idx="300">
                  <c:v>331.996254820626</c:v>
                </c:pt>
                <c:pt idx="301">
                  <c:v>333.89485501445</c:v>
                </c:pt>
                <c:pt idx="302">
                  <c:v>335.795690572298</c:v>
                </c:pt>
                <c:pt idx="303">
                  <c:v>337.698648686044</c:v>
                </c:pt>
                <c:pt idx="304">
                  <c:v>339.603616692162</c:v>
                </c:pt>
                <c:pt idx="305">
                  <c:v>341.510482074057</c:v>
                </c:pt>
                <c:pt idx="306">
                  <c:v>343.419132464343</c:v>
                </c:pt>
                <c:pt idx="307">
                  <c:v>345.329455647081</c:v>
                </c:pt>
                <c:pt idx="308">
                  <c:v>347.241339559963</c:v>
                </c:pt>
                <c:pt idx="309">
                  <c:v>349.154672296456</c:v>
                </c:pt>
                <c:pt idx="310">
                  <c:v>351.069342107896</c:v>
                </c:pt>
                <c:pt idx="311">
                  <c:v>352.985237405536</c:v>
                </c:pt>
                <c:pt idx="312">
                  <c:v>354.902246762553</c:v>
                </c:pt>
                <c:pt idx="313">
                  <c:v>356.820258916</c:v>
                </c:pt>
                <c:pt idx="314">
                  <c:v>358.739162768723</c:v>
                </c:pt>
                <c:pt idx="315">
                  <c:v>360.658847391222</c:v>
                </c:pt>
                <c:pt idx="316">
                  <c:v>362.579202023477</c:v>
                </c:pt>
                <c:pt idx="317">
                  <c:v>364.50011607672</c:v>
                </c:pt>
                <c:pt idx="318">
                  <c:v>366.421479135169</c:v>
                </c:pt>
                <c:pt idx="319">
                  <c:v>368.343180957711</c:v>
                </c:pt>
                <c:pt idx="320">
                  <c:v>370.265111479548</c:v>
                </c:pt>
                <c:pt idx="321">
                  <c:v>372.1871690264</c:v>
                </c:pt>
                <c:pt idx="322">
                  <c:v>374.109268515989</c:v>
                </c:pt>
                <c:pt idx="323">
                  <c:v>376.031333219358</c:v>
                </c:pt>
                <c:pt idx="324">
                  <c:v>377.953286534437</c:v>
                </c:pt>
                <c:pt idx="325">
                  <c:v>379.875051986663</c:v>
                </c:pt>
                <c:pt idx="326">
                  <c:v>381.796553229589</c:v>
                </c:pt>
                <c:pt idx="327">
                  <c:v>383.717714045467</c:v>
                </c:pt>
                <c:pt idx="328">
                  <c:v>385.638458345807</c:v>
                </c:pt>
                <c:pt idx="329">
                  <c:v>387.558710171922</c:v>
                </c:pt>
                <c:pt idx="330">
                  <c:v>389.478393695449</c:v>
                </c:pt>
                <c:pt idx="331">
                  <c:v>391.39743321885</c:v>
                </c:pt>
                <c:pt idx="332">
                  <c:v>393.315753175894</c:v>
                </c:pt>
                <c:pt idx="333">
                  <c:v>395.233278132115</c:v>
                </c:pt>
                <c:pt idx="334">
                  <c:v>397.149932785254</c:v>
                </c:pt>
                <c:pt idx="335">
                  <c:v>399.065641965684</c:v>
                </c:pt>
                <c:pt idx="336">
                  <c:v>400.980330636806</c:v>
                </c:pt>
                <c:pt idx="337">
                  <c:v>402.893923895431</c:v>
                </c:pt>
                <c:pt idx="338">
                  <c:v>404.806346972149</c:v>
                </c:pt>
                <c:pt idx="339">
                  <c:v>406.717525231664</c:v>
                </c:pt>
                <c:pt idx="340">
                  <c:v>408.627384173124</c:v>
                </c:pt>
                <c:pt idx="341">
                  <c:v>410.535849430424</c:v>
                </c:pt>
                <c:pt idx="342">
                  <c:v>412.442846772492</c:v>
                </c:pt>
                <c:pt idx="343">
                  <c:v>414.34830210356</c:v>
                </c:pt>
                <c:pt idx="344">
                  <c:v>416.252141463406</c:v>
                </c:pt>
                <c:pt idx="345">
                  <c:v>418.154291027595</c:v>
                </c:pt>
                <c:pt idx="346">
                  <c:v>420.054677107683</c:v>
                </c:pt>
                <c:pt idx="347">
                  <c:v>421.953226151417</c:v>
                </c:pt>
                <c:pt idx="348">
                  <c:v>423.849865627964</c:v>
                </c:pt>
                <c:pt idx="349">
                  <c:v>425.744524911418</c:v>
                </c:pt>
                <c:pt idx="350">
                  <c:v>427.637134392424</c:v>
                </c:pt>
                <c:pt idx="351">
                  <c:v>429.527624591481</c:v>
                </c:pt>
                <c:pt idx="352">
                  <c:v>431.415926159006</c:v>
                </c:pt>
                <c:pt idx="353">
                  <c:v>433.301969875388</c:v>
                </c:pt>
                <c:pt idx="354">
                  <c:v>435.185686651018</c:v>
                </c:pt>
                <c:pt idx="355">
                  <c:v>437.067007526316</c:v>
                </c:pt>
                <c:pt idx="356">
                  <c:v>438.945863671729</c:v>
                </c:pt>
                <c:pt idx="357">
                  <c:v>440.822186387727</c:v>
                </c:pt>
                <c:pt idx="358">
                  <c:v>442.695907104775</c:v>
                </c:pt>
                <c:pt idx="359">
                  <c:v>444.566957383295</c:v>
                </c:pt>
                <c:pt idx="360">
                  <c:v>446.435287313958</c:v>
                </c:pt>
                <c:pt idx="361">
                  <c:v>448.300883879948</c:v>
                </c:pt>
                <c:pt idx="362">
                  <c:v>450.163752481729</c:v>
                </c:pt>
                <c:pt idx="363">
                  <c:v>452.023898499902</c:v>
                </c:pt>
                <c:pt idx="364">
                  <c:v>453.881327295308</c:v>
                </c:pt>
                <c:pt idx="365">
                  <c:v>455.73604420912</c:v>
                </c:pt>
                <c:pt idx="366">
                  <c:v>457.588054562936</c:v>
                </c:pt>
                <c:pt idx="367">
                  <c:v>459.437363658876</c:v>
                </c:pt>
                <c:pt idx="368">
                  <c:v>461.283976779679</c:v>
                </c:pt>
                <c:pt idx="369">
                  <c:v>463.12789918879</c:v>
                </c:pt>
                <c:pt idx="370">
                  <c:v>464.969136130456</c:v>
                </c:pt>
                <c:pt idx="371">
                  <c:v>466.80769282982</c:v>
                </c:pt>
                <c:pt idx="372">
                  <c:v>468.64357449301</c:v>
                </c:pt>
                <c:pt idx="373">
                  <c:v>470.476786307231</c:v>
                </c:pt>
                <c:pt idx="374">
                  <c:v>472.307333440856</c:v>
                </c:pt>
                <c:pt idx="375">
                  <c:v>474.135221043514</c:v>
                </c:pt>
                <c:pt idx="376">
                  <c:v>475.960454246184</c:v>
                </c:pt>
                <c:pt idx="377">
                  <c:v>477.783038161279</c:v>
                </c:pt>
                <c:pt idx="378">
                  <c:v>479.602977882736</c:v>
                </c:pt>
                <c:pt idx="379">
                  <c:v>481.420278486108</c:v>
                </c:pt>
                <c:pt idx="380">
                  <c:v>483.234945028644</c:v>
                </c:pt>
                <c:pt idx="381">
                  <c:v>485.04698254938</c:v>
                </c:pt>
                <c:pt idx="382">
                  <c:v>486.856396069227</c:v>
                </c:pt>
                <c:pt idx="383">
                  <c:v>488.663190591054</c:v>
                </c:pt>
                <c:pt idx="384">
                  <c:v>490.467371099771</c:v>
                </c:pt>
                <c:pt idx="385">
                  <c:v>492.268942562421</c:v>
                </c:pt>
                <c:pt idx="386">
                  <c:v>494.067909928258</c:v>
                </c:pt>
                <c:pt idx="387">
                  <c:v>495.864278128833</c:v>
                </c:pt>
                <c:pt idx="388">
                  <c:v>497.658052078076</c:v>
                </c:pt>
                <c:pt idx="389">
                  <c:v>499.449236672381</c:v>
                </c:pt>
                <c:pt idx="390">
                  <c:v>501.237836790687</c:v>
                </c:pt>
                <c:pt idx="391">
                  <c:v>503.023857294559</c:v>
                </c:pt>
                <c:pt idx="392">
                  <c:v>504.80730302827</c:v>
                </c:pt>
                <c:pt idx="393">
                  <c:v>506.588178818884</c:v>
                </c:pt>
                <c:pt idx="394">
                  <c:v>508.366489476332</c:v>
                </c:pt>
                <c:pt idx="395">
                  <c:v>510.142239793496</c:v>
                </c:pt>
                <c:pt idx="396">
                  <c:v>511.915434546283</c:v>
                </c:pt>
                <c:pt idx="397">
                  <c:v>513.686078493713</c:v>
                </c:pt>
                <c:pt idx="398">
                  <c:v>515.454176377986</c:v>
                </c:pt>
                <c:pt idx="399">
                  <c:v>517.219732924571</c:v>
                </c:pt>
                <c:pt idx="400">
                  <c:v>518.982752842275</c:v>
                </c:pt>
                <c:pt idx="401">
                  <c:v>536.473800892352</c:v>
                </c:pt>
                <c:pt idx="402">
                  <c:v>553.714204690806</c:v>
                </c:pt>
                <c:pt idx="403">
                  <c:v>570.708514530673</c:v>
                </c:pt>
                <c:pt idx="404">
                  <c:v>587.461124033914</c:v>
                </c:pt>
                <c:pt idx="405">
                  <c:v>603.976277161297</c:v>
                </c:pt>
                <c:pt idx="406">
                  <c:v>620.258074828367</c:v>
                </c:pt>
                <c:pt idx="407">
                  <c:v>636.310481153894</c:v>
                </c:pt>
                <c:pt idx="408">
                  <c:v>652.137329365098</c:v>
                </c:pt>
                <c:pt idx="409">
                  <c:v>667.74232738213</c:v>
                </c:pt>
                <c:pt idx="410">
                  <c:v>683.129063102546</c:v>
                </c:pt>
                <c:pt idx="411">
                  <c:v>698.301009404979</c:v>
                </c:pt>
                <c:pt idx="412">
                  <c:v>713.261528889775</c:v>
                </c:pt>
                <c:pt idx="413">
                  <c:v>728.013878373066</c:v>
                </c:pt>
                <c:pt idx="414">
                  <c:v>742.561213149541</c:v>
                </c:pt>
                <c:pt idx="415">
                  <c:v>756.906591038096</c:v>
                </c:pt>
                <c:pt idx="416">
                  <c:v>771.052976223531</c:v>
                </c:pt>
                <c:pt idx="417">
                  <c:v>785.003242906522</c:v>
                </c:pt>
                <c:pt idx="418">
                  <c:v>798.760178773266</c:v>
                </c:pt>
                <c:pt idx="419">
                  <c:v>812.326488295387</c:v>
                </c:pt>
                <c:pt idx="420">
                  <c:v>825.704795869996</c:v>
                </c:pt>
                <c:pt idx="421">
                  <c:v>838.897648809097</c:v>
                </c:pt>
                <c:pt idx="422">
                  <c:v>851.907520186954</c:v>
                </c:pt>
                <c:pt idx="423">
                  <c:v>864.736811553414</c:v>
                </c:pt>
                <c:pt idx="424">
                  <c:v>877.387855520712</c:v>
                </c:pt>
                <c:pt idx="425">
                  <c:v>889.862918230744</c:v>
                </c:pt>
                <c:pt idx="426">
                  <c:v>902.164201709387</c:v>
                </c:pt>
                <c:pt idx="427">
                  <c:v>914.29384611398</c:v>
                </c:pt>
                <c:pt idx="428">
                  <c:v>926.253931879745</c:v>
                </c:pt>
                <c:pt idx="429">
                  <c:v>938.04648177052</c:v>
                </c:pt>
                <c:pt idx="430">
                  <c:v>949.673462838862</c:v>
                </c:pt>
                <c:pt idx="431">
                  <c:v>961.13678830028</c:v>
                </c:pt>
                <c:pt idx="432">
                  <c:v>972.438319326032</c:v>
                </c:pt>
                <c:pt idx="433">
                  <c:v>983.579866758694</c:v>
                </c:pt>
                <c:pt idx="434">
                  <c:v>994.563192754425</c:v>
                </c:pt>
                <c:pt idx="435">
                  <c:v>1005.39001235563</c:v>
                </c:pt>
                <c:pt idx="436">
                  <c:v>1016.06199499751</c:v>
                </c:pt>
                <c:pt idx="437">
                  <c:v>1026.58076595179</c:v>
                </c:pt>
                <c:pt idx="438">
                  <c:v>1036.94790771068</c:v>
                </c:pt>
                <c:pt idx="439">
                  <c:v>1047.16496131404</c:v>
                </c:pt>
                <c:pt idx="440">
                  <c:v>1057.23342762243</c:v>
                </c:pt>
                <c:pt idx="441">
                  <c:v>1067.15476853871</c:v>
                </c:pt>
                <c:pt idx="442">
                  <c:v>1076.9304081806</c:v>
                </c:pt>
                <c:pt idx="443">
                  <c:v>1086.56173400643</c:v>
                </c:pt>
                <c:pt idx="444">
                  <c:v>1096.05009789652</c:v>
                </c:pt>
                <c:pt idx="445">
                  <c:v>1105.39681719191</c:v>
                </c:pt>
                <c:pt idx="446">
                  <c:v>1114.60317569265</c:v>
                </c:pt>
                <c:pt idx="447">
                  <c:v>1123.67042461744</c:v>
                </c:pt>
                <c:pt idx="448">
                  <c:v>1132.59978352632</c:v>
                </c:pt>
                <c:pt idx="449">
                  <c:v>1141.39244120804</c:v>
                </c:pt>
                <c:pt idx="450">
                  <c:v>1150.04955653388</c:v>
                </c:pt>
                <c:pt idx="451">
                  <c:v>1158.57225927911</c:v>
                </c:pt>
                <c:pt idx="452">
                  <c:v>1166.96165091378</c:v>
                </c:pt>
                <c:pt idx="453">
                  <c:v>1175.21880536399</c:v>
                </c:pt>
                <c:pt idx="454">
                  <c:v>1183.34476974504</c:v>
                </c:pt>
                <c:pt idx="455">
                  <c:v>1191.34056506756</c:v>
                </c:pt>
                <c:pt idx="456">
                  <c:v>1199.20718691783</c:v>
                </c:pt>
                <c:pt idx="457">
                  <c:v>1206.94560611347</c:v>
                </c:pt>
                <c:pt idx="458">
                  <c:v>1214.55676933526</c:v>
                </c:pt>
                <c:pt idx="459">
                  <c:v>1222.04159973646</c:v>
                </c:pt>
                <c:pt idx="460">
                  <c:v>1229.40099753023</c:v>
                </c:pt>
                <c:pt idx="461">
                  <c:v>1236.63584055626</c:v>
                </c:pt>
                <c:pt idx="462">
                  <c:v>1243.74698482738</c:v>
                </c:pt>
                <c:pt idx="463">
                  <c:v>1250.73526505695</c:v>
                </c:pt>
                <c:pt idx="464">
                  <c:v>1257.60149516792</c:v>
                </c:pt>
                <c:pt idx="465">
                  <c:v>1264.3464687841</c:v>
                </c:pt>
                <c:pt idx="466">
                  <c:v>1270.97095970457</c:v>
                </c:pt>
                <c:pt idx="467">
                  <c:v>1277.47572236175</c:v>
                </c:pt>
                <c:pt idx="468">
                  <c:v>1283.8614922639</c:v>
                </c:pt>
                <c:pt idx="469">
                  <c:v>1290.1289864225</c:v>
                </c:pt>
                <c:pt idx="470">
                  <c:v>1296.27890376534</c:v>
                </c:pt>
                <c:pt idx="471">
                  <c:v>1302.31192553567</c:v>
                </c:pt>
                <c:pt idx="472">
                  <c:v>1308.22871567811</c:v>
                </c:pt>
                <c:pt idx="473">
                  <c:v>1314.02992121177</c:v>
                </c:pt>
                <c:pt idx="474">
                  <c:v>1319.71617259112</c:v>
                </c:pt>
                <c:pt idx="475">
                  <c:v>1325.28808405511</c:v>
                </c:pt>
                <c:pt idx="476">
                  <c:v>1330.74625396496</c:v>
                </c:pt>
                <c:pt idx="477">
                  <c:v>1336.09126513115</c:v>
                </c:pt>
                <c:pt idx="478">
                  <c:v>1341.32368513</c:v>
                </c:pt>
                <c:pt idx="479">
                  <c:v>1346.44406661033</c:v>
                </c:pt>
                <c:pt idx="480">
                  <c:v>1351.45294759054</c:v>
                </c:pt>
                <c:pt idx="481">
                  <c:v>1356.3508517466</c:v>
                </c:pt>
                <c:pt idx="482">
                  <c:v>1361.13828869131</c:v>
                </c:pt>
                <c:pt idx="483">
                  <c:v>1365.81575424524</c:v>
                </c:pt>
                <c:pt idx="484">
                  <c:v>1370.38373069974</c:v>
                </c:pt>
                <c:pt idx="485">
                  <c:v>1374.8426870724</c:v>
                </c:pt>
                <c:pt idx="486">
                  <c:v>1379.19307935538</c:v>
                </c:pt>
                <c:pt idx="487">
                  <c:v>1383.43535075694</c:v>
                </c:pt>
                <c:pt idx="488">
                  <c:v>1387.5699319366</c:v>
                </c:pt>
                <c:pt idx="489">
                  <c:v>1391.59724123428</c:v>
                </c:pt>
                <c:pt idx="490">
                  <c:v>1395.51768489392</c:v>
                </c:pt>
                <c:pt idx="491">
                  <c:v>1399.33165728179</c:v>
                </c:pt>
                <c:pt idx="492">
                  <c:v>1403.03954110011</c:v>
                </c:pt>
                <c:pt idx="493">
                  <c:v>1406.64170759628</c:v>
                </c:pt>
                <c:pt idx="494">
                  <c:v>1410.13851676822</c:v>
                </c:pt>
                <c:pt idx="495">
                  <c:v>1413.53031756616</c:v>
                </c:pt>
                <c:pt idx="496">
                  <c:v>1416.81744809161</c:v>
                </c:pt>
                <c:pt idx="497">
                  <c:v>1420.00023579371</c:v>
                </c:pt>
                <c:pt idx="498">
                  <c:v>1423.0789976637</c:v>
                </c:pt>
                <c:pt idx="499">
                  <c:v>1426.05404042801</c:v>
                </c:pt>
                <c:pt idx="500">
                  <c:v>1428.92566074053</c:v>
                </c:pt>
                <c:pt idx="501">
                  <c:v>1431.69414537473</c:v>
                </c:pt>
                <c:pt idx="502">
                  <c:v>1434.35977141632</c:v>
                </c:pt>
                <c:pt idx="503">
                  <c:v>1436.92280645707</c:v>
                </c:pt>
                <c:pt idx="504">
                  <c:v>1439.38350879069</c:v>
                </c:pt>
                <c:pt idx="505">
                  <c:v>1441.74212761151</c:v>
                </c:pt>
                <c:pt idx="506">
                  <c:v>1443.99890321673</c:v>
                </c:pt>
                <c:pt idx="507">
                  <c:v>1446.15406721341</c:v>
                </c:pt>
                <c:pt idx="508">
                  <c:v>1448.20784273087</c:v>
                </c:pt>
                <c:pt idx="509">
                  <c:v>1450.1604446397</c:v>
                </c:pt>
                <c:pt idx="510">
                  <c:v>1452.01207977844</c:v>
                </c:pt>
                <c:pt idx="511">
                  <c:v>1453.76294718888</c:v>
                </c:pt>
                <c:pt idx="512">
                  <c:v>1455.41323836126</c:v>
                </c:pt>
                <c:pt idx="513">
                  <c:v>1456.96313749045</c:v>
                </c:pt>
                <c:pt idx="514">
                  <c:v>1458.41282174416</c:v>
                </c:pt>
                <c:pt idx="515">
                  <c:v>1459.7624615444</c:v>
                </c:pt>
                <c:pt idx="516">
                  <c:v>1461.01222086315</c:v>
                </c:pt>
                <c:pt idx="517">
                  <c:v>1462.16225753319</c:v>
                </c:pt>
                <c:pt idx="518">
                  <c:v>1463.21272357493</c:v>
                </c:pt>
                <c:pt idx="519">
                  <c:v>1464.16376553986</c:v>
                </c:pt>
                <c:pt idx="520">
                  <c:v>1465.01552487109</c:v>
                </c:pt>
                <c:pt idx="521">
                  <c:v>1465.76813828109</c:v>
                </c:pt>
                <c:pt idx="522">
                  <c:v>1466.42173814652</c:v>
                </c:pt>
                <c:pt idx="523">
                  <c:v>1466.97645291975</c:v>
                </c:pt>
                <c:pt idx="524">
                  <c:v>1467.43240755602</c:v>
                </c:pt>
                <c:pt idx="525">
                  <c:v>1467.78972395522</c:v>
                </c:pt>
                <c:pt idx="526">
                  <c:v>1468.04852141647</c:v>
                </c:pt>
                <c:pt idx="527">
                  <c:v>1468.20891710357</c:v>
                </c:pt>
                <c:pt idx="528">
                  <c:v>1468.27102651883</c:v>
                </c:pt>
                <c:pt idx="529">
                  <c:v>1468.23496398257</c:v>
                </c:pt>
                <c:pt idx="530">
                  <c:v>1468.10084311547</c:v>
                </c:pt>
                <c:pt idx="531">
                  <c:v>1467.86877732031</c:v>
                </c:pt>
                <c:pt idx="532">
                  <c:v>1467.53888026027</c:v>
                </c:pt>
                <c:pt idx="533">
                  <c:v>1467.11126633019</c:v>
                </c:pt>
                <c:pt idx="534">
                  <c:v>1466.58605111802</c:v>
                </c:pt>
                <c:pt idx="535">
                  <c:v>1465.96335185332</c:v>
                </c:pt>
                <c:pt idx="536">
                  <c:v>1465.2432878402</c:v>
                </c:pt>
                <c:pt idx="537">
                  <c:v>1464.42598087253</c:v>
                </c:pt>
                <c:pt idx="538">
                  <c:v>1463.51155562929</c:v>
                </c:pt>
                <c:pt idx="539">
                  <c:v>1462.50014004868</c:v>
                </c:pt>
                <c:pt idx="540">
                  <c:v>1461.39186567972</c:v>
                </c:pt>
                <c:pt idx="541">
                  <c:v>1460.18686801067</c:v>
                </c:pt>
                <c:pt idx="542">
                  <c:v>1458.88528677394</c:v>
                </c:pt>
                <c:pt idx="543">
                  <c:v>1457.48726622733</c:v>
                </c:pt>
                <c:pt idx="544">
                  <c:v>1455.99295541192</c:v>
                </c:pt>
                <c:pt idx="545">
                  <c:v>1454.40250838716</c:v>
                </c:pt>
                <c:pt idx="546">
                  <c:v>1452.71608444375</c:v>
                </c:pt>
                <c:pt idx="547">
                  <c:v>1450.93384829522</c:v>
                </c:pt>
                <c:pt idx="548">
                  <c:v>1449.0559702493</c:v>
                </c:pt>
                <c:pt idx="549">
                  <c:v>1447.08262635987</c:v>
                </c:pt>
                <c:pt idx="550">
                  <c:v>1445.01399856081</c:v>
                </c:pt>
                <c:pt idx="551">
                  <c:v>1442.85027478285</c:v>
                </c:pt>
                <c:pt idx="552">
                  <c:v>1440.59164905434</c:v>
                </c:pt>
                <c:pt idx="553">
                  <c:v>1438.23832158725</c:v>
                </c:pt>
                <c:pt idx="554">
                  <c:v>1435.79049884932</c:v>
                </c:pt>
                <c:pt idx="555">
                  <c:v>1433.24839362339</c:v>
                </c:pt>
                <c:pt idx="556">
                  <c:v>1430.61222505487</c:v>
                </c:pt>
                <c:pt idx="557">
                  <c:v>1427.88221868822</c:v>
                </c:pt>
                <c:pt idx="558">
                  <c:v>1425.05860649334</c:v>
                </c:pt>
                <c:pt idx="559">
                  <c:v>1422.14162688253</c:v>
                </c:pt>
                <c:pt idx="560">
                  <c:v>1419.13152471887</c:v>
                </c:pt>
                <c:pt idx="561">
                  <c:v>1416.0285513166</c:v>
                </c:pt>
                <c:pt idx="562">
                  <c:v>1412.83296443412</c:v>
                </c:pt>
                <c:pt idx="563">
                  <c:v>1409.54502826015</c:v>
                </c:pt>
                <c:pt idx="564">
                  <c:v>1406.16501339372</c:v>
                </c:pt>
                <c:pt idx="565">
                  <c:v>1402.69319681818</c:v>
                </c:pt>
                <c:pt idx="566">
                  <c:v>1399.12986186992</c:v>
                </c:pt>
                <c:pt idx="567">
                  <c:v>1395.47529820205</c:v>
                </c:pt>
                <c:pt idx="568">
                  <c:v>1391.72980174344</c:v>
                </c:pt>
                <c:pt idx="569">
                  <c:v>1387.89367465347</c:v>
                </c:pt>
                <c:pt idx="570">
                  <c:v>1383.96722527276</c:v>
                </c:pt>
                <c:pt idx="571">
                  <c:v>1379.95076807015</c:v>
                </c:pt>
                <c:pt idx="572">
                  <c:v>1375.84462358623</c:v>
                </c:pt>
                <c:pt idx="573">
                  <c:v>1371.64911837363</c:v>
                </c:pt>
                <c:pt idx="574">
                  <c:v>1367.36458493421</c:v>
                </c:pt>
                <c:pt idx="575">
                  <c:v>1362.99136165352</c:v>
                </c:pt>
                <c:pt idx="576">
                  <c:v>1358.52979273258</c:v>
                </c:pt>
                <c:pt idx="577">
                  <c:v>1353.98022811707</c:v>
                </c:pt>
                <c:pt idx="578">
                  <c:v>1349.34302342442</c:v>
                </c:pt>
                <c:pt idx="579">
                  <c:v>1344.6185398685</c:v>
                </c:pt>
                <c:pt idx="580">
                  <c:v>1339.80714418241</c:v>
                </c:pt>
                <c:pt idx="581">
                  <c:v>1334.90920853935</c:v>
                </c:pt>
                <c:pt idx="582">
                  <c:v>1329.92511047161</c:v>
                </c:pt>
                <c:pt idx="583">
                  <c:v>1324.85523278801</c:v>
                </c:pt>
                <c:pt idx="584">
                  <c:v>1319.69996348968</c:v>
                </c:pt>
                <c:pt idx="585">
                  <c:v>1314.4596956844</c:v>
                </c:pt>
                <c:pt idx="586">
                  <c:v>1309.1348274996</c:v>
                </c:pt>
                <c:pt idx="587">
                  <c:v>1303.72576199401</c:v>
                </c:pt>
                <c:pt idx="588">
                  <c:v>1298.23290706814</c:v>
                </c:pt>
                <c:pt idx="589">
                  <c:v>1292.65667537374</c:v>
                </c:pt>
                <c:pt idx="590">
                  <c:v>1286.99748422204</c:v>
                </c:pt>
                <c:pt idx="591">
                  <c:v>1281.25575549121</c:v>
                </c:pt>
                <c:pt idx="592">
                  <c:v>1275.43191553285</c:v>
                </c:pt>
                <c:pt idx="593">
                  <c:v>1269.52639507765</c:v>
                </c:pt>
                <c:pt idx="594">
                  <c:v>1263.53962914035</c:v>
                </c:pt>
                <c:pt idx="595">
                  <c:v>1257.472056924</c:v>
                </c:pt>
                <c:pt idx="596">
                  <c:v>1251.32412172357</c:v>
                </c:pt>
                <c:pt idx="597">
                  <c:v>1245.09627082908</c:v>
                </c:pt>
                <c:pt idx="598">
                  <c:v>1238.78895542813</c:v>
                </c:pt>
                <c:pt idx="599">
                  <c:v>1232.40263050806</c:v>
                </c:pt>
                <c:pt idx="600">
                  <c:v>1225.9377547577</c:v>
                </c:pt>
                <c:pt idx="601">
                  <c:v>1219.3947904688</c:v>
                </c:pt>
                <c:pt idx="602">
                  <c:v>1212.77420343716</c:v>
                </c:pt>
                <c:pt idx="603">
                  <c:v>1206.07646286358</c:v>
                </c:pt>
                <c:pt idx="604">
                  <c:v>1199.30204125453</c:v>
                </c:pt>
                <c:pt idx="605">
                  <c:v>1192.45141432287</c:v>
                </c:pt>
                <c:pt idx="606">
                  <c:v>1185.52506088827</c:v>
                </c:pt>
                <c:pt idx="607">
                  <c:v>1178.52346277779</c:v>
                </c:pt>
                <c:pt idx="608">
                  <c:v>1171.44710472639</c:v>
                </c:pt>
                <c:pt idx="609">
                  <c:v>1164.29647427745</c:v>
                </c:pt>
                <c:pt idx="610">
                  <c:v>1157.0720616835</c:v>
                </c:pt>
                <c:pt idx="611">
                  <c:v>1149.77435980699</c:v>
                </c:pt>
                <c:pt idx="612">
                  <c:v>1142.40386402133</c:v>
                </c:pt>
                <c:pt idx="613">
                  <c:v>1134.96107211209</c:v>
                </c:pt>
                <c:pt idx="614">
                  <c:v>1127.44648417848</c:v>
                </c:pt>
                <c:pt idx="615">
                  <c:v>1119.86060253517</c:v>
                </c:pt>
                <c:pt idx="616">
                  <c:v>1112.20393161441</c:v>
                </c:pt>
                <c:pt idx="617">
                  <c:v>1104.47697786853</c:v>
                </c:pt>
                <c:pt idx="618">
                  <c:v>1096.68024967288</c:v>
                </c:pt>
                <c:pt idx="619">
                  <c:v>1088.81425722916</c:v>
                </c:pt>
                <c:pt idx="620">
                  <c:v>1080.87951246934</c:v>
                </c:pt>
                <c:pt idx="621">
                  <c:v>1072.87652895995</c:v>
                </c:pt>
                <c:pt idx="622">
                  <c:v>1064.80582180704</c:v>
                </c:pt>
                <c:pt idx="623">
                  <c:v>1056.66790756166</c:v>
                </c:pt>
                <c:pt idx="624">
                  <c:v>1048.46330412594</c:v>
                </c:pt>
                <c:pt idx="625">
                  <c:v>1040.19253065983</c:v>
                </c:pt>
                <c:pt idx="626">
                  <c:v>1031.85610748854</c:v>
                </c:pt>
                <c:pt idx="627">
                  <c:v>1023.45455601056</c:v>
                </c:pt>
                <c:pt idx="628">
                  <c:v>1014.98839860653</c:v>
                </c:pt>
                <c:pt idx="629">
                  <c:v>1006.45815854882</c:v>
                </c:pt>
                <c:pt idx="630">
                  <c:v>997.864359911785</c:v>
                </c:pt>
                <c:pt idx="631">
                  <c:v>989.207527482981</c:v>
                </c:pt>
                <c:pt idx="632">
                  <c:v>980.488186675064</c:v>
                </c:pt>
                <c:pt idx="633">
                  <c:v>971.706863438598</c:v>
                </c:pt>
                <c:pt idx="634">
                  <c:v>962.864084175715</c:v>
                </c:pt>
                <c:pt idx="635">
                  <c:v>953.960375654654</c:v>
                </c:pt>
                <c:pt idx="636">
                  <c:v>944.996264925206</c:v>
                </c:pt>
                <c:pt idx="637">
                  <c:v>935.972279235095</c:v>
                </c:pt>
                <c:pt idx="638">
                  <c:v>926.888945947285</c:v>
                </c:pt>
                <c:pt idx="639">
                  <c:v>917.746792458262</c:v>
                </c:pt>
                <c:pt idx="640">
                  <c:v>908.546346117288</c:v>
                </c:pt>
                <c:pt idx="641">
                  <c:v>899.28813414665</c:v>
                </c:pt>
                <c:pt idx="642">
                  <c:v>889.972683562918</c:v>
                </c:pt>
                <c:pt idx="643">
                  <c:v>880.600521099227</c:v>
                </c:pt>
                <c:pt idx="644">
                  <c:v>871.172173128597</c:v>
                </c:pt>
                <c:pt idx="645">
                  <c:v>861.688165588304</c:v>
                </c:pt>
                <c:pt idx="646">
                  <c:v>852.149023905314</c:v>
                </c:pt>
                <c:pt idx="647">
                  <c:v>842.555272922789</c:v>
                </c:pt>
                <c:pt idx="648">
                  <c:v>832.907436827685</c:v>
                </c:pt>
                <c:pt idx="649">
                  <c:v>823.206039079432</c:v>
                </c:pt>
                <c:pt idx="650">
                  <c:v>813.451602339736</c:v>
                </c:pt>
                <c:pt idx="651">
                  <c:v>803.64464840348</c:v>
                </c:pt>
                <c:pt idx="652">
                  <c:v>793.785698130749</c:v>
                </c:pt>
                <c:pt idx="653">
                  <c:v>783.87527137999</c:v>
                </c:pt>
                <c:pt idx="654">
                  <c:v>773.913886942299</c:v>
                </c:pt>
                <c:pt idx="655">
                  <c:v>763.902062476848</c:v>
                </c:pt>
                <c:pt idx="656">
                  <c:v>753.840314447465</c:v>
                </c:pt>
                <c:pt idx="657">
                  <c:v>743.729158060357</c:v>
                </c:pt>
                <c:pt idx="658">
                  <c:v>733.569107202988</c:v>
                </c:pt>
                <c:pt idx="659">
                  <c:v>723.360674384119</c:v>
                </c:pt>
                <c:pt idx="660">
                  <c:v>713.104370674998</c:v>
                </c:pt>
                <c:pt idx="661">
                  <c:v>702.800705651723</c:v>
                </c:pt>
                <c:pt idx="662">
                  <c:v>692.450187338759</c:v>
                </c:pt>
                <c:pt idx="663">
                  <c:v>682.053322153623</c:v>
                </c:pt>
                <c:pt idx="664">
                  <c:v>671.610614852733</c:v>
                </c:pt>
                <c:pt idx="665">
                  <c:v>661.122568478419</c:v>
                </c:pt>
                <c:pt idx="666">
                  <c:v>650.589684307097</c:v>
                </c:pt>
                <c:pt idx="667">
                  <c:v>640.012461798606</c:v>
                </c:pt>
                <c:pt idx="668">
                  <c:v>629.391398546705</c:v>
                </c:pt>
                <c:pt idx="669">
                  <c:v>618.726990230722</c:v>
                </c:pt>
                <c:pt idx="670">
                  <c:v>608.019730568364</c:v>
                </c:pt>
                <c:pt idx="671">
                  <c:v>597.27011126967</c:v>
                </c:pt>
                <c:pt idx="672">
                  <c:v>586.478621992121</c:v>
                </c:pt>
                <c:pt idx="673">
                  <c:v>575.645750296878</c:v>
                </c:pt>
                <c:pt idx="674">
                  <c:v>564.771981606174</c:v>
                </c:pt>
                <c:pt idx="675">
                  <c:v>553.857799161824</c:v>
                </c:pt>
                <c:pt idx="676">
                  <c:v>542.903683984871</c:v>
                </c:pt>
                <c:pt idx="677">
                  <c:v>531.910114836345</c:v>
                </c:pt>
                <c:pt idx="678">
                  <c:v>520.877568179148</c:v>
                </c:pt>
                <c:pt idx="679">
                  <c:v>509.806518141028</c:v>
                </c:pt>
                <c:pt idx="680">
                  <c:v>498.697436478672</c:v>
                </c:pt>
                <c:pt idx="681">
                  <c:v>487.55079254288</c:v>
                </c:pt>
                <c:pt idx="682">
                  <c:v>476.367053244825</c:v>
                </c:pt>
                <c:pt idx="683">
                  <c:v>465.146683023392</c:v>
                </c:pt>
                <c:pt idx="684">
                  <c:v>453.890143813586</c:v>
                </c:pt>
                <c:pt idx="685">
                  <c:v>442.59789501599</c:v>
                </c:pt>
                <c:pt idx="686">
                  <c:v>431.270393467287</c:v>
                </c:pt>
                <c:pt idx="687">
                  <c:v>419.908093411806</c:v>
                </c:pt>
                <c:pt idx="688">
                  <c:v>408.511446474114</c:v>
                </c:pt>
                <c:pt idx="689">
                  <c:v>397.080901632617</c:v>
                </c:pt>
                <c:pt idx="690">
                  <c:v>385.616905194179</c:v>
                </c:pt>
                <c:pt idx="691">
                  <c:v>374.119900769733</c:v>
                </c:pt>
                <c:pt idx="692">
                  <c:v>362.59032925089</c:v>
                </c:pt>
                <c:pt idx="693">
                  <c:v>351.028628787522</c:v>
                </c:pt>
                <c:pt idx="694">
                  <c:v>339.43523476631</c:v>
                </c:pt>
                <c:pt idx="695">
                  <c:v>327.810579790254</c:v>
                </c:pt>
                <c:pt idx="696">
                  <c:v>316.155093659119</c:v>
                </c:pt>
                <c:pt idx="697">
                  <c:v>304.469203350827</c:v>
                </c:pt>
                <c:pt idx="698">
                  <c:v>292.753333003753</c:v>
                </c:pt>
                <c:pt idx="699">
                  <c:v>281.007903899948</c:v>
                </c:pt>
                <c:pt idx="700">
                  <c:v>269.233334449244</c:v>
                </c:pt>
                <c:pt idx="701">
                  <c:v>257.430040174258</c:v>
                </c:pt>
                <c:pt idx="702">
                  <c:v>245.598433696256</c:v>
                </c:pt>
                <c:pt idx="703">
                  <c:v>233.738924721883</c:v>
                </c:pt>
                <c:pt idx="704">
                  <c:v>221.851920030746</c:v>
                </c:pt>
                <c:pt idx="705">
                  <c:v>209.937823463824</c:v>
                </c:pt>
                <c:pt idx="706">
                  <c:v>197.997035912704</c:v>
                </c:pt>
                <c:pt idx="707">
                  <c:v>186.029955309629</c:v>
                </c:pt>
                <c:pt idx="708">
                  <c:v>174.03697661834</c:v>
                </c:pt>
                <c:pt idx="709">
                  <c:v>162.018491825703</c:v>
                </c:pt>
                <c:pt idx="710">
                  <c:v>149.97488993411</c:v>
                </c:pt>
                <c:pt idx="711">
                  <c:v>137.906556954638</c:v>
                </c:pt>
                <c:pt idx="712">
                  <c:v>125.813875900948</c:v>
                </c:pt>
                <c:pt idx="713">
                  <c:v>113.697226783927</c:v>
                </c:pt>
                <c:pt idx="714">
                  <c:v>101.55698660704</c:v>
                </c:pt>
                <c:pt idx="715">
                  <c:v>89.3935293623948</c:v>
                </c:pt>
                <c:pt idx="716">
                  <c:v>77.2072260275001</c:v>
                </c:pt>
                <c:pt idx="717">
                  <c:v>64.9984445627005</c:v>
                </c:pt>
                <c:pt idx="718">
                  <c:v>52.7675499092845</c:v>
                </c:pt>
                <c:pt idx="719">
                  <c:v>40.5149039882447</c:v>
                </c:pt>
                <c:pt idx="720">
                  <c:v>28.2408656996809</c:v>
                </c:pt>
                <c:pt idx="721">
                  <c:v>15.945790922833</c:v>
                </c:pt>
                <c:pt idx="722">
                  <c:v>3.63003251672989</c:v>
                </c:pt>
                <c:pt idx="723">
                  <c:v>-8.70605967855783</c:v>
                </c:pt>
                <c:pt idx="724">
                  <c:v>-8.71840586047211</c:v>
                </c:pt>
                <c:pt idx="725">
                  <c:v>-8.73075206220054</c:v>
                </c:pt>
                <c:pt idx="726">
                  <c:v>-8.74309828374276</c:v>
                </c:pt>
                <c:pt idx="727">
                  <c:v>-8.75544452509844</c:v>
                </c:pt>
                <c:pt idx="728">
                  <c:v>-8.76779078626723</c:v>
                </c:pt>
                <c:pt idx="729">
                  <c:v>-8.7801370672488</c:v>
                </c:pt>
                <c:pt idx="730">
                  <c:v>-8.79248336804279</c:v>
                </c:pt>
                <c:pt idx="731">
                  <c:v>-8.80482968864887</c:v>
                </c:pt>
                <c:pt idx="732">
                  <c:v>-8.8171760290667</c:v>
                </c:pt>
                <c:pt idx="733">
                  <c:v>-8.82952238929593</c:v>
                </c:pt>
                <c:pt idx="734">
                  <c:v>-8.84186876933622</c:v>
                </c:pt>
                <c:pt idx="735">
                  <c:v>-8.85421516918724</c:v>
                </c:pt>
                <c:pt idx="736">
                  <c:v>-8.86656158884864</c:v>
                </c:pt>
                <c:pt idx="737">
                  <c:v>-8.87890802832007</c:v>
                </c:pt>
                <c:pt idx="738">
                  <c:v>-8.8912544876012</c:v>
                </c:pt>
                <c:pt idx="739">
                  <c:v>-8.90360096669169</c:v>
                </c:pt>
                <c:pt idx="740">
                  <c:v>-8.91594746559119</c:v>
                </c:pt>
                <c:pt idx="741">
                  <c:v>-8.92829398429936</c:v>
                </c:pt>
                <c:pt idx="742">
                  <c:v>-8.94064052281587</c:v>
                </c:pt>
                <c:pt idx="743">
                  <c:v>-8.95298708114036</c:v>
                </c:pt>
                <c:pt idx="744">
                  <c:v>-8.9653336592725</c:v>
                </c:pt>
                <c:pt idx="745">
                  <c:v>-8.97768025721194</c:v>
                </c:pt>
                <c:pt idx="746">
                  <c:v>-8.99002687495835</c:v>
                </c:pt>
                <c:pt idx="747">
                  <c:v>-9.00237351251138</c:v>
                </c:pt>
                <c:pt idx="748">
                  <c:v>-9.0147201698707</c:v>
                </c:pt>
                <c:pt idx="749">
                  <c:v>-9.02706684703595</c:v>
                </c:pt>
                <c:pt idx="750">
                  <c:v>-9.0394135440068</c:v>
                </c:pt>
                <c:pt idx="751">
                  <c:v>-9.0517602607829</c:v>
                </c:pt>
                <c:pt idx="752">
                  <c:v>-9.06410699736392</c:v>
                </c:pt>
                <c:pt idx="753">
                  <c:v>-9.07645375374952</c:v>
                </c:pt>
                <c:pt idx="754">
                  <c:v>-9.08880052993934</c:v>
                </c:pt>
                <c:pt idx="755">
                  <c:v>-9.10114732593305</c:v>
                </c:pt>
                <c:pt idx="756">
                  <c:v>-9.11349414173032</c:v>
                </c:pt>
                <c:pt idx="757">
                  <c:v>-9.12584097733079</c:v>
                </c:pt>
                <c:pt idx="758">
                  <c:v>-9.13818783273412</c:v>
                </c:pt>
                <c:pt idx="759">
                  <c:v>-9.15053470793998</c:v>
                </c:pt>
                <c:pt idx="760">
                  <c:v>-9.16288160294802</c:v>
                </c:pt>
                <c:pt idx="761">
                  <c:v>-9.1752285177579</c:v>
                </c:pt>
                <c:pt idx="762">
                  <c:v>-9.18757545236928</c:v>
                </c:pt>
                <c:pt idx="763">
                  <c:v>-9.19992240678182</c:v>
                </c:pt>
                <c:pt idx="764">
                  <c:v>-9.21226938099518</c:v>
                </c:pt>
                <c:pt idx="765">
                  <c:v>-9.224616375009</c:v>
                </c:pt>
                <c:pt idx="766">
                  <c:v>-9.23696338882297</c:v>
                </c:pt>
                <c:pt idx="767">
                  <c:v>-9.24931042243672</c:v>
                </c:pt>
                <c:pt idx="768">
                  <c:v>-9.26165747584992</c:v>
                </c:pt>
                <c:pt idx="769">
                  <c:v>-9.27400454906223</c:v>
                </c:pt>
                <c:pt idx="770">
                  <c:v>-9.28635164207331</c:v>
                </c:pt>
                <c:pt idx="771">
                  <c:v>-9.29869875488282</c:v>
                </c:pt>
                <c:pt idx="772">
                  <c:v>-9.3110458874904</c:v>
                </c:pt>
                <c:pt idx="773">
                  <c:v>-9.32339303989573</c:v>
                </c:pt>
                <c:pt idx="774">
                  <c:v>-9.33574021209846</c:v>
                </c:pt>
                <c:pt idx="775">
                  <c:v>-9.34808740409825</c:v>
                </c:pt>
                <c:pt idx="776">
                  <c:v>-9.36043461589476</c:v>
                </c:pt>
                <c:pt idx="777">
                  <c:v>-9.37278184748765</c:v>
                </c:pt>
                <c:pt idx="778">
                  <c:v>-9.38512909887657</c:v>
                </c:pt>
                <c:pt idx="779">
                  <c:v>-9.39747637006118</c:v>
                </c:pt>
                <c:pt idx="780">
                  <c:v>-9.40982366104115</c:v>
                </c:pt>
                <c:pt idx="781">
                  <c:v>-9.42217097181612</c:v>
                </c:pt>
                <c:pt idx="782">
                  <c:v>-9.43451830238577</c:v>
                </c:pt>
                <c:pt idx="783">
                  <c:v>-9.44686565274974</c:v>
                </c:pt>
                <c:pt idx="784">
                  <c:v>-9.4592130229077</c:v>
                </c:pt>
                <c:pt idx="785">
                  <c:v>-9.4715604128593</c:v>
                </c:pt>
                <c:pt idx="786">
                  <c:v>-9.4839078226042</c:v>
                </c:pt>
                <c:pt idx="787">
                  <c:v>-9.49625525214207</c:v>
                </c:pt>
                <c:pt idx="788">
                  <c:v>-9.50860270147256</c:v>
                </c:pt>
                <c:pt idx="789">
                  <c:v>-9.52095017059532</c:v>
                </c:pt>
                <c:pt idx="790">
                  <c:v>-9.53329765951003</c:v>
                </c:pt>
                <c:pt idx="791">
                  <c:v>-9.54564516821633</c:v>
                </c:pt>
                <c:pt idx="792">
                  <c:v>-9.55799269671388</c:v>
                </c:pt>
                <c:pt idx="793">
                  <c:v>-9.57034024500235</c:v>
                </c:pt>
                <c:pt idx="794">
                  <c:v>-9.58268781308139</c:v>
                </c:pt>
                <c:pt idx="795">
                  <c:v>-9.59503540095066</c:v>
                </c:pt>
                <c:pt idx="796">
                  <c:v>-9.60738300860981</c:v>
                </c:pt>
                <c:pt idx="797">
                  <c:v>-9.61973063605852</c:v>
                </c:pt>
                <c:pt idx="798">
                  <c:v>-9.63207828329643</c:v>
                </c:pt>
                <c:pt idx="799">
                  <c:v>-9.6444259503232</c:v>
                </c:pt>
                <c:pt idx="800">
                  <c:v>-9.6567736371385</c:v>
                </c:pt>
                <c:pt idx="801">
                  <c:v>-9.66912134374197</c:v>
                </c:pt>
                <c:pt idx="802">
                  <c:v>-9.68146907013329</c:v>
                </c:pt>
                <c:pt idx="803">
                  <c:v>-9.69381681631211</c:v>
                </c:pt>
                <c:pt idx="804">
                  <c:v>-9.70616458227809</c:v>
                </c:pt>
                <c:pt idx="805">
                  <c:v>-9.71851236803088</c:v>
                </c:pt>
                <c:pt idx="806">
                  <c:v>-9.73086017357014</c:v>
                </c:pt>
                <c:pt idx="807">
                  <c:v>-9.74320799889554</c:v>
                </c:pt>
                <c:pt idx="808">
                  <c:v>-9.75555584400673</c:v>
                </c:pt>
                <c:pt idx="809">
                  <c:v>-9.76790370890337</c:v>
                </c:pt>
                <c:pt idx="810">
                  <c:v>-9.78025159358512</c:v>
                </c:pt>
                <c:pt idx="811">
                  <c:v>-9.79259949805163</c:v>
                </c:pt>
                <c:pt idx="812">
                  <c:v>-9.80494742230258</c:v>
                </c:pt>
                <c:pt idx="813">
                  <c:v>-9.8172953663376</c:v>
                </c:pt>
                <c:pt idx="814">
                  <c:v>-9.82964333015637</c:v>
                </c:pt>
                <c:pt idx="815">
                  <c:v>-9.84199131375855</c:v>
                </c:pt>
                <c:pt idx="816">
                  <c:v>-9.85433931714378</c:v>
                </c:pt>
                <c:pt idx="817">
                  <c:v>-9.86668734031173</c:v>
                </c:pt>
                <c:pt idx="818">
                  <c:v>-9.87903538326206</c:v>
                </c:pt>
                <c:pt idx="819">
                  <c:v>-9.89138344599443</c:v>
                </c:pt>
                <c:pt idx="820">
                  <c:v>-9.90373152850849</c:v>
                </c:pt>
                <c:pt idx="821">
                  <c:v>-9.9160796308039</c:v>
                </c:pt>
                <c:pt idx="822">
                  <c:v>-9.92842775288033</c:v>
                </c:pt>
                <c:pt idx="823">
                  <c:v>-9.94077589473742</c:v>
                </c:pt>
                <c:pt idx="824">
                  <c:v>-9.95312405637485</c:v>
                </c:pt>
                <c:pt idx="825">
                  <c:v>-9.96547223779227</c:v>
                </c:pt>
                <c:pt idx="826">
                  <c:v>-9.97782043898933</c:v>
                </c:pt>
                <c:pt idx="827">
                  <c:v>-9.9901686599657</c:v>
                </c:pt>
                <c:pt idx="828">
                  <c:v>-10.002516900721</c:v>
                </c:pt>
                <c:pt idx="829">
                  <c:v>-10.014865161255</c:v>
                </c:pt>
                <c:pt idx="830">
                  <c:v>-10.0272134415672</c:v>
                </c:pt>
                <c:pt idx="831">
                  <c:v>-10.0395617416574</c:v>
                </c:pt>
                <c:pt idx="832">
                  <c:v>-10.0519100615252</c:v>
                </c:pt>
                <c:pt idx="833">
                  <c:v>-10.0642584011702</c:v>
                </c:pt>
                <c:pt idx="834">
                  <c:v>-10.0766067605922</c:v>
                </c:pt>
                <c:pt idx="835">
                  <c:v>-10.0889551397907</c:v>
                </c:pt>
                <c:pt idx="836">
                  <c:v>-10.1013035387655</c:v>
                </c:pt>
                <c:pt idx="837">
                  <c:v>-10.1136519575161</c:v>
                </c:pt>
                <c:pt idx="838">
                  <c:v>-10.1260003960423</c:v>
                </c:pt>
                <c:pt idx="839">
                  <c:v>-10.1383488543437</c:v>
                </c:pt>
                <c:pt idx="840">
                  <c:v>-10.15069733242</c:v>
                </c:pt>
                <c:pt idx="841">
                  <c:v>-10.1630458302708</c:v>
                </c:pt>
                <c:pt idx="842">
                  <c:v>-10.1753943478958</c:v>
                </c:pt>
                <c:pt idx="843">
                  <c:v>-10.1877428852946</c:v>
                </c:pt>
                <c:pt idx="844">
                  <c:v>-10.200091442467</c:v>
                </c:pt>
                <c:pt idx="845">
                  <c:v>-10.2124400194125</c:v>
                </c:pt>
                <c:pt idx="846">
                  <c:v>-10.2247886161308</c:v>
                </c:pt>
                <c:pt idx="847">
                  <c:v>-10.2371372326216</c:v>
                </c:pt>
                <c:pt idx="848">
                  <c:v>-10.2494858688846</c:v>
                </c:pt>
                <c:pt idx="849">
                  <c:v>-10.2618345249193</c:v>
                </c:pt>
                <c:pt idx="850">
                  <c:v>-10.2741832007255</c:v>
                </c:pt>
                <c:pt idx="851">
                  <c:v>-10.2865318963028</c:v>
                </c:pt>
                <c:pt idx="852">
                  <c:v>-10.2988806116509</c:v>
                </c:pt>
                <c:pt idx="853">
                  <c:v>-10.3112293467694</c:v>
                </c:pt>
                <c:pt idx="854">
                  <c:v>-10.323578101658</c:v>
                </c:pt>
                <c:pt idx="855">
                  <c:v>-10.3359268763164</c:v>
                </c:pt>
                <c:pt idx="856">
                  <c:v>-10.3482756707441</c:v>
                </c:pt>
                <c:pt idx="857">
                  <c:v>-10.3606244849409</c:v>
                </c:pt>
                <c:pt idx="858">
                  <c:v>-10.3729733189065</c:v>
                </c:pt>
                <c:pt idx="859">
                  <c:v>-10.3853221726404</c:v>
                </c:pt>
                <c:pt idx="860">
                  <c:v>-10.3976710461424</c:v>
                </c:pt>
                <c:pt idx="861">
                  <c:v>-10.4100199394121</c:v>
                </c:pt>
                <c:pt idx="862">
                  <c:v>-10.4223688524491</c:v>
                </c:pt>
                <c:pt idx="863">
                  <c:v>-10.4347177852532</c:v>
                </c:pt>
                <c:pt idx="864">
                  <c:v>-10.4470667378239</c:v>
                </c:pt>
                <c:pt idx="865">
                  <c:v>-10.459415710161</c:v>
                </c:pt>
                <c:pt idx="866">
                  <c:v>-10.4717647022641</c:v>
                </c:pt>
                <c:pt idx="867">
                  <c:v>-10.4841137141328</c:v>
                </c:pt>
                <c:pt idx="868">
                  <c:v>-10.4964627457668</c:v>
                </c:pt>
                <c:pt idx="869">
                  <c:v>-10.5088117971659</c:v>
                </c:pt>
                <c:pt idx="870">
                  <c:v>-10.5211608683295</c:v>
                </c:pt>
                <c:pt idx="871">
                  <c:v>-10.5335099592574</c:v>
                </c:pt>
                <c:pt idx="872">
                  <c:v>-10.5458590699493</c:v>
                </c:pt>
                <c:pt idx="873">
                  <c:v>-10.5582082004048</c:v>
                </c:pt>
                <c:pt idx="874">
                  <c:v>-10.5705573506236</c:v>
                </c:pt>
                <c:pt idx="875">
                  <c:v>-10.5829065206052</c:v>
                </c:pt>
                <c:pt idx="876">
                  <c:v>-10.5952557103495</c:v>
                </c:pt>
                <c:pt idx="877">
                  <c:v>-10.607604919856</c:v>
                </c:pt>
                <c:pt idx="878">
                  <c:v>-10.6199541491244</c:v>
                </c:pt>
                <c:pt idx="879">
                  <c:v>-10.6323033981544</c:v>
                </c:pt>
                <c:pt idx="880">
                  <c:v>-10.6446526669455</c:v>
                </c:pt>
                <c:pt idx="881">
                  <c:v>-10.6570019554976</c:v>
                </c:pt>
                <c:pt idx="882">
                  <c:v>-10.6693512638102</c:v>
                </c:pt>
                <c:pt idx="883">
                  <c:v>-10.681700591883</c:v>
                </c:pt>
                <c:pt idx="884">
                  <c:v>-10.6940499397156</c:v>
                </c:pt>
                <c:pt idx="885">
                  <c:v>-10.7063993073078</c:v>
                </c:pt>
                <c:pt idx="886">
                  <c:v>-10.7187486946591</c:v>
                </c:pt>
                <c:pt idx="887">
                  <c:v>-10.7310981017693</c:v>
                </c:pt>
                <c:pt idx="888">
                  <c:v>-10.7434475286379</c:v>
                </c:pt>
                <c:pt idx="889">
                  <c:v>-10.7557969752647</c:v>
                </c:pt>
                <c:pt idx="890">
                  <c:v>-10.7681464416493</c:v>
                </c:pt>
                <c:pt idx="891">
                  <c:v>-10.7804959277914</c:v>
                </c:pt>
                <c:pt idx="892">
                  <c:v>-10.7928454336906</c:v>
                </c:pt>
                <c:pt idx="893">
                  <c:v>-10.8051949593466</c:v>
                </c:pt>
                <c:pt idx="894">
                  <c:v>-10.817544504759</c:v>
                </c:pt>
                <c:pt idx="895">
                  <c:v>-10.8298940699275</c:v>
                </c:pt>
                <c:pt idx="896">
                  <c:v>-10.8422436548518</c:v>
                </c:pt>
                <c:pt idx="897">
                  <c:v>-10.8545932595315</c:v>
                </c:pt>
                <c:pt idx="898">
                  <c:v>-10.8669428839663</c:v>
                </c:pt>
                <c:pt idx="899">
                  <c:v>-10.8792925281558</c:v>
                </c:pt>
                <c:pt idx="900">
                  <c:v>-10.8916421920997</c:v>
                </c:pt>
                <c:pt idx="901">
                  <c:v>-10.9039918757977</c:v>
                </c:pt>
                <c:pt idx="902">
                  <c:v>-10.9163415792494</c:v>
                </c:pt>
                <c:pt idx="903">
                  <c:v>-10.9286913024544</c:v>
                </c:pt>
                <c:pt idx="904">
                  <c:v>-10.9410410454125</c:v>
                </c:pt>
                <c:pt idx="905">
                  <c:v>-10.9533908081233</c:v>
                </c:pt>
                <c:pt idx="906">
                  <c:v>-10.9657405905864</c:v>
                </c:pt>
                <c:pt idx="907">
                  <c:v>-10.9780903928015</c:v>
                </c:pt>
                <c:pt idx="908">
                  <c:v>-10.9904402147683</c:v>
                </c:pt>
                <c:pt idx="909">
                  <c:v>-11.0027900564865</c:v>
                </c:pt>
                <c:pt idx="910">
                  <c:v>-11.0151399179556</c:v>
                </c:pt>
                <c:pt idx="911">
                  <c:v>-11.0274897991753</c:v>
                </c:pt>
                <c:pt idx="912">
                  <c:v>-11.0398397001454</c:v>
                </c:pt>
                <c:pt idx="913">
                  <c:v>-11.0521896208654</c:v>
                </c:pt>
                <c:pt idx="914">
                  <c:v>-11.064539561335</c:v>
                </c:pt>
                <c:pt idx="915">
                  <c:v>-11.0768895215539</c:v>
                </c:pt>
                <c:pt idx="916">
                  <c:v>-11.0892395015218</c:v>
                </c:pt>
                <c:pt idx="917">
                  <c:v>-11.1015895012382</c:v>
                </c:pt>
                <c:pt idx="918">
                  <c:v>-11.1139395207029</c:v>
                </c:pt>
                <c:pt idx="919">
                  <c:v>-11.1262895599156</c:v>
                </c:pt>
                <c:pt idx="920">
                  <c:v>-11.1386396188757</c:v>
                </c:pt>
                <c:pt idx="921">
                  <c:v>-11.1509896975832</c:v>
                </c:pt>
                <c:pt idx="922">
                  <c:v>-11.1633397960375</c:v>
                </c:pt>
                <c:pt idx="923">
                  <c:v>-11.1756899142384</c:v>
                </c:pt>
                <c:pt idx="924">
                  <c:v>-11.1880400521854</c:v>
                </c:pt>
                <c:pt idx="925">
                  <c:v>-11.2003902098784</c:v>
                </c:pt>
                <c:pt idx="926">
                  <c:v>-11.2127403873169</c:v>
                </c:pt>
                <c:pt idx="927">
                  <c:v>-11.2250905845005</c:v>
                </c:pt>
                <c:pt idx="928">
                  <c:v>-11.237440801429</c:v>
                </c:pt>
                <c:pt idx="929">
                  <c:v>-11.249791038102</c:v>
                </c:pt>
                <c:pt idx="930">
                  <c:v>-11.2621412945192</c:v>
                </c:pt>
                <c:pt idx="931">
                  <c:v>-11.2744915706802</c:v>
                </c:pt>
                <c:pt idx="932">
                  <c:v>-11.2868418665847</c:v>
                </c:pt>
                <c:pt idx="933">
                  <c:v>-11.2991921822323</c:v>
                </c:pt>
                <c:pt idx="934">
                  <c:v>-11.3115425176227</c:v>
                </c:pt>
                <c:pt idx="935">
                  <c:v>-11.3238928727556</c:v>
                </c:pt>
                <c:pt idx="936">
                  <c:v>-11.3362432476306</c:v>
                </c:pt>
                <c:pt idx="937">
                  <c:v>-11.3485936422473</c:v>
                </c:pt>
                <c:pt idx="938">
                  <c:v>-11.3609440566055</c:v>
                </c:pt>
                <c:pt idx="939">
                  <c:v>-11.3732944907048</c:v>
                </c:pt>
                <c:pt idx="940">
                  <c:v>-11.3856449445449</c:v>
                </c:pt>
                <c:pt idx="941">
                  <c:v>-11.3979954181254</c:v>
                </c:pt>
                <c:pt idx="942">
                  <c:v>-11.4103459114459</c:v>
                </c:pt>
                <c:pt idx="943">
                  <c:v>-11.4226964245061</c:v>
                </c:pt>
                <c:pt idx="944">
                  <c:v>-11.4350469573058</c:v>
                </c:pt>
                <c:pt idx="945">
                  <c:v>-11.4473975098445</c:v>
                </c:pt>
                <c:pt idx="946">
                  <c:v>-11.4597480821219</c:v>
                </c:pt>
                <c:pt idx="947">
                  <c:v>-11.4720986741377</c:v>
                </c:pt>
                <c:pt idx="948">
                  <c:v>-11.4844492858915</c:v>
                </c:pt>
                <c:pt idx="949">
                  <c:v>-11.496799917383</c:v>
                </c:pt>
                <c:pt idx="950">
                  <c:v>-11.5091505686118</c:v>
                </c:pt>
                <c:pt idx="951">
                  <c:v>-11.5215012395776</c:v>
                </c:pt>
                <c:pt idx="952">
                  <c:v>-11.5338519302801</c:v>
                </c:pt>
                <c:pt idx="953">
                  <c:v>-11.5462026407189</c:v>
                </c:pt>
                <c:pt idx="954">
                  <c:v>-11.5585533708937</c:v>
                </c:pt>
                <c:pt idx="955">
                  <c:v>-11.5709041208041</c:v>
                </c:pt>
                <c:pt idx="956">
                  <c:v>-11.5832548904498</c:v>
                </c:pt>
                <c:pt idx="957">
                  <c:v>-11.5956056798305</c:v>
                </c:pt>
                <c:pt idx="958">
                  <c:v>-11.6079564889458</c:v>
                </c:pt>
                <c:pt idx="959">
                  <c:v>-11.6203073177954</c:v>
                </c:pt>
                <c:pt idx="960">
                  <c:v>-11.6326581663789</c:v>
                </c:pt>
                <c:pt idx="961">
                  <c:v>-11.645009034696</c:v>
                </c:pt>
                <c:pt idx="962">
                  <c:v>-11.6573599227463</c:v>
                </c:pt>
                <c:pt idx="963">
                  <c:v>-11.6697108305296</c:v>
                </c:pt>
                <c:pt idx="964">
                  <c:v>-11.6820617580454</c:v>
                </c:pt>
                <c:pt idx="965">
                  <c:v>-11.6944127052935</c:v>
                </c:pt>
                <c:pt idx="966">
                  <c:v>-11.7067636722734</c:v>
                </c:pt>
                <c:pt idx="967">
                  <c:v>-11.7191146589849</c:v>
                </c:pt>
                <c:pt idx="968">
                  <c:v>-11.7314656654276</c:v>
                </c:pt>
                <c:pt idx="969">
                  <c:v>-11.7438166916012</c:v>
                </c:pt>
                <c:pt idx="970">
                  <c:v>-11.7561677375053</c:v>
                </c:pt>
                <c:pt idx="971">
                  <c:v>-11.7685188031395</c:v>
                </c:pt>
                <c:pt idx="972">
                  <c:v>-11.7808698885037</c:v>
                </c:pt>
                <c:pt idx="973">
                  <c:v>-11.7932209935973</c:v>
                </c:pt>
                <c:pt idx="974">
                  <c:v>-11.80557211842</c:v>
                </c:pt>
                <c:pt idx="975">
                  <c:v>-11.8179232629716</c:v>
                </c:pt>
                <c:pt idx="976">
                  <c:v>-11.8302744272517</c:v>
                </c:pt>
                <c:pt idx="977">
                  <c:v>-11.8426256112599</c:v>
                </c:pt>
                <c:pt idx="978">
                  <c:v>-11.8549768149959</c:v>
                </c:pt>
                <c:pt idx="979">
                  <c:v>-11.8673280384594</c:v>
                </c:pt>
                <c:pt idx="980">
                  <c:v>-11.87967928165</c:v>
                </c:pt>
                <c:pt idx="981">
                  <c:v>-11.8920305445673</c:v>
                </c:pt>
                <c:pt idx="982">
                  <c:v>-11.9043818272111</c:v>
                </c:pt>
                <c:pt idx="983">
                  <c:v>-11.916733129581</c:v>
                </c:pt>
                <c:pt idx="984">
                  <c:v>-11.9290844516766</c:v>
                </c:pt>
                <c:pt idx="985">
                  <c:v>-11.9414357934977</c:v>
                </c:pt>
                <c:pt idx="986">
                  <c:v>-11.9537871550438</c:v>
                </c:pt>
                <c:pt idx="987">
                  <c:v>-11.9661385363146</c:v>
                </c:pt>
                <c:pt idx="988">
                  <c:v>-11.9784899373099</c:v>
                </c:pt>
                <c:pt idx="989">
                  <c:v>-11.9908413580292</c:v>
                </c:pt>
                <c:pt idx="990">
                  <c:v>-12.0031927984721</c:v>
                </c:pt>
                <c:pt idx="991">
                  <c:v>-12.0155442586385</c:v>
                </c:pt>
                <c:pt idx="992">
                  <c:v>-12.0278957385279</c:v>
                </c:pt>
                <c:pt idx="993">
                  <c:v>-12.0402472381399</c:v>
                </c:pt>
                <c:pt idx="994">
                  <c:v>-12.0525987574743</c:v>
                </c:pt>
                <c:pt idx="995">
                  <c:v>-12.0649502965307</c:v>
                </c:pt>
                <c:pt idx="996">
                  <c:v>-12.0773018553088</c:v>
                </c:pt>
                <c:pt idx="997">
                  <c:v>-12.0896534338082</c:v>
                </c:pt>
                <c:pt idx="998">
                  <c:v>-12.1020050320286</c:v>
                </c:pt>
                <c:pt idx="999">
                  <c:v>-12.1143566499696</c:v>
                </c:pt>
                <c:pt idx="1000">
                  <c:v>-12.1267082876309</c:v>
                </c:pt>
              </c:numCache>
            </c:numRef>
          </c:yVal>
          <c:smooth val="1"/>
        </c:ser>
        <c:ser>
          <c:idx val="3"/>
          <c:order val="3"/>
          <c:tx>
            <c:strRef>
              <c:f>Trajecto!$B$108</c:f>
              <c:strCache>
                <c:ptCount val="1"/>
                <c:pt idx="0">
                  <c:v>Fusée sous parachute</c:v>
                </c:pt>
              </c:strCache>
            </c:strRef>
          </c:tx>
          <c:spPr>
            <a:solidFill>
              <a:srgbClr val="008000"/>
            </a:solidFill>
            <a:ln w="25560">
              <a:solidFill>
                <a:srgbClr val="008000"/>
              </a:solidFill>
              <a:round/>
            </a:ln>
          </c:spPr>
          <c:marker>
            <c:symbol val="none"/>
          </c:marker>
          <c:dPt>
            <c:idx val="1"/>
            <c:marker>
              <c:symbol val="none"/>
            </c:marker>
          </c:dPt>
          <c:dLbls>
            <c:dLbl>
              <c:idx val="1"/>
              <c:txPr>
                <a:bodyPr wrap="square"/>
                <a:lstStyle/>
                <a:p>
                  <a:pPr>
                    <a:defRPr b="1" sz="700" spc="-1" strike="noStrike">
                      <a:solidFill>
                        <a:srgbClr val="008000"/>
                      </a:solidFill>
                      <a:latin typeface="Arial"/>
                      <a:ea typeface="Arial"/>
                    </a:defRPr>
                  </a:pPr>
                </a:p>
              </c:txPr>
              <c:dLblPos val="t"/>
              <c:showLegendKey val="0"/>
              <c:showVal val="0"/>
              <c:showCatName val="0"/>
              <c:showSerName val="1"/>
              <c:showPercent val="0"/>
              <c:separator> </c:separator>
            </c:dLbl>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Trajecto!$B$131:$B$137</c:f>
              <c:numCache>
                <c:formatCode>General</c:formatCode>
                <c:ptCount val="7"/>
                <c:pt idx="0">
                  <c:v>8</c:v>
                </c:pt>
                <c:pt idx="1">
                  <c:v>32.805496643842</c:v>
                </c:pt>
                <c:pt idx="2">
                  <c:v>57.6109932876841</c:v>
                </c:pt>
                <c:pt idx="3">
                  <c:v>56.3000637496354</c:v>
                </c:pt>
                <c:pt idx="4">
                  <c:v>57.6109932876841</c:v>
                </c:pt>
                <c:pt idx="5">
                  <c:v>52.6700637496354</c:v>
                </c:pt>
                <c:pt idx="6">
                  <c:v>57.6109932876841</c:v>
                </c:pt>
              </c:numCache>
            </c:numRef>
          </c:xVal>
          <c:yVal>
            <c:numRef>
              <c:f>Trajecto!$C$129:$C$135</c:f>
              <c:numCache>
                <c:formatCode>General</c:formatCode>
                <c:ptCount val="7"/>
                <c:pt idx="0">
                  <c:v>1057.23342762243</c:v>
                </c:pt>
                <c:pt idx="1">
                  <c:v>528.616713811215</c:v>
                </c:pt>
                <c:pt idx="2">
                  <c:v>0</c:v>
                </c:pt>
                <c:pt idx="3">
                  <c:v>132.34765236588</c:v>
                </c:pt>
                <c:pt idx="4">
                  <c:v>0</c:v>
                </c:pt>
                <c:pt idx="5">
                  <c:v>52.6803612859088</c:v>
                </c:pt>
                <c:pt idx="6">
                  <c:v>0</c:v>
                </c:pt>
              </c:numCache>
            </c:numRef>
          </c:yVal>
          <c:smooth val="1"/>
        </c:ser>
        <c:ser>
          <c:idx val="4"/>
          <c:order val="4"/>
          <c:tx>
            <c:strRef>
              <c:f>Trajecto!$B$109</c:f>
              <c:strCache>
                <c:ptCount val="1"/>
                <c:pt idx="0">
                  <c:v/>
                </c:pt>
              </c:strCache>
            </c:strRef>
          </c:tx>
          <c:spPr>
            <a:solidFill>
              <a:srgbClr val="ff6600"/>
            </a:solidFill>
            <a:ln w="25560">
              <a:solidFill>
                <a:srgbClr val="ff6600"/>
              </a:solidFill>
              <a:round/>
            </a:ln>
          </c:spPr>
          <c:marker>
            <c:symbol val="none"/>
          </c:marker>
          <c:dPt>
            <c:idx val="1"/>
            <c:marker>
              <c:symbol val="none"/>
            </c:marker>
          </c:dPt>
          <c:dLbls>
            <c:dLbl>
              <c:idx val="1"/>
              <c:txPr>
                <a:bodyPr wrap="square"/>
                <a:lstStyle/>
                <a:p>
                  <a:pPr>
                    <a:defRPr b="1" sz="700" spc="-1" strike="noStrike">
                      <a:solidFill>
                        <a:srgbClr val="ff66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Trajecto!$B$148:$B$154</c:f>
              <c:numCache>
                <c:formatCode>General</c:formatCode>
                <c:ptCount val="7"/>
                <c:pt idx="0">
                  <c:v>0</c:v>
                </c:pt>
                <c:pt idx="1">
                  <c:v>0</c:v>
                </c:pt>
                <c:pt idx="2">
                  <c:v>0</c:v>
                </c:pt>
                <c:pt idx="3">
                  <c:v>0</c:v>
                </c:pt>
                <c:pt idx="4">
                  <c:v>0</c:v>
                </c:pt>
                <c:pt idx="5">
                  <c:v>0</c:v>
                </c:pt>
                <c:pt idx="6">
                  <c:v>0</c:v>
                </c:pt>
              </c:numCache>
            </c:numRef>
          </c:xVal>
          <c:yVal>
            <c:numRef>
              <c:f>Trajecto!$C$146:$C$152</c:f>
              <c:numCache>
                <c:formatCode>General</c:formatCode>
                <c:ptCount val="7"/>
                <c:pt idx="0">
                  <c:v>0</c:v>
                </c:pt>
                <c:pt idx="1">
                  <c:v>0</c:v>
                </c:pt>
                <c:pt idx="2">
                  <c:v>0</c:v>
                </c:pt>
                <c:pt idx="3">
                  <c:v>0</c:v>
                </c:pt>
                <c:pt idx="4">
                  <c:v>0</c:v>
                </c:pt>
                <c:pt idx="5">
                  <c:v>0</c:v>
                </c:pt>
                <c:pt idx="6">
                  <c:v>0</c:v>
                </c:pt>
              </c:numCache>
            </c:numRef>
          </c:yVal>
          <c:smooth val="1"/>
        </c:ser>
        <c:ser>
          <c:idx val="5"/>
          <c:order val="5"/>
          <c:tx>
            <c:strRef>
              <c:f>Trajecto!$B$106</c:f>
              <c:strCache>
                <c:ptCount val="1"/>
                <c:pt idx="0">
                  <c:v>Phase ascendante</c:v>
                </c:pt>
              </c:strCache>
            </c:strRef>
          </c:tx>
          <c:spPr>
            <a:solidFill>
              <a:srgbClr val="000080"/>
            </a:solidFill>
            <a:ln w="25560">
              <a:solidFill>
                <a:srgbClr val="00008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34.8000000000002</c:v>
                </c:pt>
                <c:pt idx="709">
                  <c:v>34.9000000000002</c:v>
                </c:pt>
                <c:pt idx="710">
                  <c:v>35.0000000000002</c:v>
                </c:pt>
                <c:pt idx="711">
                  <c:v>35.1000000000002</c:v>
                </c:pt>
                <c:pt idx="712">
                  <c:v>35.2000000000002</c:v>
                </c:pt>
                <c:pt idx="713">
                  <c:v>35.3000000000002</c:v>
                </c:pt>
                <c:pt idx="714">
                  <c:v>35.4000000000002</c:v>
                </c:pt>
                <c:pt idx="715">
                  <c:v>35.5000000000002</c:v>
                </c:pt>
                <c:pt idx="716">
                  <c:v>35.6000000000002</c:v>
                </c:pt>
                <c:pt idx="717">
                  <c:v>35.7000000000002</c:v>
                </c:pt>
                <c:pt idx="718">
                  <c:v>35.8000000000002</c:v>
                </c:pt>
                <c:pt idx="719">
                  <c:v>35.9000000000002</c:v>
                </c:pt>
                <c:pt idx="720">
                  <c:v>36.0000000000002</c:v>
                </c:pt>
                <c:pt idx="721">
                  <c:v>36.1000000000002</c:v>
                </c:pt>
                <c:pt idx="722">
                  <c:v>36.2000000000002</c:v>
                </c:pt>
                <c:pt idx="723">
                  <c:v>36.3000000000002</c:v>
                </c:pt>
                <c:pt idx="724">
                  <c:v>36.3001000000002</c:v>
                </c:pt>
                <c:pt idx="725">
                  <c:v>36.3002000000002</c:v>
                </c:pt>
                <c:pt idx="726">
                  <c:v>36.3003000000002</c:v>
                </c:pt>
                <c:pt idx="727">
                  <c:v>36.3004000000002</c:v>
                </c:pt>
                <c:pt idx="728">
                  <c:v>36.3005000000002</c:v>
                </c:pt>
                <c:pt idx="729">
                  <c:v>36.3006000000002</c:v>
                </c:pt>
                <c:pt idx="730">
                  <c:v>36.3007000000002</c:v>
                </c:pt>
                <c:pt idx="731">
                  <c:v>36.3008000000002</c:v>
                </c:pt>
                <c:pt idx="732">
                  <c:v>36.3009000000002</c:v>
                </c:pt>
                <c:pt idx="733">
                  <c:v>36.3010000000002</c:v>
                </c:pt>
                <c:pt idx="734">
                  <c:v>36.3011000000002</c:v>
                </c:pt>
                <c:pt idx="735">
                  <c:v>36.3012000000002</c:v>
                </c:pt>
                <c:pt idx="736">
                  <c:v>36.3013000000002</c:v>
                </c:pt>
                <c:pt idx="737">
                  <c:v>36.3014000000003</c:v>
                </c:pt>
                <c:pt idx="738">
                  <c:v>36.3015000000003</c:v>
                </c:pt>
                <c:pt idx="739">
                  <c:v>36.3016000000003</c:v>
                </c:pt>
                <c:pt idx="740">
                  <c:v>36.3017000000003</c:v>
                </c:pt>
                <c:pt idx="741">
                  <c:v>36.3018000000003</c:v>
                </c:pt>
                <c:pt idx="742">
                  <c:v>36.3019000000003</c:v>
                </c:pt>
                <c:pt idx="743">
                  <c:v>36.3020000000003</c:v>
                </c:pt>
                <c:pt idx="744">
                  <c:v>36.3021000000003</c:v>
                </c:pt>
                <c:pt idx="745">
                  <c:v>36.3022000000003</c:v>
                </c:pt>
                <c:pt idx="746">
                  <c:v>36.3023000000003</c:v>
                </c:pt>
                <c:pt idx="747">
                  <c:v>36.3024000000003</c:v>
                </c:pt>
                <c:pt idx="748">
                  <c:v>36.3025000000003</c:v>
                </c:pt>
                <c:pt idx="749">
                  <c:v>36.3026000000003</c:v>
                </c:pt>
                <c:pt idx="750">
                  <c:v>36.3027000000003</c:v>
                </c:pt>
                <c:pt idx="751">
                  <c:v>36.3028000000003</c:v>
                </c:pt>
                <c:pt idx="752">
                  <c:v>36.3029000000003</c:v>
                </c:pt>
                <c:pt idx="753">
                  <c:v>36.3030000000003</c:v>
                </c:pt>
                <c:pt idx="754">
                  <c:v>36.3031000000003</c:v>
                </c:pt>
                <c:pt idx="755">
                  <c:v>36.3032000000003</c:v>
                </c:pt>
                <c:pt idx="756">
                  <c:v>36.3033000000003</c:v>
                </c:pt>
                <c:pt idx="757">
                  <c:v>36.3034000000003</c:v>
                </c:pt>
                <c:pt idx="758">
                  <c:v>36.3035000000003</c:v>
                </c:pt>
                <c:pt idx="759">
                  <c:v>36.3036000000003</c:v>
                </c:pt>
                <c:pt idx="760">
                  <c:v>36.3037000000003</c:v>
                </c:pt>
                <c:pt idx="761">
                  <c:v>36.3038000000003</c:v>
                </c:pt>
                <c:pt idx="762">
                  <c:v>36.3039000000003</c:v>
                </c:pt>
                <c:pt idx="763">
                  <c:v>36.3040000000003</c:v>
                </c:pt>
                <c:pt idx="764">
                  <c:v>36.3041000000003</c:v>
                </c:pt>
                <c:pt idx="765">
                  <c:v>36.3042000000003</c:v>
                </c:pt>
                <c:pt idx="766">
                  <c:v>36.3043000000003</c:v>
                </c:pt>
                <c:pt idx="767">
                  <c:v>36.3044000000004</c:v>
                </c:pt>
                <c:pt idx="768">
                  <c:v>36.3045000000004</c:v>
                </c:pt>
                <c:pt idx="769">
                  <c:v>36.3046000000004</c:v>
                </c:pt>
                <c:pt idx="770">
                  <c:v>36.3047000000004</c:v>
                </c:pt>
                <c:pt idx="771">
                  <c:v>36.3048000000004</c:v>
                </c:pt>
                <c:pt idx="772">
                  <c:v>36.3049000000004</c:v>
                </c:pt>
                <c:pt idx="773">
                  <c:v>36.3050000000004</c:v>
                </c:pt>
                <c:pt idx="774">
                  <c:v>36.3051000000004</c:v>
                </c:pt>
                <c:pt idx="775">
                  <c:v>36.3052000000004</c:v>
                </c:pt>
                <c:pt idx="776">
                  <c:v>36.3053000000004</c:v>
                </c:pt>
                <c:pt idx="777">
                  <c:v>36.3054000000004</c:v>
                </c:pt>
                <c:pt idx="778">
                  <c:v>36.3055000000004</c:v>
                </c:pt>
                <c:pt idx="779">
                  <c:v>36.3056000000004</c:v>
                </c:pt>
                <c:pt idx="780">
                  <c:v>36.3057000000004</c:v>
                </c:pt>
                <c:pt idx="781">
                  <c:v>36.3058000000004</c:v>
                </c:pt>
                <c:pt idx="782">
                  <c:v>36.3059000000004</c:v>
                </c:pt>
                <c:pt idx="783">
                  <c:v>36.3060000000004</c:v>
                </c:pt>
                <c:pt idx="784">
                  <c:v>36.3061000000004</c:v>
                </c:pt>
                <c:pt idx="785">
                  <c:v>36.3062000000004</c:v>
                </c:pt>
                <c:pt idx="786">
                  <c:v>36.3063000000004</c:v>
                </c:pt>
                <c:pt idx="787">
                  <c:v>36.3064000000004</c:v>
                </c:pt>
                <c:pt idx="788">
                  <c:v>36.3065000000004</c:v>
                </c:pt>
                <c:pt idx="789">
                  <c:v>36.3066000000004</c:v>
                </c:pt>
                <c:pt idx="790">
                  <c:v>36.3067000000004</c:v>
                </c:pt>
                <c:pt idx="791">
                  <c:v>36.3068000000004</c:v>
                </c:pt>
                <c:pt idx="792">
                  <c:v>36.3069000000004</c:v>
                </c:pt>
                <c:pt idx="793">
                  <c:v>36.3070000000004</c:v>
                </c:pt>
                <c:pt idx="794">
                  <c:v>36.3071000000004</c:v>
                </c:pt>
                <c:pt idx="795">
                  <c:v>36.3072000000004</c:v>
                </c:pt>
                <c:pt idx="796">
                  <c:v>36.3073000000004</c:v>
                </c:pt>
                <c:pt idx="797">
                  <c:v>36.3074000000005</c:v>
                </c:pt>
                <c:pt idx="798">
                  <c:v>36.3075000000005</c:v>
                </c:pt>
                <c:pt idx="799">
                  <c:v>36.3076000000005</c:v>
                </c:pt>
                <c:pt idx="800">
                  <c:v>36.3077000000005</c:v>
                </c:pt>
                <c:pt idx="801">
                  <c:v>36.3078000000005</c:v>
                </c:pt>
                <c:pt idx="802">
                  <c:v>36.3079000000005</c:v>
                </c:pt>
                <c:pt idx="803">
                  <c:v>36.3080000000005</c:v>
                </c:pt>
                <c:pt idx="804">
                  <c:v>36.3081000000005</c:v>
                </c:pt>
                <c:pt idx="805">
                  <c:v>36.3082000000005</c:v>
                </c:pt>
                <c:pt idx="806">
                  <c:v>36.3083000000005</c:v>
                </c:pt>
                <c:pt idx="807">
                  <c:v>36.3084000000005</c:v>
                </c:pt>
                <c:pt idx="808">
                  <c:v>36.3085000000005</c:v>
                </c:pt>
                <c:pt idx="809">
                  <c:v>36.3086000000005</c:v>
                </c:pt>
                <c:pt idx="810">
                  <c:v>36.3087000000005</c:v>
                </c:pt>
                <c:pt idx="811">
                  <c:v>36.3088000000005</c:v>
                </c:pt>
                <c:pt idx="812">
                  <c:v>36.3089000000005</c:v>
                </c:pt>
                <c:pt idx="813">
                  <c:v>36.3090000000005</c:v>
                </c:pt>
                <c:pt idx="814">
                  <c:v>36.3091000000005</c:v>
                </c:pt>
                <c:pt idx="815">
                  <c:v>36.3092000000005</c:v>
                </c:pt>
                <c:pt idx="816">
                  <c:v>36.3093000000005</c:v>
                </c:pt>
                <c:pt idx="817">
                  <c:v>36.3094000000005</c:v>
                </c:pt>
                <c:pt idx="818">
                  <c:v>36.3095000000005</c:v>
                </c:pt>
                <c:pt idx="819">
                  <c:v>36.3096000000005</c:v>
                </c:pt>
                <c:pt idx="820">
                  <c:v>36.3097000000005</c:v>
                </c:pt>
                <c:pt idx="821">
                  <c:v>36.3098000000005</c:v>
                </c:pt>
                <c:pt idx="822">
                  <c:v>36.3099000000005</c:v>
                </c:pt>
                <c:pt idx="823">
                  <c:v>36.3100000000005</c:v>
                </c:pt>
                <c:pt idx="824">
                  <c:v>36.3101000000005</c:v>
                </c:pt>
                <c:pt idx="825">
                  <c:v>36.3102000000005</c:v>
                </c:pt>
                <c:pt idx="826">
                  <c:v>36.3103000000005</c:v>
                </c:pt>
                <c:pt idx="827">
                  <c:v>36.3104000000006</c:v>
                </c:pt>
                <c:pt idx="828">
                  <c:v>36.3105000000006</c:v>
                </c:pt>
                <c:pt idx="829">
                  <c:v>36.3106000000006</c:v>
                </c:pt>
                <c:pt idx="830">
                  <c:v>36.3107000000006</c:v>
                </c:pt>
                <c:pt idx="831">
                  <c:v>36.3108000000006</c:v>
                </c:pt>
                <c:pt idx="832">
                  <c:v>36.3109000000006</c:v>
                </c:pt>
                <c:pt idx="833">
                  <c:v>36.3110000000006</c:v>
                </c:pt>
                <c:pt idx="834">
                  <c:v>36.3111000000006</c:v>
                </c:pt>
                <c:pt idx="835">
                  <c:v>36.3112000000006</c:v>
                </c:pt>
                <c:pt idx="836">
                  <c:v>36.3113000000006</c:v>
                </c:pt>
                <c:pt idx="837">
                  <c:v>36.3114000000006</c:v>
                </c:pt>
                <c:pt idx="838">
                  <c:v>36.3115000000006</c:v>
                </c:pt>
                <c:pt idx="839">
                  <c:v>36.3116000000006</c:v>
                </c:pt>
                <c:pt idx="840">
                  <c:v>36.3117000000006</c:v>
                </c:pt>
                <c:pt idx="841">
                  <c:v>36.3118000000006</c:v>
                </c:pt>
                <c:pt idx="842">
                  <c:v>36.3119000000006</c:v>
                </c:pt>
                <c:pt idx="843">
                  <c:v>36.3120000000006</c:v>
                </c:pt>
                <c:pt idx="844">
                  <c:v>36.3121000000006</c:v>
                </c:pt>
                <c:pt idx="845">
                  <c:v>36.3122000000006</c:v>
                </c:pt>
                <c:pt idx="846">
                  <c:v>36.3123000000006</c:v>
                </c:pt>
                <c:pt idx="847">
                  <c:v>36.3124000000006</c:v>
                </c:pt>
                <c:pt idx="848">
                  <c:v>36.3125000000006</c:v>
                </c:pt>
                <c:pt idx="849">
                  <c:v>36.3126000000006</c:v>
                </c:pt>
                <c:pt idx="850">
                  <c:v>36.3127000000006</c:v>
                </c:pt>
                <c:pt idx="851">
                  <c:v>36.3128000000006</c:v>
                </c:pt>
                <c:pt idx="852">
                  <c:v>36.3129000000006</c:v>
                </c:pt>
                <c:pt idx="853">
                  <c:v>36.3130000000006</c:v>
                </c:pt>
                <c:pt idx="854">
                  <c:v>36.3131000000006</c:v>
                </c:pt>
                <c:pt idx="855">
                  <c:v>36.3132000000006</c:v>
                </c:pt>
                <c:pt idx="856">
                  <c:v>36.3133000000006</c:v>
                </c:pt>
                <c:pt idx="857">
                  <c:v>36.3134000000007</c:v>
                </c:pt>
                <c:pt idx="858">
                  <c:v>36.3135000000007</c:v>
                </c:pt>
                <c:pt idx="859">
                  <c:v>36.3136000000007</c:v>
                </c:pt>
                <c:pt idx="860">
                  <c:v>36.3137000000007</c:v>
                </c:pt>
                <c:pt idx="861">
                  <c:v>36.3138000000007</c:v>
                </c:pt>
                <c:pt idx="862">
                  <c:v>36.3139000000007</c:v>
                </c:pt>
                <c:pt idx="863">
                  <c:v>36.3140000000007</c:v>
                </c:pt>
                <c:pt idx="864">
                  <c:v>36.3141000000007</c:v>
                </c:pt>
                <c:pt idx="865">
                  <c:v>36.3142000000007</c:v>
                </c:pt>
                <c:pt idx="866">
                  <c:v>36.3143000000007</c:v>
                </c:pt>
                <c:pt idx="867">
                  <c:v>36.3144000000007</c:v>
                </c:pt>
                <c:pt idx="868">
                  <c:v>36.3145000000007</c:v>
                </c:pt>
                <c:pt idx="869">
                  <c:v>36.3146000000007</c:v>
                </c:pt>
                <c:pt idx="870">
                  <c:v>36.3147000000007</c:v>
                </c:pt>
                <c:pt idx="871">
                  <c:v>36.3148000000007</c:v>
                </c:pt>
                <c:pt idx="872">
                  <c:v>36.3149000000007</c:v>
                </c:pt>
                <c:pt idx="873">
                  <c:v>36.3150000000007</c:v>
                </c:pt>
                <c:pt idx="874">
                  <c:v>36.3151000000007</c:v>
                </c:pt>
                <c:pt idx="875">
                  <c:v>36.3152000000007</c:v>
                </c:pt>
                <c:pt idx="876">
                  <c:v>36.3153000000007</c:v>
                </c:pt>
                <c:pt idx="877">
                  <c:v>36.3154000000007</c:v>
                </c:pt>
                <c:pt idx="878">
                  <c:v>36.3155000000007</c:v>
                </c:pt>
                <c:pt idx="879">
                  <c:v>36.3156000000007</c:v>
                </c:pt>
                <c:pt idx="880">
                  <c:v>36.3157000000007</c:v>
                </c:pt>
                <c:pt idx="881">
                  <c:v>36.3158000000007</c:v>
                </c:pt>
                <c:pt idx="882">
                  <c:v>36.3159000000007</c:v>
                </c:pt>
                <c:pt idx="883">
                  <c:v>36.3160000000007</c:v>
                </c:pt>
                <c:pt idx="884">
                  <c:v>36.3161000000007</c:v>
                </c:pt>
                <c:pt idx="885">
                  <c:v>36.3162000000007</c:v>
                </c:pt>
                <c:pt idx="886">
                  <c:v>36.3163000000007</c:v>
                </c:pt>
                <c:pt idx="887">
                  <c:v>36.3164000000008</c:v>
                </c:pt>
                <c:pt idx="888">
                  <c:v>36.3165000000008</c:v>
                </c:pt>
                <c:pt idx="889">
                  <c:v>36.3166000000008</c:v>
                </c:pt>
                <c:pt idx="890">
                  <c:v>36.3167000000008</c:v>
                </c:pt>
                <c:pt idx="891">
                  <c:v>36.3168000000008</c:v>
                </c:pt>
                <c:pt idx="892">
                  <c:v>36.3169000000008</c:v>
                </c:pt>
                <c:pt idx="893">
                  <c:v>36.3170000000008</c:v>
                </c:pt>
                <c:pt idx="894">
                  <c:v>36.3171000000008</c:v>
                </c:pt>
                <c:pt idx="895">
                  <c:v>36.3172000000008</c:v>
                </c:pt>
                <c:pt idx="896">
                  <c:v>36.3173000000008</c:v>
                </c:pt>
                <c:pt idx="897">
                  <c:v>36.3174000000008</c:v>
                </c:pt>
                <c:pt idx="898">
                  <c:v>36.3175000000008</c:v>
                </c:pt>
                <c:pt idx="899">
                  <c:v>36.3176000000008</c:v>
                </c:pt>
                <c:pt idx="900">
                  <c:v>36.3177000000008</c:v>
                </c:pt>
                <c:pt idx="901">
                  <c:v>36.3178000000008</c:v>
                </c:pt>
                <c:pt idx="902">
                  <c:v>36.3179000000008</c:v>
                </c:pt>
                <c:pt idx="903">
                  <c:v>36.3180000000008</c:v>
                </c:pt>
                <c:pt idx="904">
                  <c:v>36.3181000000008</c:v>
                </c:pt>
                <c:pt idx="905">
                  <c:v>36.3182000000008</c:v>
                </c:pt>
                <c:pt idx="906">
                  <c:v>36.3183000000008</c:v>
                </c:pt>
                <c:pt idx="907">
                  <c:v>36.3184000000008</c:v>
                </c:pt>
                <c:pt idx="908">
                  <c:v>36.3185000000008</c:v>
                </c:pt>
                <c:pt idx="909">
                  <c:v>36.3186000000008</c:v>
                </c:pt>
                <c:pt idx="910">
                  <c:v>36.3187000000008</c:v>
                </c:pt>
                <c:pt idx="911">
                  <c:v>36.3188000000008</c:v>
                </c:pt>
                <c:pt idx="912">
                  <c:v>36.3189000000008</c:v>
                </c:pt>
                <c:pt idx="913">
                  <c:v>36.3190000000008</c:v>
                </c:pt>
                <c:pt idx="914">
                  <c:v>36.3191000000008</c:v>
                </c:pt>
                <c:pt idx="915">
                  <c:v>36.3192000000008</c:v>
                </c:pt>
                <c:pt idx="916">
                  <c:v>36.3193000000008</c:v>
                </c:pt>
                <c:pt idx="917">
                  <c:v>36.3194000000009</c:v>
                </c:pt>
                <c:pt idx="918">
                  <c:v>36.3195000000009</c:v>
                </c:pt>
                <c:pt idx="919">
                  <c:v>36.3196000000009</c:v>
                </c:pt>
                <c:pt idx="920">
                  <c:v>36.3197000000009</c:v>
                </c:pt>
                <c:pt idx="921">
                  <c:v>36.3198000000009</c:v>
                </c:pt>
                <c:pt idx="922">
                  <c:v>36.3199000000009</c:v>
                </c:pt>
                <c:pt idx="923">
                  <c:v>36.3200000000009</c:v>
                </c:pt>
                <c:pt idx="924">
                  <c:v>36.3201000000009</c:v>
                </c:pt>
                <c:pt idx="925">
                  <c:v>36.3202000000009</c:v>
                </c:pt>
                <c:pt idx="926">
                  <c:v>36.3203000000009</c:v>
                </c:pt>
                <c:pt idx="927">
                  <c:v>36.3204000000009</c:v>
                </c:pt>
                <c:pt idx="928">
                  <c:v>36.3205000000009</c:v>
                </c:pt>
                <c:pt idx="929">
                  <c:v>36.3206000000009</c:v>
                </c:pt>
                <c:pt idx="930">
                  <c:v>36.3207000000009</c:v>
                </c:pt>
                <c:pt idx="931">
                  <c:v>36.3208000000009</c:v>
                </c:pt>
                <c:pt idx="932">
                  <c:v>36.3209000000009</c:v>
                </c:pt>
                <c:pt idx="933">
                  <c:v>36.3210000000009</c:v>
                </c:pt>
                <c:pt idx="934">
                  <c:v>36.3211000000009</c:v>
                </c:pt>
                <c:pt idx="935">
                  <c:v>36.3212000000009</c:v>
                </c:pt>
                <c:pt idx="936">
                  <c:v>36.3213000000009</c:v>
                </c:pt>
                <c:pt idx="937">
                  <c:v>36.3214000000009</c:v>
                </c:pt>
                <c:pt idx="938">
                  <c:v>36.3215000000009</c:v>
                </c:pt>
                <c:pt idx="939">
                  <c:v>36.3216000000009</c:v>
                </c:pt>
                <c:pt idx="940">
                  <c:v>36.3217000000009</c:v>
                </c:pt>
                <c:pt idx="941">
                  <c:v>36.3218000000009</c:v>
                </c:pt>
                <c:pt idx="942">
                  <c:v>36.3219000000009</c:v>
                </c:pt>
                <c:pt idx="943">
                  <c:v>36.3220000000009</c:v>
                </c:pt>
                <c:pt idx="944">
                  <c:v>36.3221000000009</c:v>
                </c:pt>
                <c:pt idx="945">
                  <c:v>36.3222000000009</c:v>
                </c:pt>
                <c:pt idx="946">
                  <c:v>36.3223000000009</c:v>
                </c:pt>
                <c:pt idx="947">
                  <c:v>36.322400000001</c:v>
                </c:pt>
                <c:pt idx="948">
                  <c:v>36.322500000001</c:v>
                </c:pt>
                <c:pt idx="949">
                  <c:v>36.322600000001</c:v>
                </c:pt>
                <c:pt idx="950">
                  <c:v>36.322700000001</c:v>
                </c:pt>
                <c:pt idx="951">
                  <c:v>36.322800000001</c:v>
                </c:pt>
                <c:pt idx="952">
                  <c:v>36.322900000001</c:v>
                </c:pt>
                <c:pt idx="953">
                  <c:v>36.323000000001</c:v>
                </c:pt>
                <c:pt idx="954">
                  <c:v>36.323100000001</c:v>
                </c:pt>
                <c:pt idx="955">
                  <c:v>36.323200000001</c:v>
                </c:pt>
                <c:pt idx="956">
                  <c:v>36.323300000001</c:v>
                </c:pt>
                <c:pt idx="957">
                  <c:v>36.323400000001</c:v>
                </c:pt>
                <c:pt idx="958">
                  <c:v>36.323500000001</c:v>
                </c:pt>
                <c:pt idx="959">
                  <c:v>36.323600000001</c:v>
                </c:pt>
                <c:pt idx="960">
                  <c:v>36.323700000001</c:v>
                </c:pt>
                <c:pt idx="961">
                  <c:v>36.323800000001</c:v>
                </c:pt>
                <c:pt idx="962">
                  <c:v>36.323900000001</c:v>
                </c:pt>
                <c:pt idx="963">
                  <c:v>36.324000000001</c:v>
                </c:pt>
                <c:pt idx="964">
                  <c:v>36.324100000001</c:v>
                </c:pt>
                <c:pt idx="965">
                  <c:v>36.324200000001</c:v>
                </c:pt>
                <c:pt idx="966">
                  <c:v>36.324300000001</c:v>
                </c:pt>
                <c:pt idx="967">
                  <c:v>36.324400000001</c:v>
                </c:pt>
                <c:pt idx="968">
                  <c:v>36.324500000001</c:v>
                </c:pt>
                <c:pt idx="969">
                  <c:v>36.324600000001</c:v>
                </c:pt>
                <c:pt idx="970">
                  <c:v>36.324700000001</c:v>
                </c:pt>
                <c:pt idx="971">
                  <c:v>36.324800000001</c:v>
                </c:pt>
                <c:pt idx="972">
                  <c:v>36.324900000001</c:v>
                </c:pt>
                <c:pt idx="973">
                  <c:v>36.325000000001</c:v>
                </c:pt>
                <c:pt idx="974">
                  <c:v>36.325100000001</c:v>
                </c:pt>
                <c:pt idx="975">
                  <c:v>36.325200000001</c:v>
                </c:pt>
                <c:pt idx="976">
                  <c:v>36.325300000001</c:v>
                </c:pt>
                <c:pt idx="977">
                  <c:v>36.325400000001</c:v>
                </c:pt>
                <c:pt idx="978">
                  <c:v>36.3255000000011</c:v>
                </c:pt>
                <c:pt idx="979">
                  <c:v>36.3256000000011</c:v>
                </c:pt>
                <c:pt idx="980">
                  <c:v>36.3257000000011</c:v>
                </c:pt>
                <c:pt idx="981">
                  <c:v>36.3258000000011</c:v>
                </c:pt>
                <c:pt idx="982">
                  <c:v>36.3259000000011</c:v>
                </c:pt>
                <c:pt idx="983">
                  <c:v>36.3260000000011</c:v>
                </c:pt>
                <c:pt idx="984">
                  <c:v>36.3261000000011</c:v>
                </c:pt>
                <c:pt idx="985">
                  <c:v>36.3262000000011</c:v>
                </c:pt>
                <c:pt idx="986">
                  <c:v>36.3263000000011</c:v>
                </c:pt>
                <c:pt idx="987">
                  <c:v>36.3264000000011</c:v>
                </c:pt>
                <c:pt idx="988">
                  <c:v>36.3265000000011</c:v>
                </c:pt>
                <c:pt idx="989">
                  <c:v>36.3266000000011</c:v>
                </c:pt>
                <c:pt idx="990">
                  <c:v>36.3267000000011</c:v>
                </c:pt>
                <c:pt idx="991">
                  <c:v>36.3268000000011</c:v>
                </c:pt>
                <c:pt idx="992">
                  <c:v>36.3269000000011</c:v>
                </c:pt>
                <c:pt idx="993">
                  <c:v>36.3270000000011</c:v>
                </c:pt>
                <c:pt idx="994">
                  <c:v>36.3271000000011</c:v>
                </c:pt>
                <c:pt idx="995">
                  <c:v>36.3272000000011</c:v>
                </c:pt>
                <c:pt idx="996">
                  <c:v>36.3273000000011</c:v>
                </c:pt>
                <c:pt idx="997">
                  <c:v>36.3274000000011</c:v>
                </c:pt>
                <c:pt idx="998">
                  <c:v>36.3275000000011</c:v>
                </c:pt>
                <c:pt idx="999">
                  <c:v>36.3276000000011</c:v>
                </c:pt>
                <c:pt idx="1000">
                  <c:v>36.3277000000011</c:v>
                </c:pt>
              </c:numCache>
            </c:numRef>
          </c:xVal>
          <c:yVal>
            <c:numRef>
              <c:f>Calculs!$AE$4:$AE$1004</c:f>
              <c:numCache>
                <c:formatCode>General</c:formatCode>
                <c:ptCount val="1001"/>
                <c:pt idx="0">
                  <c:v>0</c:v>
                </c:pt>
                <c:pt idx="1">
                  <c:v>4.71066430277206E-005</c:v>
                </c:pt>
                <c:pt idx="2">
                  <c:v>0.00123430985045809</c:v>
                </c:pt>
                <c:pt idx="3">
                  <c:v>0.00565398827554792</c:v>
                </c:pt>
                <c:pt idx="4">
                  <c:v>0.0154000738490383</c:v>
                </c:pt>
                <c:pt idx="5">
                  <c:v>0.032568704976589</c:v>
                </c:pt>
                <c:pt idx="6">
                  <c:v>0.0587286030075707</c:v>
                </c:pt>
                <c:pt idx="7">
                  <c:v>0.0943900694407182</c:v>
                </c:pt>
                <c:pt idx="8">
                  <c:v>0.139533610440935</c:v>
                </c:pt>
                <c:pt idx="9">
                  <c:v>0.194139616707074</c:v>
                </c:pt>
                <c:pt idx="10">
                  <c:v>0.25818836387632</c:v>
                </c:pt>
                <c:pt idx="11">
                  <c:v>0.331660012933674</c:v>
                </c:pt>
                <c:pt idx="12">
                  <c:v>0.414534610626495</c:v>
                </c:pt>
                <c:pt idx="13">
                  <c:v>0.506792089884068</c:v>
                </c:pt>
                <c:pt idx="14">
                  <c:v>0.608412270242167</c:v>
                </c:pt>
                <c:pt idx="15">
                  <c:v>0.719374858272552</c:v>
                </c:pt>
                <c:pt idx="16">
                  <c:v>0.839659448017392</c:v>
                </c:pt>
                <c:pt idx="17">
                  <c:v>0.969245521428544</c:v>
                </c:pt>
                <c:pt idx="18">
                  <c:v>1.10811244881168</c:v>
                </c:pt>
                <c:pt idx="19">
                  <c:v>1.25623948927518</c:v>
                </c:pt>
                <c:pt idx="20">
                  <c:v>1.4136057911838</c:v>
                </c:pt>
                <c:pt idx="21">
                  <c:v>1.58019039261706</c:v>
                </c:pt>
                <c:pt idx="22">
                  <c:v>1.75597222183222</c:v>
                </c:pt>
                <c:pt idx="23">
                  <c:v>1.94093009773201</c:v>
                </c:pt>
                <c:pt idx="24">
                  <c:v>2.13504273033682</c:v>
                </c:pt>
                <c:pt idx="25">
                  <c:v>2.33828872126149</c:v>
                </c:pt>
                <c:pt idx="26">
                  <c:v>2.55064656419662</c:v>
                </c:pt>
                <c:pt idx="27">
                  <c:v>2.77209464539425</c:v>
                </c:pt>
                <c:pt idx="28">
                  <c:v>3.00261124415803</c:v>
                </c:pt>
                <c:pt idx="29">
                  <c:v>3.24217453333772</c:v>
                </c:pt>
                <c:pt idx="30">
                  <c:v>3.49076257982799</c:v>
                </c:pt>
                <c:pt idx="31">
                  <c:v>3.74835334507152</c:v>
                </c:pt>
                <c:pt idx="32">
                  <c:v>4.01492468556632</c:v>
                </c:pt>
                <c:pt idx="33">
                  <c:v>4.29043955550623</c:v>
                </c:pt>
                <c:pt idx="34">
                  <c:v>4.57486029065876</c:v>
                </c:pt>
                <c:pt idx="35">
                  <c:v>4.86816341380027</c:v>
                </c:pt>
                <c:pt idx="36">
                  <c:v>5.17032536614843</c:v>
                </c:pt>
                <c:pt idx="37">
                  <c:v>5.48132251439453</c:v>
                </c:pt>
                <c:pt idx="38">
                  <c:v>5.80113114984989</c:v>
                </c:pt>
                <c:pt idx="39">
                  <c:v>6.12972748770731</c:v>
                </c:pt>
                <c:pt idx="40">
                  <c:v>6.46708766640578</c:v>
                </c:pt>
                <c:pt idx="41">
                  <c:v>6.81318774708791</c:v>
                </c:pt>
                <c:pt idx="42">
                  <c:v>7.16800371314139</c:v>
                </c:pt>
                <c:pt idx="43">
                  <c:v>7.53151146981626</c:v>
                </c:pt>
                <c:pt idx="44">
                  <c:v>7.90368684391139</c:v>
                </c:pt>
                <c:pt idx="45">
                  <c:v>8.28450558352366</c:v>
                </c:pt>
                <c:pt idx="46">
                  <c:v>8.67394335785479</c:v>
                </c:pt>
                <c:pt idx="47">
                  <c:v>9.07197575707059</c:v>
                </c:pt>
                <c:pt idx="48">
                  <c:v>9.47857829220871</c:v>
                </c:pt>
                <c:pt idx="49">
                  <c:v>9.89372639513068</c:v>
                </c:pt>
                <c:pt idx="50">
                  <c:v>10.3173954185151</c:v>
                </c:pt>
                <c:pt idx="51">
                  <c:v>10.7495634267414</c:v>
                </c:pt>
                <c:pt idx="52">
                  <c:v>11.1902139904642</c:v>
                </c:pt>
                <c:pt idx="53">
                  <c:v>11.6393334007848</c:v>
                </c:pt>
                <c:pt idx="54">
                  <c:v>12.096907879664</c:v>
                </c:pt>
                <c:pt idx="55">
                  <c:v>12.5629235798068</c:v>
                </c:pt>
                <c:pt idx="56">
                  <c:v>13.0373665845716</c:v>
                </c:pt>
                <c:pt idx="57">
                  <c:v>13.5202229079007</c:v>
                </c:pt>
                <c:pt idx="58">
                  <c:v>14.0114784942715</c:v>
                </c:pt>
                <c:pt idx="59">
                  <c:v>14.5111192186678</c:v>
                </c:pt>
                <c:pt idx="60">
                  <c:v>15.0191308865683</c:v>
                </c:pt>
                <c:pt idx="61">
                  <c:v>15.5354992339537</c:v>
                </c:pt>
                <c:pt idx="62">
                  <c:v>16.0602099273289</c:v>
                </c:pt>
                <c:pt idx="63">
                  <c:v>16.5932485637618</c:v>
                </c:pt>
                <c:pt idx="64">
                  <c:v>17.1346006709362</c:v>
                </c:pt>
                <c:pt idx="65">
                  <c:v>17.6842517072186</c:v>
                </c:pt>
                <c:pt idx="66">
                  <c:v>18.2421870617386</c:v>
                </c:pt>
                <c:pt idx="67">
                  <c:v>18.8083920544817</c:v>
                </c:pt>
                <c:pt idx="68">
                  <c:v>19.3828519363943</c:v>
                </c:pt>
                <c:pt idx="69">
                  <c:v>19.9655518894997</c:v>
                </c:pt>
                <c:pt idx="70">
                  <c:v>20.5564770270259</c:v>
                </c:pt>
                <c:pt idx="71">
                  <c:v>21.1556123935431</c:v>
                </c:pt>
                <c:pt idx="72">
                  <c:v>21.7629429651116</c:v>
                </c:pt>
                <c:pt idx="73">
                  <c:v>22.3784536494392</c:v>
                </c:pt>
                <c:pt idx="74">
                  <c:v>23.002129286048</c:v>
                </c:pt>
                <c:pt idx="75">
                  <c:v>23.6339546464496</c:v>
                </c:pt>
                <c:pt idx="76">
                  <c:v>24.2739144343295</c:v>
                </c:pt>
                <c:pt idx="77">
                  <c:v>24.9219932857388</c:v>
                </c:pt>
                <c:pt idx="78">
                  <c:v>25.5781757692946</c:v>
                </c:pt>
                <c:pt idx="79">
                  <c:v>26.2424463863875</c:v>
                </c:pt>
                <c:pt idx="80">
                  <c:v>26.9147895713961</c:v>
                </c:pt>
                <c:pt idx="81">
                  <c:v>27.5951896919097</c:v>
                </c:pt>
                <c:pt idx="82">
                  <c:v>28.283631048956</c:v>
                </c:pt>
                <c:pt idx="83">
                  <c:v>28.9800978772374</c:v>
                </c:pt>
                <c:pt idx="84">
                  <c:v>29.6845743453716</c:v>
                </c:pt>
                <c:pt idx="85">
                  <c:v>30.3970445561403</c:v>
                </c:pt>
                <c:pt idx="86">
                  <c:v>31.1174925467421</c:v>
                </c:pt>
                <c:pt idx="87">
                  <c:v>31.8459022890522</c:v>
                </c:pt>
                <c:pt idx="88">
                  <c:v>32.5822576898873</c:v>
                </c:pt>
                <c:pt idx="89">
                  <c:v>33.3265425912761</c:v>
                </c:pt>
                <c:pt idx="90">
                  <c:v>34.0787407707346</c:v>
                </c:pt>
                <c:pt idx="91">
                  <c:v>34.8388359415468</c:v>
                </c:pt>
                <c:pt idx="92">
                  <c:v>35.6068117530504</c:v>
                </c:pt>
                <c:pt idx="93">
                  <c:v>36.382651790927</c:v>
                </c:pt>
                <c:pt idx="94">
                  <c:v>37.166339577497</c:v>
                </c:pt>
                <c:pt idx="95">
                  <c:v>37.9578585720189</c:v>
                </c:pt>
                <c:pt idx="96">
                  <c:v>38.7571921709936</c:v>
                </c:pt>
                <c:pt idx="97">
                  <c:v>39.5643237084719</c:v>
                </c:pt>
                <c:pt idx="98">
                  <c:v>40.3792364563671</c:v>
                </c:pt>
                <c:pt idx="99">
                  <c:v>41.2019136247711</c:v>
                </c:pt>
                <c:pt idx="100">
                  <c:v>42.0323383622743</c:v>
                </c:pt>
                <c:pt idx="101">
                  <c:v>42.8704924708862</c:v>
                </c:pt>
                <c:pt idx="102">
                  <c:v>43.716355119818</c:v>
                </c:pt>
                <c:pt idx="103">
                  <c:v>44.569904130051</c:v>
                </c:pt>
                <c:pt idx="104">
                  <c:v>45.4311172601144</c:v>
                </c:pt>
                <c:pt idx="105">
                  <c:v>46.2999722065565</c:v>
                </c:pt>
                <c:pt idx="106">
                  <c:v>47.1764466044198</c:v>
                </c:pt>
                <c:pt idx="107">
                  <c:v>48.060518027718</c:v>
                </c:pt>
                <c:pt idx="108">
                  <c:v>48.9521639899168</c:v>
                </c:pt>
                <c:pt idx="109">
                  <c:v>49.851361944418</c:v>
                </c:pt>
                <c:pt idx="110">
                  <c:v>50.7580892850451</c:v>
                </c:pt>
                <c:pt idx="111">
                  <c:v>51.6723233465329</c:v>
                </c:pt>
                <c:pt idx="112">
                  <c:v>52.5940414050188</c:v>
                </c:pt>
                <c:pt idx="113">
                  <c:v>53.5232206785372</c:v>
                </c:pt>
                <c:pt idx="114">
                  <c:v>54.4598383275164</c:v>
                </c:pt>
                <c:pt idx="115">
                  <c:v>55.403871455277</c:v>
                </c:pt>
                <c:pt idx="116">
                  <c:v>56.3552971085334</c:v>
                </c:pt>
                <c:pt idx="117">
                  <c:v>57.3140922778975</c:v>
                </c:pt>
                <c:pt idx="118">
                  <c:v>58.2802338983836</c:v>
                </c:pt>
                <c:pt idx="119">
                  <c:v>59.2536988499165</c:v>
                </c:pt>
                <c:pt idx="120">
                  <c:v>60.2344639578404</c:v>
                </c:pt>
                <c:pt idx="121">
                  <c:v>61.2225059934308</c:v>
                </c:pt>
                <c:pt idx="122">
                  <c:v>62.217801674407</c:v>
                </c:pt>
                <c:pt idx="123">
                  <c:v>63.2203276654471</c:v>
                </c:pt>
                <c:pt idx="124">
                  <c:v>64.2300605787047</c:v>
                </c:pt>
                <c:pt idx="125">
                  <c:v>65.2469769743264</c:v>
                </c:pt>
                <c:pt idx="126">
                  <c:v>66.2710533609717</c:v>
                </c:pt>
                <c:pt idx="127">
                  <c:v>67.3022661963334</c:v>
                </c:pt>
                <c:pt idx="128">
                  <c:v>68.3405918876606</c:v>
                </c:pt>
                <c:pt idx="129">
                  <c:v>69.3860067922815</c:v>
                </c:pt>
                <c:pt idx="130">
                  <c:v>70.4384872181287</c:v>
                </c:pt>
                <c:pt idx="131">
                  <c:v>71.4980094242647</c:v>
                </c:pt>
                <c:pt idx="132">
                  <c:v>72.5645496214094</c:v>
                </c:pt>
                <c:pt idx="133">
                  <c:v>73.6380839724678</c:v>
                </c:pt>
                <c:pt idx="134">
                  <c:v>74.7185885930593</c:v>
                </c:pt>
                <c:pt idx="135">
                  <c:v>75.8060395520476</c:v>
                </c:pt>
                <c:pt idx="136">
                  <c:v>76.9004128720713</c:v>
                </c:pt>
                <c:pt idx="137">
                  <c:v>78.0016845300758</c:v>
                </c:pt>
                <c:pt idx="138">
                  <c:v>79.1098304578455</c:v>
                </c:pt>
                <c:pt idx="139">
                  <c:v>80.2248265425371</c:v>
                </c:pt>
                <c:pt idx="140">
                  <c:v>81.3466486272129</c:v>
                </c:pt>
                <c:pt idx="141">
                  <c:v>82.4752725113751</c:v>
                </c:pt>
                <c:pt idx="142">
                  <c:v>83.6106739515009</c:v>
                </c:pt>
                <c:pt idx="143">
                  <c:v>84.7528286615774</c:v>
                </c:pt>
                <c:pt idx="144">
                  <c:v>85.9017123136373</c:v>
                </c:pt>
                <c:pt idx="145">
                  <c:v>87.0573005382948</c:v>
                </c:pt>
                <c:pt idx="146">
                  <c:v>88.2195689252822</c:v>
                </c:pt>
                <c:pt idx="147">
                  <c:v>89.3884930239861</c:v>
                </c:pt>
                <c:pt idx="148">
                  <c:v>90.5640483439844</c:v>
                </c:pt>
                <c:pt idx="149">
                  <c:v>91.7462103555831</c:v>
                </c:pt>
                <c:pt idx="150">
                  <c:v>92.9349544903534</c:v>
                </c:pt>
                <c:pt idx="151">
                  <c:v>94.1302565788154</c:v>
                </c:pt>
                <c:pt idx="152">
                  <c:v>95.3320932882854</c:v>
                </c:pt>
                <c:pt idx="153">
                  <c:v>96.5404416862398</c:v>
                </c:pt>
                <c:pt idx="154">
                  <c:v>97.7552788034952</c:v>
                </c:pt>
                <c:pt idx="155">
                  <c:v>98.9765816347021</c:v>
                </c:pt>
                <c:pt idx="156">
                  <c:v>100.20432713884</c:v>
                </c:pt>
                <c:pt idx="157">
                  <c:v>101.438492239708</c:v>
                </c:pt>
                <c:pt idx="158">
                  <c:v>102.679053826426</c:v>
                </c:pt>
                <c:pt idx="159">
                  <c:v>103.925988753919</c:v>
                </c:pt>
                <c:pt idx="160">
                  <c:v>105.179273843418</c:v>
                </c:pt>
                <c:pt idx="161">
                  <c:v>106.438885882952</c:v>
                </c:pt>
                <c:pt idx="162">
                  <c:v>107.704801627838</c:v>
                </c:pt>
                <c:pt idx="163">
                  <c:v>108.976997801179</c:v>
                </c:pt>
                <c:pt idx="164">
                  <c:v>110.255451094353</c:v>
                </c:pt>
                <c:pt idx="165">
                  <c:v>111.540138167508</c:v>
                </c:pt>
                <c:pt idx="166">
                  <c:v>112.831035650051</c:v>
                </c:pt>
                <c:pt idx="167">
                  <c:v>114.128120141145</c:v>
                </c:pt>
                <c:pt idx="168">
                  <c:v>115.431368210194</c:v>
                </c:pt>
                <c:pt idx="169">
                  <c:v>116.740756397338</c:v>
                </c:pt>
                <c:pt idx="170">
                  <c:v>118.056261213942</c:v>
                </c:pt>
                <c:pt idx="171">
                  <c:v>119.377859143086</c:v>
                </c:pt>
                <c:pt idx="172">
                  <c:v>120.705526640052</c:v>
                </c:pt>
                <c:pt idx="173">
                  <c:v>122.039240132817</c:v>
                </c:pt>
                <c:pt idx="174">
                  <c:v>123.378976022538</c:v>
                </c:pt>
                <c:pt idx="175">
                  <c:v>124.724710684037</c:v>
                </c:pt>
                <c:pt idx="176">
                  <c:v>126.076420466293</c:v>
                </c:pt>
                <c:pt idx="177">
                  <c:v>127.434081692924</c:v>
                </c:pt>
                <c:pt idx="178">
                  <c:v>128.797670662672</c:v>
                </c:pt>
                <c:pt idx="179">
                  <c:v>130.167163649887</c:v>
                </c:pt>
                <c:pt idx="180">
                  <c:v>131.542536905014</c:v>
                </c:pt>
                <c:pt idx="181">
                  <c:v>132.923766655069</c:v>
                </c:pt>
                <c:pt idx="182">
                  <c:v>134.310829104127</c:v>
                </c:pt>
                <c:pt idx="183">
                  <c:v>135.703700433798</c:v>
                </c:pt>
                <c:pt idx="184">
                  <c:v>137.102356803708</c:v>
                </c:pt>
                <c:pt idx="185">
                  <c:v>138.506774351979</c:v>
                </c:pt>
                <c:pt idx="186">
                  <c:v>139.916929195703</c:v>
                </c:pt>
                <c:pt idx="187">
                  <c:v>141.332797431424</c:v>
                </c:pt>
                <c:pt idx="188">
                  <c:v>142.754355135606</c:v>
                </c:pt>
                <c:pt idx="189">
                  <c:v>144.181578365115</c:v>
                </c:pt>
                <c:pt idx="190">
                  <c:v>145.614443157687</c:v>
                </c:pt>
                <c:pt idx="191">
                  <c:v>147.0529255324</c:v>
                </c:pt>
                <c:pt idx="192">
                  <c:v>148.497001490148</c:v>
                </c:pt>
                <c:pt idx="193">
                  <c:v>149.946647014108</c:v>
                </c:pt>
                <c:pt idx="194">
                  <c:v>151.401838070208</c:v>
                </c:pt>
                <c:pt idx="195">
                  <c:v>152.862550607597</c:v>
                </c:pt>
                <c:pt idx="196">
                  <c:v>154.328760559107</c:v>
                </c:pt>
                <c:pt idx="197">
                  <c:v>155.800443841716</c:v>
                </c:pt>
                <c:pt idx="198">
                  <c:v>157.277576357019</c:v>
                </c:pt>
                <c:pt idx="199">
                  <c:v>158.760133991679</c:v>
                </c:pt>
                <c:pt idx="200">
                  <c:v>160.248092617895</c:v>
                </c:pt>
                <c:pt idx="201">
                  <c:v>161.741428093858</c:v>
                </c:pt>
                <c:pt idx="202">
                  <c:v>163.240116264207</c:v>
                </c:pt>
                <c:pt idx="203">
                  <c:v>164.744132960485</c:v>
                </c:pt>
                <c:pt idx="204">
                  <c:v>166.253454001595</c:v>
                </c:pt>
                <c:pt idx="205">
                  <c:v>167.768055194253</c:v>
                </c:pt>
                <c:pt idx="206">
                  <c:v>169.287912333435</c:v>
                </c:pt>
                <c:pt idx="207">
                  <c:v>170.81300120283</c:v>
                </c:pt>
                <c:pt idx="208">
                  <c:v>172.343297575289</c:v>
                </c:pt>
                <c:pt idx="209">
                  <c:v>173.878777213267</c:v>
                </c:pt>
                <c:pt idx="210">
                  <c:v>175.419415869271</c:v>
                </c:pt>
                <c:pt idx="211">
                  <c:v>176.965189286301</c:v>
                </c:pt>
                <c:pt idx="212">
                  <c:v>178.516073198294</c:v>
                </c:pt>
                <c:pt idx="213">
                  <c:v>180.07204333056</c:v>
                </c:pt>
                <c:pt idx="214">
                  <c:v>181.633075400222</c:v>
                </c:pt>
                <c:pt idx="215">
                  <c:v>183.199145116653</c:v>
                </c:pt>
                <c:pt idx="216">
                  <c:v>184.770228181906</c:v>
                </c:pt>
                <c:pt idx="217">
                  <c:v>186.346300291152</c:v>
                </c:pt>
                <c:pt idx="218">
                  <c:v>187.927337133106</c:v>
                </c:pt>
                <c:pt idx="219">
                  <c:v>189.51331439046</c:v>
                </c:pt>
                <c:pt idx="220">
                  <c:v>191.104207740305</c:v>
                </c:pt>
                <c:pt idx="221">
                  <c:v>192.699992854561</c:v>
                </c:pt>
                <c:pt idx="222">
                  <c:v>194.300645400397</c:v>
                </c:pt>
                <c:pt idx="223">
                  <c:v>195.906141040655</c:v>
                </c:pt>
                <c:pt idx="224">
                  <c:v>197.516455434266</c:v>
                </c:pt>
                <c:pt idx="225">
                  <c:v>199.13156423667</c:v>
                </c:pt>
                <c:pt idx="226">
                  <c:v>200.751443100231</c:v>
                </c:pt>
                <c:pt idx="227">
                  <c:v>202.376067674649</c:v>
                </c:pt>
                <c:pt idx="228">
                  <c:v>204.005413607376</c:v>
                </c:pt>
                <c:pt idx="229">
                  <c:v>205.639456544018</c:v>
                </c:pt>
                <c:pt idx="230">
                  <c:v>207.27817212875</c:v>
                </c:pt>
                <c:pt idx="231">
                  <c:v>208.921536004717</c:v>
                </c:pt>
                <c:pt idx="232">
                  <c:v>210.56952381444</c:v>
                </c:pt>
                <c:pt idx="233">
                  <c:v>212.222111200213</c:v>
                </c:pt>
                <c:pt idx="234">
                  <c:v>213.879273804509</c:v>
                </c:pt>
                <c:pt idx="235">
                  <c:v>215.540987270371</c:v>
                </c:pt>
                <c:pt idx="236">
                  <c:v>217.207227241811</c:v>
                </c:pt>
                <c:pt idx="237">
                  <c:v>218.8779693642</c:v>
                </c:pt>
                <c:pt idx="238">
                  <c:v>220.553189284663</c:v>
                </c:pt>
                <c:pt idx="239">
                  <c:v>222.232862652461</c:v>
                </c:pt>
                <c:pt idx="240">
                  <c:v>223.916965119385</c:v>
                </c:pt>
                <c:pt idx="241">
                  <c:v>225.605472340134</c:v>
                </c:pt>
                <c:pt idx="242">
                  <c:v>227.298359972703</c:v>
                </c:pt>
                <c:pt idx="243">
                  <c:v>228.995603678757</c:v>
                </c:pt>
                <c:pt idx="244">
                  <c:v>230.697179124013</c:v>
                </c:pt>
                <c:pt idx="245">
                  <c:v>232.403061978614</c:v>
                </c:pt>
                <c:pt idx="246">
                  <c:v>234.113227917502</c:v>
                </c:pt>
                <c:pt idx="247">
                  <c:v>235.82765262079</c:v>
                </c:pt>
                <c:pt idx="248">
                  <c:v>237.54631177413</c:v>
                </c:pt>
                <c:pt idx="249">
                  <c:v>239.26918106908</c:v>
                </c:pt>
                <c:pt idx="250">
                  <c:v>240.996236203467</c:v>
                </c:pt>
                <c:pt idx="251">
                  <c:v>242.727450997963</c:v>
                </c:pt>
                <c:pt idx="252">
                  <c:v>244.46279551367</c:v>
                </c:pt>
                <c:pt idx="253">
                  <c:v>246.202237939506</c:v>
                </c:pt>
                <c:pt idx="254">
                  <c:v>247.945746478657</c:v>
                </c:pt>
                <c:pt idx="255">
                  <c:v>249.693289349061</c:v>
                </c:pt>
                <c:pt idx="256">
                  <c:v>251.444834783895</c:v>
                </c:pt>
                <c:pt idx="257">
                  <c:v>253.200351032058</c:v>
                </c:pt>
                <c:pt idx="258">
                  <c:v>254.959806358648</c:v>
                </c:pt>
                <c:pt idx="259">
                  <c:v>256.723169045439</c:v>
                </c:pt>
                <c:pt idx="260">
                  <c:v>258.490407391346</c:v>
                </c:pt>
                <c:pt idx="261">
                  <c:v>260.261489712894</c:v>
                </c:pt>
                <c:pt idx="262">
                  <c:v>262.036384344682</c:v>
                </c:pt>
                <c:pt idx="263">
                  <c:v>263.815059639837</c:v>
                </c:pt>
                <c:pt idx="264">
                  <c:v>265.597483970473</c:v>
                </c:pt>
                <c:pt idx="265">
                  <c:v>267.383625728138</c:v>
                </c:pt>
                <c:pt idx="266">
                  <c:v>269.173453324261</c:v>
                </c:pt>
                <c:pt idx="267">
                  <c:v>270.966935190597</c:v>
                </c:pt>
                <c:pt idx="268">
                  <c:v>272.764039779661</c:v>
                </c:pt>
                <c:pt idx="269">
                  <c:v>274.564735565166</c:v>
                </c:pt>
                <c:pt idx="270">
                  <c:v>276.368991042453</c:v>
                </c:pt>
                <c:pt idx="271">
                  <c:v>278.176774728917</c:v>
                </c:pt>
                <c:pt idx="272">
                  <c:v>279.988055164428</c:v>
                </c:pt>
                <c:pt idx="273">
                  <c:v>281.802800911753</c:v>
                </c:pt>
                <c:pt idx="274">
                  <c:v>283.620980556967</c:v>
                </c:pt>
                <c:pt idx="275">
                  <c:v>285.442562709865</c:v>
                </c:pt>
                <c:pt idx="276">
                  <c:v>287.26751600437</c:v>
                </c:pt>
                <c:pt idx="277">
                  <c:v>289.095809098934</c:v>
                </c:pt>
                <c:pt idx="278">
                  <c:v>290.927410676934</c:v>
                </c:pt>
                <c:pt idx="279">
                  <c:v>292.762289447072</c:v>
                </c:pt>
                <c:pt idx="280">
                  <c:v>294.600414143763</c:v>
                </c:pt>
                <c:pt idx="281">
                  <c:v>296.441753527518</c:v>
                </c:pt>
                <c:pt idx="282">
                  <c:v>298.286276385332</c:v>
                </c:pt>
                <c:pt idx="283">
                  <c:v>300.133951531061</c:v>
                </c:pt>
                <c:pt idx="284">
                  <c:v>301.984747805795</c:v>
                </c:pt>
                <c:pt idx="285">
                  <c:v>303.838634078227</c:v>
                </c:pt>
                <c:pt idx="286">
                  <c:v>305.695579245027</c:v>
                </c:pt>
                <c:pt idx="287">
                  <c:v>307.555552231193</c:v>
                </c:pt>
                <c:pt idx="288">
                  <c:v>309.418521990423</c:v>
                </c:pt>
                <c:pt idx="289">
                  <c:v>311.284457505456</c:v>
                </c:pt>
                <c:pt idx="290">
                  <c:v>313.153327788433</c:v>
                </c:pt>
                <c:pt idx="291">
                  <c:v>315.025101881241</c:v>
                </c:pt>
                <c:pt idx="292">
                  <c:v>316.89974885585</c:v>
                </c:pt>
                <c:pt idx="293">
                  <c:v>318.777237814659</c:v>
                </c:pt>
                <c:pt idx="294">
                  <c:v>320.657537890829</c:v>
                </c:pt>
                <c:pt idx="295">
                  <c:v>322.540618248611</c:v>
                </c:pt>
                <c:pt idx="296">
                  <c:v>324.426448083675</c:v>
                </c:pt>
                <c:pt idx="297">
                  <c:v>326.314996623431</c:v>
                </c:pt>
                <c:pt idx="298">
                  <c:v>328.206212466285</c:v>
                </c:pt>
                <c:pt idx="299">
                  <c:v>330.100002941184</c:v>
                </c:pt>
                <c:pt idx="300">
                  <c:v>331.996254820626</c:v>
                </c:pt>
                <c:pt idx="301">
                  <c:v>333.89485501445</c:v>
                </c:pt>
                <c:pt idx="302">
                  <c:v>335.795690572298</c:v>
                </c:pt>
                <c:pt idx="303">
                  <c:v>337.698648686044</c:v>
                </c:pt>
                <c:pt idx="304">
                  <c:v>339.603616692162</c:v>
                </c:pt>
                <c:pt idx="305">
                  <c:v>341.510482074057</c:v>
                </c:pt>
                <c:pt idx="306">
                  <c:v>343.419132464343</c:v>
                </c:pt>
                <c:pt idx="307">
                  <c:v>345.329455647081</c:v>
                </c:pt>
                <c:pt idx="308">
                  <c:v>347.241339559963</c:v>
                </c:pt>
                <c:pt idx="309">
                  <c:v>349.154672296456</c:v>
                </c:pt>
                <c:pt idx="310">
                  <c:v>351.069342107896</c:v>
                </c:pt>
                <c:pt idx="311">
                  <c:v>352.985237405536</c:v>
                </c:pt>
                <c:pt idx="312">
                  <c:v>354.902246762553</c:v>
                </c:pt>
                <c:pt idx="313">
                  <c:v>356.820258916</c:v>
                </c:pt>
                <c:pt idx="314">
                  <c:v>358.739162768723</c:v>
                </c:pt>
                <c:pt idx="315">
                  <c:v>360.658847391222</c:v>
                </c:pt>
                <c:pt idx="316">
                  <c:v>362.579202023477</c:v>
                </c:pt>
                <c:pt idx="317">
                  <c:v>364.50011607672</c:v>
                </c:pt>
                <c:pt idx="318">
                  <c:v>366.421479135169</c:v>
                </c:pt>
                <c:pt idx="319">
                  <c:v>368.343180957711</c:v>
                </c:pt>
                <c:pt idx="320">
                  <c:v>370.265111479548</c:v>
                </c:pt>
                <c:pt idx="321">
                  <c:v>372.1871690264</c:v>
                </c:pt>
                <c:pt idx="322">
                  <c:v>374.109268515989</c:v>
                </c:pt>
                <c:pt idx="323">
                  <c:v>376.031333219358</c:v>
                </c:pt>
                <c:pt idx="324">
                  <c:v>377.953286534437</c:v>
                </c:pt>
                <c:pt idx="325">
                  <c:v>379.875051986663</c:v>
                </c:pt>
                <c:pt idx="326">
                  <c:v>381.796553229589</c:v>
                </c:pt>
                <c:pt idx="327">
                  <c:v>383.717714045467</c:v>
                </c:pt>
                <c:pt idx="328">
                  <c:v>385.638458345807</c:v>
                </c:pt>
                <c:pt idx="329">
                  <c:v>387.558710171922</c:v>
                </c:pt>
                <c:pt idx="330">
                  <c:v>389.478393695449</c:v>
                </c:pt>
                <c:pt idx="331">
                  <c:v>391.39743321885</c:v>
                </c:pt>
                <c:pt idx="332">
                  <c:v>393.315753175894</c:v>
                </c:pt>
                <c:pt idx="333">
                  <c:v>395.233278132115</c:v>
                </c:pt>
                <c:pt idx="334">
                  <c:v>397.149932785254</c:v>
                </c:pt>
                <c:pt idx="335">
                  <c:v>399.065641965684</c:v>
                </c:pt>
                <c:pt idx="336">
                  <c:v>400.980330636806</c:v>
                </c:pt>
                <c:pt idx="337">
                  <c:v>402.893923895431</c:v>
                </c:pt>
                <c:pt idx="338">
                  <c:v>404.806346972149</c:v>
                </c:pt>
                <c:pt idx="339">
                  <c:v>406.717525231664</c:v>
                </c:pt>
                <c:pt idx="340">
                  <c:v>408.627384173124</c:v>
                </c:pt>
                <c:pt idx="341">
                  <c:v>410.535849430424</c:v>
                </c:pt>
                <c:pt idx="342">
                  <c:v>412.442846772492</c:v>
                </c:pt>
                <c:pt idx="343">
                  <c:v>414.34830210356</c:v>
                </c:pt>
                <c:pt idx="344">
                  <c:v>416.252141463406</c:v>
                </c:pt>
                <c:pt idx="345">
                  <c:v>418.154291027595</c:v>
                </c:pt>
                <c:pt idx="346">
                  <c:v>420.054677107683</c:v>
                </c:pt>
                <c:pt idx="347">
                  <c:v>421.953226151417</c:v>
                </c:pt>
                <c:pt idx="348">
                  <c:v>423.849865627964</c:v>
                </c:pt>
                <c:pt idx="349">
                  <c:v>425.744524911418</c:v>
                </c:pt>
                <c:pt idx="350">
                  <c:v>427.637134392424</c:v>
                </c:pt>
                <c:pt idx="351">
                  <c:v>429.527624591481</c:v>
                </c:pt>
                <c:pt idx="352">
                  <c:v>431.415926159006</c:v>
                </c:pt>
                <c:pt idx="353">
                  <c:v>433.301969875388</c:v>
                </c:pt>
                <c:pt idx="354">
                  <c:v>435.185686651018</c:v>
                </c:pt>
                <c:pt idx="355">
                  <c:v>437.067007526316</c:v>
                </c:pt>
                <c:pt idx="356">
                  <c:v>438.945863671729</c:v>
                </c:pt>
                <c:pt idx="357">
                  <c:v>440.822186387727</c:v>
                </c:pt>
                <c:pt idx="358">
                  <c:v>442.695907104775</c:v>
                </c:pt>
                <c:pt idx="359">
                  <c:v>444.566957383295</c:v>
                </c:pt>
                <c:pt idx="360">
                  <c:v>446.435287313958</c:v>
                </c:pt>
                <c:pt idx="361">
                  <c:v>448.300883879948</c:v>
                </c:pt>
                <c:pt idx="362">
                  <c:v>450.163752481729</c:v>
                </c:pt>
                <c:pt idx="363">
                  <c:v>452.023898499902</c:v>
                </c:pt>
                <c:pt idx="364">
                  <c:v>453.881327295308</c:v>
                </c:pt>
                <c:pt idx="365">
                  <c:v>455.73604420912</c:v>
                </c:pt>
                <c:pt idx="366">
                  <c:v>457.588054562936</c:v>
                </c:pt>
                <c:pt idx="367">
                  <c:v>459.437363658876</c:v>
                </c:pt>
                <c:pt idx="368">
                  <c:v>461.283976779679</c:v>
                </c:pt>
                <c:pt idx="369">
                  <c:v>463.12789918879</c:v>
                </c:pt>
                <c:pt idx="370">
                  <c:v>464.969136130456</c:v>
                </c:pt>
                <c:pt idx="371">
                  <c:v>466.80769282982</c:v>
                </c:pt>
                <c:pt idx="372">
                  <c:v>468.64357449301</c:v>
                </c:pt>
                <c:pt idx="373">
                  <c:v>470.476786307231</c:v>
                </c:pt>
                <c:pt idx="374">
                  <c:v>472.307333440856</c:v>
                </c:pt>
                <c:pt idx="375">
                  <c:v>474.135221043514</c:v>
                </c:pt>
                <c:pt idx="376">
                  <c:v>475.960454246184</c:v>
                </c:pt>
                <c:pt idx="377">
                  <c:v>477.783038161279</c:v>
                </c:pt>
                <c:pt idx="378">
                  <c:v>479.602977882736</c:v>
                </c:pt>
                <c:pt idx="379">
                  <c:v>481.420278486108</c:v>
                </c:pt>
                <c:pt idx="380">
                  <c:v>483.234945028644</c:v>
                </c:pt>
                <c:pt idx="381">
                  <c:v>485.04698254938</c:v>
                </c:pt>
                <c:pt idx="382">
                  <c:v>486.856396069227</c:v>
                </c:pt>
                <c:pt idx="383">
                  <c:v>488.663190591054</c:v>
                </c:pt>
                <c:pt idx="384">
                  <c:v>490.467371099771</c:v>
                </c:pt>
                <c:pt idx="385">
                  <c:v>492.268942562421</c:v>
                </c:pt>
                <c:pt idx="386">
                  <c:v>494.067909928258</c:v>
                </c:pt>
                <c:pt idx="387">
                  <c:v>495.864278128833</c:v>
                </c:pt>
                <c:pt idx="388">
                  <c:v>497.658052078076</c:v>
                </c:pt>
                <c:pt idx="389">
                  <c:v>499.449236672381</c:v>
                </c:pt>
                <c:pt idx="390">
                  <c:v>501.237836790687</c:v>
                </c:pt>
                <c:pt idx="391">
                  <c:v>503.023857294559</c:v>
                </c:pt>
                <c:pt idx="392">
                  <c:v>504.80730302827</c:v>
                </c:pt>
                <c:pt idx="393">
                  <c:v>506.588178818884</c:v>
                </c:pt>
                <c:pt idx="394">
                  <c:v>508.366489476332</c:v>
                </c:pt>
                <c:pt idx="395">
                  <c:v>510.142239793496</c:v>
                </c:pt>
                <c:pt idx="396">
                  <c:v>511.915434546283</c:v>
                </c:pt>
                <c:pt idx="397">
                  <c:v>513.686078493713</c:v>
                </c:pt>
                <c:pt idx="398">
                  <c:v>515.454176377986</c:v>
                </c:pt>
                <c:pt idx="399">
                  <c:v>517.219732924571</c:v>
                </c:pt>
                <c:pt idx="400">
                  <c:v>518.982752842275</c:v>
                </c:pt>
                <c:pt idx="401">
                  <c:v>536.473800892352</c:v>
                </c:pt>
                <c:pt idx="402">
                  <c:v>553.714204690806</c:v>
                </c:pt>
                <c:pt idx="403">
                  <c:v>570.708514530673</c:v>
                </c:pt>
                <c:pt idx="404">
                  <c:v>587.461124033914</c:v>
                </c:pt>
                <c:pt idx="405">
                  <c:v>603.976277161297</c:v>
                </c:pt>
                <c:pt idx="406">
                  <c:v>620.258074828367</c:v>
                </c:pt>
                <c:pt idx="407">
                  <c:v>636.310481153894</c:v>
                </c:pt>
                <c:pt idx="408">
                  <c:v>652.137329365098</c:v>
                </c:pt>
                <c:pt idx="409">
                  <c:v>667.74232738213</c:v>
                </c:pt>
                <c:pt idx="410">
                  <c:v>683.129063102546</c:v>
                </c:pt>
                <c:pt idx="411">
                  <c:v>698.301009404979</c:v>
                </c:pt>
                <c:pt idx="412">
                  <c:v>713.261528889775</c:v>
                </c:pt>
                <c:pt idx="413">
                  <c:v>728.013878373066</c:v>
                </c:pt>
                <c:pt idx="414">
                  <c:v>742.561213149541</c:v>
                </c:pt>
                <c:pt idx="415">
                  <c:v>756.906591038096</c:v>
                </c:pt>
                <c:pt idx="416">
                  <c:v>771.052976223531</c:v>
                </c:pt>
                <c:pt idx="417">
                  <c:v>785.003242906522</c:v>
                </c:pt>
                <c:pt idx="418">
                  <c:v>798.760178773266</c:v>
                </c:pt>
                <c:pt idx="419">
                  <c:v>812.326488295387</c:v>
                </c:pt>
                <c:pt idx="420">
                  <c:v>825.704795869996</c:v>
                </c:pt>
                <c:pt idx="421">
                  <c:v>838.897648809097</c:v>
                </c:pt>
                <c:pt idx="422">
                  <c:v>851.907520186954</c:v>
                </c:pt>
                <c:pt idx="423">
                  <c:v>864.736811553414</c:v>
                </c:pt>
                <c:pt idx="424">
                  <c:v>877.387855520712</c:v>
                </c:pt>
                <c:pt idx="425">
                  <c:v>889.862918230744</c:v>
                </c:pt>
                <c:pt idx="426">
                  <c:v>902.164201709387</c:v>
                </c:pt>
                <c:pt idx="427">
                  <c:v>914.29384611398</c:v>
                </c:pt>
                <c:pt idx="428">
                  <c:v>926.253931879745</c:v>
                </c:pt>
                <c:pt idx="429">
                  <c:v>938.04648177052</c:v>
                </c:pt>
                <c:pt idx="430">
                  <c:v>949.673462838862</c:v>
                </c:pt>
                <c:pt idx="431">
                  <c:v>961.13678830028</c:v>
                </c:pt>
                <c:pt idx="432">
                  <c:v>972.438319326032</c:v>
                </c:pt>
                <c:pt idx="433">
                  <c:v>983.579866758694</c:v>
                </c:pt>
                <c:pt idx="434">
                  <c:v>994.563192754425</c:v>
                </c:pt>
                <c:pt idx="435">
                  <c:v>1005.39001235563</c:v>
                </c:pt>
                <c:pt idx="436">
                  <c:v>1016.06199499751</c:v>
                </c:pt>
                <c:pt idx="437">
                  <c:v>1026.58076595179</c:v>
                </c:pt>
                <c:pt idx="438">
                  <c:v>1036.94790771068</c:v>
                </c:pt>
                <c:pt idx="439">
                  <c:v>1047.16496131404</c:v>
                </c:pt>
                <c:pt idx="440">
                  <c:v>1057.23342762243</c:v>
                </c:pt>
              </c:numCache>
            </c:numRef>
          </c:yVal>
          <c:smooth val="1"/>
        </c:ser>
        <c:ser>
          <c:idx val="6"/>
          <c:order val="6"/>
          <c:tx>
            <c:strRef>
              <c:f>Trajecto!$B$106</c:f>
              <c:strCache>
                <c:ptCount val="1"/>
                <c:pt idx="0">
                  <c:v>Phase ascendante</c:v>
                </c:pt>
              </c:strCache>
            </c:strRef>
          </c:tx>
          <c:spPr>
            <a:solidFill>
              <a:srgbClr val="99ccff"/>
            </a:solidFill>
            <a:ln w="28440">
              <a:noFill/>
            </a:ln>
          </c:spPr>
          <c:marker>
            <c:symbol val="none"/>
          </c:marker>
          <c:dLbls>
            <c:txPr>
              <a:bodyPr wrap="square"/>
              <a:lstStyle/>
              <a:p>
                <a:pPr>
                  <a:defRPr b="1" sz="700" spc="-1" strike="noStrike">
                    <a:solidFill>
                      <a:srgbClr val="000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Trajecto!$B$157</c:f>
              <c:numCache>
                <c:formatCode>General</c:formatCode>
                <c:ptCount val="1"/>
                <c:pt idx="0">
                  <c:v>2</c:v>
                </c:pt>
              </c:numCache>
            </c:numRef>
          </c:xVal>
          <c:yVal>
            <c:numRef>
              <c:f>Trajecto!$C$155</c:f>
              <c:numCache>
                <c:formatCode>General</c:formatCode>
                <c:ptCount val="1"/>
                <c:pt idx="0">
                  <c:v>528.616713811215</c:v>
                </c:pt>
              </c:numCache>
            </c:numRef>
          </c:yVal>
          <c:smooth val="1"/>
        </c:ser>
        <c:ser>
          <c:idx val="7"/>
          <c:order val="7"/>
          <c:tx>
            <c:strRef>
              <c:f>Trajecto!$B$107</c:f>
              <c:strCache>
                <c:ptCount val="1"/>
                <c:pt idx="0">
                  <c:v>Descente balistique</c:v>
                </c:pt>
              </c:strCache>
            </c:strRef>
          </c:tx>
          <c:spPr>
            <a:solidFill>
              <a:srgbClr val="99ccff"/>
            </a:solidFill>
            <a:ln w="28440">
              <a:noFill/>
            </a:ln>
          </c:spPr>
          <c:marker>
            <c:symbol val="none"/>
          </c:marker>
          <c:dLbls>
            <c:txPr>
              <a:bodyPr wrap="square"/>
              <a:lstStyle/>
              <a:p>
                <a:pPr>
                  <a:defRPr b="1" sz="700" spc="-1" strike="noStrike">
                    <a:solidFill>
                      <a:srgbClr val="808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Trajecto!$B$158</c:f>
              <c:numCache>
                <c:formatCode>General</c:formatCode>
                <c:ptCount val="1"/>
                <c:pt idx="0">
                  <c:v>26.5500000000001</c:v>
                </c:pt>
              </c:numCache>
            </c:numRef>
          </c:xVal>
          <c:yVal>
            <c:numRef>
              <c:f>Trajecto!$C$156</c:f>
              <c:numCache>
                <c:formatCode>General</c:formatCode>
                <c:ptCount val="1"/>
                <c:pt idx="0">
                  <c:v>734.135513259413</c:v>
                </c:pt>
              </c:numCache>
            </c:numRef>
          </c:yVal>
          <c:smooth val="1"/>
        </c:ser>
        <c:axId val="59954240"/>
        <c:axId val="29264415"/>
      </c:scatterChart>
      <c:valAx>
        <c:axId val="59954240"/>
        <c:scaling>
          <c:orientation val="minMax"/>
          <c:min val="0"/>
        </c:scaling>
        <c:delete val="0"/>
        <c:axPos val="b"/>
        <c:majorGridlines>
          <c:spPr>
            <a:ln w="3240">
              <a:solidFill>
                <a:srgbClr val="000000"/>
              </a:solidFill>
              <a:prstDash val="sysDash"/>
              <a:round/>
            </a:ln>
          </c:spPr>
        </c:majorGridlines>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Temps [s]</a:t>
                </a:r>
              </a:p>
            </c:rich>
          </c:tx>
          <c:layout>
            <c:manualLayout>
              <c:xMode val="edge"/>
              <c:yMode val="edge"/>
              <c:x val="0.605689121637705"/>
              <c:y val="0.851141018139263"/>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29264415"/>
        <c:crosses val="autoZero"/>
        <c:crossBetween val="midCat"/>
      </c:valAx>
      <c:valAx>
        <c:axId val="29264415"/>
        <c:scaling>
          <c:orientation val="minMax"/>
          <c:min val="0"/>
        </c:scaling>
        <c:delete val="0"/>
        <c:axPos val="l"/>
        <c:majorGridlines>
          <c:spPr>
            <a:ln w="3240">
              <a:solidFill>
                <a:srgbClr val="000000"/>
              </a:solidFill>
              <a:prstDash val="sysDash"/>
              <a:round/>
            </a:ln>
          </c:spPr>
        </c:majorGridlines>
        <c:title>
          <c:tx>
            <c:rich>
              <a:bodyPr rot="-5400000"/>
              <a:lstStyle/>
              <a:p>
                <a:pPr>
                  <a:defRPr b="1" lang="fr-FR" sz="800" spc="-1" strike="noStrike">
                    <a:solidFill>
                      <a:srgbClr val="0000ff"/>
                    </a:solidFill>
                    <a:latin typeface="Arial"/>
                    <a:ea typeface="Arial"/>
                  </a:defRPr>
                </a:pPr>
                <a:r>
                  <a:rPr b="1" lang="fr-FR" sz="800" spc="-1" strike="noStrike">
                    <a:solidFill>
                      <a:srgbClr val="0000ff"/>
                    </a:solidFill>
                    <a:latin typeface="Arial"/>
                    <a:ea typeface="Arial"/>
                  </a:rPr>
                  <a:t>Altitude z [m]</a:t>
                </a:r>
              </a:p>
            </c:rich>
          </c:tx>
          <c:layout>
            <c:manualLayout>
              <c:xMode val="edge"/>
              <c:yMode val="edge"/>
              <c:x val="0.0898595572482742"/>
              <c:y val="0.0677589233469865"/>
            </c:manualLayout>
          </c:layout>
          <c:overlay val="0"/>
          <c:spPr>
            <a:no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59954240"/>
        <c:crosses val="autoZero"/>
        <c:crossBetween val="midCat"/>
      </c:valAx>
      <c:spPr>
        <a:gradFill>
          <a:gsLst>
            <a:gs pos="0">
              <a:srgbClr val="99ccff"/>
            </a:gs>
            <a:gs pos="100000">
              <a:srgbClr val="ffffff"/>
            </a:gs>
          </a:gsLst>
          <a:lin ang="5400000"/>
        </a:gradFill>
        <a:ln w="12600">
          <a:solidFill>
            <a:srgbClr val="808080"/>
          </a:solidFill>
          <a:round/>
        </a:ln>
      </c:spPr>
    </c:plotArea>
    <c:plotVisOnly val="0"/>
    <c:dispBlanksAs val="gap"/>
  </c:chart>
  <c:spPr>
    <a:solidFill>
      <a:srgbClr val="ffffff"/>
    </a:solidFill>
    <a:ln w="3240">
      <a:solidFill>
        <a:srgbClr val="000000"/>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Forces</a:t>
            </a:r>
          </a:p>
        </c:rich>
      </c:tx>
      <c:overlay val="0"/>
      <c:spPr>
        <a:noFill/>
        <a:ln w="0">
          <a:noFill/>
        </a:ln>
      </c:spPr>
    </c:title>
    <c:autoTitleDeleted val="0"/>
    <c:plotArea>
      <c:layout>
        <c:manualLayout>
          <c:layoutTarget val="inner"/>
          <c:xMode val="edge"/>
          <c:yMode val="edge"/>
          <c:x val="0.116729060484417"/>
          <c:y val="0.0947630922693267"/>
          <c:w val="0.864282170402778"/>
          <c:h val="0.74169838561491"/>
        </c:manualLayout>
      </c:layout>
      <c:scatterChart>
        <c:scatterStyle val="line"/>
        <c:varyColors val="0"/>
        <c:ser>
          <c:idx val="0"/>
          <c:order val="0"/>
          <c:tx>
            <c:strRef>
              <c:f>Courbes!$B$134</c:f>
              <c:strCache>
                <c:ptCount val="1"/>
                <c:pt idx="0">
                  <c:v>Poussée</c:v>
                </c:pt>
              </c:strCache>
            </c:strRef>
          </c:tx>
          <c:spPr>
            <a:solidFill>
              <a:srgbClr val="008000"/>
            </a:solidFill>
            <a:ln w="25560">
              <a:solidFill>
                <a:srgbClr val="008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34.8000000000002</c:v>
                </c:pt>
                <c:pt idx="709">
                  <c:v>34.9000000000002</c:v>
                </c:pt>
                <c:pt idx="710">
                  <c:v>35.0000000000002</c:v>
                </c:pt>
                <c:pt idx="711">
                  <c:v>35.1000000000002</c:v>
                </c:pt>
                <c:pt idx="712">
                  <c:v>35.2000000000002</c:v>
                </c:pt>
                <c:pt idx="713">
                  <c:v>35.3000000000002</c:v>
                </c:pt>
                <c:pt idx="714">
                  <c:v>35.4000000000002</c:v>
                </c:pt>
                <c:pt idx="715">
                  <c:v>35.5000000000002</c:v>
                </c:pt>
                <c:pt idx="716">
                  <c:v>35.6000000000002</c:v>
                </c:pt>
                <c:pt idx="717">
                  <c:v>35.7000000000002</c:v>
                </c:pt>
                <c:pt idx="718">
                  <c:v>35.8000000000002</c:v>
                </c:pt>
                <c:pt idx="719">
                  <c:v>35.9000000000002</c:v>
                </c:pt>
                <c:pt idx="720">
                  <c:v>36.0000000000002</c:v>
                </c:pt>
                <c:pt idx="721">
                  <c:v>36.1000000000002</c:v>
                </c:pt>
                <c:pt idx="722">
                  <c:v>36.2000000000002</c:v>
                </c:pt>
                <c:pt idx="723">
                  <c:v>36.3000000000002</c:v>
                </c:pt>
                <c:pt idx="724">
                  <c:v>36.3001000000002</c:v>
                </c:pt>
                <c:pt idx="725">
                  <c:v>36.3002000000002</c:v>
                </c:pt>
                <c:pt idx="726">
                  <c:v>36.3003000000002</c:v>
                </c:pt>
                <c:pt idx="727">
                  <c:v>36.3004000000002</c:v>
                </c:pt>
                <c:pt idx="728">
                  <c:v>36.3005000000002</c:v>
                </c:pt>
                <c:pt idx="729">
                  <c:v>36.3006000000002</c:v>
                </c:pt>
                <c:pt idx="730">
                  <c:v>36.3007000000002</c:v>
                </c:pt>
                <c:pt idx="731">
                  <c:v>36.3008000000002</c:v>
                </c:pt>
                <c:pt idx="732">
                  <c:v>36.3009000000002</c:v>
                </c:pt>
                <c:pt idx="733">
                  <c:v>36.3010000000002</c:v>
                </c:pt>
                <c:pt idx="734">
                  <c:v>36.3011000000002</c:v>
                </c:pt>
                <c:pt idx="735">
                  <c:v>36.3012000000002</c:v>
                </c:pt>
                <c:pt idx="736">
                  <c:v>36.3013000000002</c:v>
                </c:pt>
                <c:pt idx="737">
                  <c:v>36.3014000000003</c:v>
                </c:pt>
                <c:pt idx="738">
                  <c:v>36.3015000000003</c:v>
                </c:pt>
                <c:pt idx="739">
                  <c:v>36.3016000000003</c:v>
                </c:pt>
                <c:pt idx="740">
                  <c:v>36.3017000000003</c:v>
                </c:pt>
                <c:pt idx="741">
                  <c:v>36.3018000000003</c:v>
                </c:pt>
                <c:pt idx="742">
                  <c:v>36.3019000000003</c:v>
                </c:pt>
                <c:pt idx="743">
                  <c:v>36.3020000000003</c:v>
                </c:pt>
                <c:pt idx="744">
                  <c:v>36.3021000000003</c:v>
                </c:pt>
                <c:pt idx="745">
                  <c:v>36.3022000000003</c:v>
                </c:pt>
                <c:pt idx="746">
                  <c:v>36.3023000000003</c:v>
                </c:pt>
                <c:pt idx="747">
                  <c:v>36.3024000000003</c:v>
                </c:pt>
                <c:pt idx="748">
                  <c:v>36.3025000000003</c:v>
                </c:pt>
                <c:pt idx="749">
                  <c:v>36.3026000000003</c:v>
                </c:pt>
                <c:pt idx="750">
                  <c:v>36.3027000000003</c:v>
                </c:pt>
                <c:pt idx="751">
                  <c:v>36.3028000000003</c:v>
                </c:pt>
                <c:pt idx="752">
                  <c:v>36.3029000000003</c:v>
                </c:pt>
                <c:pt idx="753">
                  <c:v>36.3030000000003</c:v>
                </c:pt>
                <c:pt idx="754">
                  <c:v>36.3031000000003</c:v>
                </c:pt>
                <c:pt idx="755">
                  <c:v>36.3032000000003</c:v>
                </c:pt>
                <c:pt idx="756">
                  <c:v>36.3033000000003</c:v>
                </c:pt>
                <c:pt idx="757">
                  <c:v>36.3034000000003</c:v>
                </c:pt>
                <c:pt idx="758">
                  <c:v>36.3035000000003</c:v>
                </c:pt>
                <c:pt idx="759">
                  <c:v>36.3036000000003</c:v>
                </c:pt>
                <c:pt idx="760">
                  <c:v>36.3037000000003</c:v>
                </c:pt>
                <c:pt idx="761">
                  <c:v>36.3038000000003</c:v>
                </c:pt>
                <c:pt idx="762">
                  <c:v>36.3039000000003</c:v>
                </c:pt>
                <c:pt idx="763">
                  <c:v>36.3040000000003</c:v>
                </c:pt>
                <c:pt idx="764">
                  <c:v>36.3041000000003</c:v>
                </c:pt>
                <c:pt idx="765">
                  <c:v>36.3042000000003</c:v>
                </c:pt>
                <c:pt idx="766">
                  <c:v>36.3043000000003</c:v>
                </c:pt>
                <c:pt idx="767">
                  <c:v>36.3044000000004</c:v>
                </c:pt>
                <c:pt idx="768">
                  <c:v>36.3045000000004</c:v>
                </c:pt>
                <c:pt idx="769">
                  <c:v>36.3046000000004</c:v>
                </c:pt>
                <c:pt idx="770">
                  <c:v>36.3047000000004</c:v>
                </c:pt>
                <c:pt idx="771">
                  <c:v>36.3048000000004</c:v>
                </c:pt>
                <c:pt idx="772">
                  <c:v>36.3049000000004</c:v>
                </c:pt>
                <c:pt idx="773">
                  <c:v>36.3050000000004</c:v>
                </c:pt>
                <c:pt idx="774">
                  <c:v>36.3051000000004</c:v>
                </c:pt>
                <c:pt idx="775">
                  <c:v>36.3052000000004</c:v>
                </c:pt>
                <c:pt idx="776">
                  <c:v>36.3053000000004</c:v>
                </c:pt>
                <c:pt idx="777">
                  <c:v>36.3054000000004</c:v>
                </c:pt>
                <c:pt idx="778">
                  <c:v>36.3055000000004</c:v>
                </c:pt>
                <c:pt idx="779">
                  <c:v>36.3056000000004</c:v>
                </c:pt>
                <c:pt idx="780">
                  <c:v>36.3057000000004</c:v>
                </c:pt>
                <c:pt idx="781">
                  <c:v>36.3058000000004</c:v>
                </c:pt>
                <c:pt idx="782">
                  <c:v>36.3059000000004</c:v>
                </c:pt>
                <c:pt idx="783">
                  <c:v>36.3060000000004</c:v>
                </c:pt>
                <c:pt idx="784">
                  <c:v>36.3061000000004</c:v>
                </c:pt>
                <c:pt idx="785">
                  <c:v>36.3062000000004</c:v>
                </c:pt>
                <c:pt idx="786">
                  <c:v>36.3063000000004</c:v>
                </c:pt>
                <c:pt idx="787">
                  <c:v>36.3064000000004</c:v>
                </c:pt>
                <c:pt idx="788">
                  <c:v>36.3065000000004</c:v>
                </c:pt>
                <c:pt idx="789">
                  <c:v>36.3066000000004</c:v>
                </c:pt>
                <c:pt idx="790">
                  <c:v>36.3067000000004</c:v>
                </c:pt>
                <c:pt idx="791">
                  <c:v>36.3068000000004</c:v>
                </c:pt>
                <c:pt idx="792">
                  <c:v>36.3069000000004</c:v>
                </c:pt>
                <c:pt idx="793">
                  <c:v>36.3070000000004</c:v>
                </c:pt>
                <c:pt idx="794">
                  <c:v>36.3071000000004</c:v>
                </c:pt>
                <c:pt idx="795">
                  <c:v>36.3072000000004</c:v>
                </c:pt>
                <c:pt idx="796">
                  <c:v>36.3073000000004</c:v>
                </c:pt>
                <c:pt idx="797">
                  <c:v>36.3074000000005</c:v>
                </c:pt>
                <c:pt idx="798">
                  <c:v>36.3075000000005</c:v>
                </c:pt>
                <c:pt idx="799">
                  <c:v>36.3076000000005</c:v>
                </c:pt>
                <c:pt idx="800">
                  <c:v>36.3077000000005</c:v>
                </c:pt>
                <c:pt idx="801">
                  <c:v>36.3078000000005</c:v>
                </c:pt>
                <c:pt idx="802">
                  <c:v>36.3079000000005</c:v>
                </c:pt>
                <c:pt idx="803">
                  <c:v>36.3080000000005</c:v>
                </c:pt>
                <c:pt idx="804">
                  <c:v>36.3081000000005</c:v>
                </c:pt>
                <c:pt idx="805">
                  <c:v>36.3082000000005</c:v>
                </c:pt>
                <c:pt idx="806">
                  <c:v>36.3083000000005</c:v>
                </c:pt>
                <c:pt idx="807">
                  <c:v>36.3084000000005</c:v>
                </c:pt>
                <c:pt idx="808">
                  <c:v>36.3085000000005</c:v>
                </c:pt>
                <c:pt idx="809">
                  <c:v>36.3086000000005</c:v>
                </c:pt>
                <c:pt idx="810">
                  <c:v>36.3087000000005</c:v>
                </c:pt>
                <c:pt idx="811">
                  <c:v>36.3088000000005</c:v>
                </c:pt>
                <c:pt idx="812">
                  <c:v>36.3089000000005</c:v>
                </c:pt>
                <c:pt idx="813">
                  <c:v>36.3090000000005</c:v>
                </c:pt>
                <c:pt idx="814">
                  <c:v>36.3091000000005</c:v>
                </c:pt>
                <c:pt idx="815">
                  <c:v>36.3092000000005</c:v>
                </c:pt>
                <c:pt idx="816">
                  <c:v>36.3093000000005</c:v>
                </c:pt>
                <c:pt idx="817">
                  <c:v>36.3094000000005</c:v>
                </c:pt>
                <c:pt idx="818">
                  <c:v>36.3095000000005</c:v>
                </c:pt>
                <c:pt idx="819">
                  <c:v>36.3096000000005</c:v>
                </c:pt>
                <c:pt idx="820">
                  <c:v>36.3097000000005</c:v>
                </c:pt>
                <c:pt idx="821">
                  <c:v>36.3098000000005</c:v>
                </c:pt>
                <c:pt idx="822">
                  <c:v>36.3099000000005</c:v>
                </c:pt>
                <c:pt idx="823">
                  <c:v>36.3100000000005</c:v>
                </c:pt>
                <c:pt idx="824">
                  <c:v>36.3101000000005</c:v>
                </c:pt>
                <c:pt idx="825">
                  <c:v>36.3102000000005</c:v>
                </c:pt>
                <c:pt idx="826">
                  <c:v>36.3103000000005</c:v>
                </c:pt>
                <c:pt idx="827">
                  <c:v>36.3104000000006</c:v>
                </c:pt>
                <c:pt idx="828">
                  <c:v>36.3105000000006</c:v>
                </c:pt>
                <c:pt idx="829">
                  <c:v>36.3106000000006</c:v>
                </c:pt>
                <c:pt idx="830">
                  <c:v>36.3107000000006</c:v>
                </c:pt>
                <c:pt idx="831">
                  <c:v>36.3108000000006</c:v>
                </c:pt>
                <c:pt idx="832">
                  <c:v>36.3109000000006</c:v>
                </c:pt>
                <c:pt idx="833">
                  <c:v>36.3110000000006</c:v>
                </c:pt>
                <c:pt idx="834">
                  <c:v>36.3111000000006</c:v>
                </c:pt>
                <c:pt idx="835">
                  <c:v>36.3112000000006</c:v>
                </c:pt>
                <c:pt idx="836">
                  <c:v>36.3113000000006</c:v>
                </c:pt>
                <c:pt idx="837">
                  <c:v>36.3114000000006</c:v>
                </c:pt>
                <c:pt idx="838">
                  <c:v>36.3115000000006</c:v>
                </c:pt>
                <c:pt idx="839">
                  <c:v>36.3116000000006</c:v>
                </c:pt>
                <c:pt idx="840">
                  <c:v>36.3117000000006</c:v>
                </c:pt>
                <c:pt idx="841">
                  <c:v>36.3118000000006</c:v>
                </c:pt>
                <c:pt idx="842">
                  <c:v>36.3119000000006</c:v>
                </c:pt>
                <c:pt idx="843">
                  <c:v>36.3120000000006</c:v>
                </c:pt>
                <c:pt idx="844">
                  <c:v>36.3121000000006</c:v>
                </c:pt>
                <c:pt idx="845">
                  <c:v>36.3122000000006</c:v>
                </c:pt>
                <c:pt idx="846">
                  <c:v>36.3123000000006</c:v>
                </c:pt>
                <c:pt idx="847">
                  <c:v>36.3124000000006</c:v>
                </c:pt>
                <c:pt idx="848">
                  <c:v>36.3125000000006</c:v>
                </c:pt>
                <c:pt idx="849">
                  <c:v>36.3126000000006</c:v>
                </c:pt>
                <c:pt idx="850">
                  <c:v>36.3127000000006</c:v>
                </c:pt>
                <c:pt idx="851">
                  <c:v>36.3128000000006</c:v>
                </c:pt>
                <c:pt idx="852">
                  <c:v>36.3129000000006</c:v>
                </c:pt>
                <c:pt idx="853">
                  <c:v>36.3130000000006</c:v>
                </c:pt>
                <c:pt idx="854">
                  <c:v>36.3131000000006</c:v>
                </c:pt>
                <c:pt idx="855">
                  <c:v>36.3132000000006</c:v>
                </c:pt>
                <c:pt idx="856">
                  <c:v>36.3133000000006</c:v>
                </c:pt>
                <c:pt idx="857">
                  <c:v>36.3134000000007</c:v>
                </c:pt>
                <c:pt idx="858">
                  <c:v>36.3135000000007</c:v>
                </c:pt>
                <c:pt idx="859">
                  <c:v>36.3136000000007</c:v>
                </c:pt>
                <c:pt idx="860">
                  <c:v>36.3137000000007</c:v>
                </c:pt>
                <c:pt idx="861">
                  <c:v>36.3138000000007</c:v>
                </c:pt>
                <c:pt idx="862">
                  <c:v>36.3139000000007</c:v>
                </c:pt>
                <c:pt idx="863">
                  <c:v>36.3140000000007</c:v>
                </c:pt>
                <c:pt idx="864">
                  <c:v>36.3141000000007</c:v>
                </c:pt>
                <c:pt idx="865">
                  <c:v>36.3142000000007</c:v>
                </c:pt>
                <c:pt idx="866">
                  <c:v>36.3143000000007</c:v>
                </c:pt>
                <c:pt idx="867">
                  <c:v>36.3144000000007</c:v>
                </c:pt>
                <c:pt idx="868">
                  <c:v>36.3145000000007</c:v>
                </c:pt>
                <c:pt idx="869">
                  <c:v>36.3146000000007</c:v>
                </c:pt>
                <c:pt idx="870">
                  <c:v>36.3147000000007</c:v>
                </c:pt>
                <c:pt idx="871">
                  <c:v>36.3148000000007</c:v>
                </c:pt>
                <c:pt idx="872">
                  <c:v>36.3149000000007</c:v>
                </c:pt>
                <c:pt idx="873">
                  <c:v>36.3150000000007</c:v>
                </c:pt>
                <c:pt idx="874">
                  <c:v>36.3151000000007</c:v>
                </c:pt>
                <c:pt idx="875">
                  <c:v>36.3152000000007</c:v>
                </c:pt>
                <c:pt idx="876">
                  <c:v>36.3153000000007</c:v>
                </c:pt>
                <c:pt idx="877">
                  <c:v>36.3154000000007</c:v>
                </c:pt>
                <c:pt idx="878">
                  <c:v>36.3155000000007</c:v>
                </c:pt>
                <c:pt idx="879">
                  <c:v>36.3156000000007</c:v>
                </c:pt>
                <c:pt idx="880">
                  <c:v>36.3157000000007</c:v>
                </c:pt>
                <c:pt idx="881">
                  <c:v>36.3158000000007</c:v>
                </c:pt>
                <c:pt idx="882">
                  <c:v>36.3159000000007</c:v>
                </c:pt>
                <c:pt idx="883">
                  <c:v>36.3160000000007</c:v>
                </c:pt>
                <c:pt idx="884">
                  <c:v>36.3161000000007</c:v>
                </c:pt>
                <c:pt idx="885">
                  <c:v>36.3162000000007</c:v>
                </c:pt>
                <c:pt idx="886">
                  <c:v>36.3163000000007</c:v>
                </c:pt>
                <c:pt idx="887">
                  <c:v>36.3164000000008</c:v>
                </c:pt>
                <c:pt idx="888">
                  <c:v>36.3165000000008</c:v>
                </c:pt>
                <c:pt idx="889">
                  <c:v>36.3166000000008</c:v>
                </c:pt>
                <c:pt idx="890">
                  <c:v>36.3167000000008</c:v>
                </c:pt>
                <c:pt idx="891">
                  <c:v>36.3168000000008</c:v>
                </c:pt>
                <c:pt idx="892">
                  <c:v>36.3169000000008</c:v>
                </c:pt>
                <c:pt idx="893">
                  <c:v>36.3170000000008</c:v>
                </c:pt>
                <c:pt idx="894">
                  <c:v>36.3171000000008</c:v>
                </c:pt>
                <c:pt idx="895">
                  <c:v>36.3172000000008</c:v>
                </c:pt>
                <c:pt idx="896">
                  <c:v>36.3173000000008</c:v>
                </c:pt>
                <c:pt idx="897">
                  <c:v>36.3174000000008</c:v>
                </c:pt>
                <c:pt idx="898">
                  <c:v>36.3175000000008</c:v>
                </c:pt>
                <c:pt idx="899">
                  <c:v>36.3176000000008</c:v>
                </c:pt>
                <c:pt idx="900">
                  <c:v>36.3177000000008</c:v>
                </c:pt>
                <c:pt idx="901">
                  <c:v>36.3178000000008</c:v>
                </c:pt>
                <c:pt idx="902">
                  <c:v>36.3179000000008</c:v>
                </c:pt>
                <c:pt idx="903">
                  <c:v>36.3180000000008</c:v>
                </c:pt>
                <c:pt idx="904">
                  <c:v>36.3181000000008</c:v>
                </c:pt>
                <c:pt idx="905">
                  <c:v>36.3182000000008</c:v>
                </c:pt>
                <c:pt idx="906">
                  <c:v>36.3183000000008</c:v>
                </c:pt>
                <c:pt idx="907">
                  <c:v>36.3184000000008</c:v>
                </c:pt>
                <c:pt idx="908">
                  <c:v>36.3185000000008</c:v>
                </c:pt>
                <c:pt idx="909">
                  <c:v>36.3186000000008</c:v>
                </c:pt>
                <c:pt idx="910">
                  <c:v>36.3187000000008</c:v>
                </c:pt>
                <c:pt idx="911">
                  <c:v>36.3188000000008</c:v>
                </c:pt>
                <c:pt idx="912">
                  <c:v>36.3189000000008</c:v>
                </c:pt>
                <c:pt idx="913">
                  <c:v>36.3190000000008</c:v>
                </c:pt>
                <c:pt idx="914">
                  <c:v>36.3191000000008</c:v>
                </c:pt>
                <c:pt idx="915">
                  <c:v>36.3192000000008</c:v>
                </c:pt>
                <c:pt idx="916">
                  <c:v>36.3193000000008</c:v>
                </c:pt>
                <c:pt idx="917">
                  <c:v>36.3194000000009</c:v>
                </c:pt>
                <c:pt idx="918">
                  <c:v>36.3195000000009</c:v>
                </c:pt>
                <c:pt idx="919">
                  <c:v>36.3196000000009</c:v>
                </c:pt>
                <c:pt idx="920">
                  <c:v>36.3197000000009</c:v>
                </c:pt>
                <c:pt idx="921">
                  <c:v>36.3198000000009</c:v>
                </c:pt>
                <c:pt idx="922">
                  <c:v>36.3199000000009</c:v>
                </c:pt>
                <c:pt idx="923">
                  <c:v>36.3200000000009</c:v>
                </c:pt>
                <c:pt idx="924">
                  <c:v>36.3201000000009</c:v>
                </c:pt>
                <c:pt idx="925">
                  <c:v>36.3202000000009</c:v>
                </c:pt>
                <c:pt idx="926">
                  <c:v>36.3203000000009</c:v>
                </c:pt>
                <c:pt idx="927">
                  <c:v>36.3204000000009</c:v>
                </c:pt>
                <c:pt idx="928">
                  <c:v>36.3205000000009</c:v>
                </c:pt>
                <c:pt idx="929">
                  <c:v>36.3206000000009</c:v>
                </c:pt>
                <c:pt idx="930">
                  <c:v>36.3207000000009</c:v>
                </c:pt>
                <c:pt idx="931">
                  <c:v>36.3208000000009</c:v>
                </c:pt>
                <c:pt idx="932">
                  <c:v>36.3209000000009</c:v>
                </c:pt>
                <c:pt idx="933">
                  <c:v>36.3210000000009</c:v>
                </c:pt>
                <c:pt idx="934">
                  <c:v>36.3211000000009</c:v>
                </c:pt>
                <c:pt idx="935">
                  <c:v>36.3212000000009</c:v>
                </c:pt>
                <c:pt idx="936">
                  <c:v>36.3213000000009</c:v>
                </c:pt>
                <c:pt idx="937">
                  <c:v>36.3214000000009</c:v>
                </c:pt>
                <c:pt idx="938">
                  <c:v>36.3215000000009</c:v>
                </c:pt>
                <c:pt idx="939">
                  <c:v>36.3216000000009</c:v>
                </c:pt>
                <c:pt idx="940">
                  <c:v>36.3217000000009</c:v>
                </c:pt>
                <c:pt idx="941">
                  <c:v>36.3218000000009</c:v>
                </c:pt>
                <c:pt idx="942">
                  <c:v>36.3219000000009</c:v>
                </c:pt>
                <c:pt idx="943">
                  <c:v>36.3220000000009</c:v>
                </c:pt>
                <c:pt idx="944">
                  <c:v>36.3221000000009</c:v>
                </c:pt>
                <c:pt idx="945">
                  <c:v>36.3222000000009</c:v>
                </c:pt>
                <c:pt idx="946">
                  <c:v>36.3223000000009</c:v>
                </c:pt>
                <c:pt idx="947">
                  <c:v>36.322400000001</c:v>
                </c:pt>
                <c:pt idx="948">
                  <c:v>36.322500000001</c:v>
                </c:pt>
                <c:pt idx="949">
                  <c:v>36.322600000001</c:v>
                </c:pt>
                <c:pt idx="950">
                  <c:v>36.322700000001</c:v>
                </c:pt>
                <c:pt idx="951">
                  <c:v>36.322800000001</c:v>
                </c:pt>
                <c:pt idx="952">
                  <c:v>36.322900000001</c:v>
                </c:pt>
                <c:pt idx="953">
                  <c:v>36.323000000001</c:v>
                </c:pt>
                <c:pt idx="954">
                  <c:v>36.323100000001</c:v>
                </c:pt>
                <c:pt idx="955">
                  <c:v>36.323200000001</c:v>
                </c:pt>
                <c:pt idx="956">
                  <c:v>36.323300000001</c:v>
                </c:pt>
                <c:pt idx="957">
                  <c:v>36.323400000001</c:v>
                </c:pt>
                <c:pt idx="958">
                  <c:v>36.323500000001</c:v>
                </c:pt>
                <c:pt idx="959">
                  <c:v>36.323600000001</c:v>
                </c:pt>
                <c:pt idx="960">
                  <c:v>36.323700000001</c:v>
                </c:pt>
                <c:pt idx="961">
                  <c:v>36.323800000001</c:v>
                </c:pt>
                <c:pt idx="962">
                  <c:v>36.323900000001</c:v>
                </c:pt>
                <c:pt idx="963">
                  <c:v>36.324000000001</c:v>
                </c:pt>
                <c:pt idx="964">
                  <c:v>36.324100000001</c:v>
                </c:pt>
                <c:pt idx="965">
                  <c:v>36.324200000001</c:v>
                </c:pt>
                <c:pt idx="966">
                  <c:v>36.324300000001</c:v>
                </c:pt>
                <c:pt idx="967">
                  <c:v>36.324400000001</c:v>
                </c:pt>
                <c:pt idx="968">
                  <c:v>36.324500000001</c:v>
                </c:pt>
                <c:pt idx="969">
                  <c:v>36.324600000001</c:v>
                </c:pt>
                <c:pt idx="970">
                  <c:v>36.324700000001</c:v>
                </c:pt>
                <c:pt idx="971">
                  <c:v>36.324800000001</c:v>
                </c:pt>
                <c:pt idx="972">
                  <c:v>36.324900000001</c:v>
                </c:pt>
                <c:pt idx="973">
                  <c:v>36.325000000001</c:v>
                </c:pt>
                <c:pt idx="974">
                  <c:v>36.325100000001</c:v>
                </c:pt>
                <c:pt idx="975">
                  <c:v>36.325200000001</c:v>
                </c:pt>
                <c:pt idx="976">
                  <c:v>36.325300000001</c:v>
                </c:pt>
                <c:pt idx="977">
                  <c:v>36.325400000001</c:v>
                </c:pt>
                <c:pt idx="978">
                  <c:v>36.3255000000011</c:v>
                </c:pt>
                <c:pt idx="979">
                  <c:v>36.3256000000011</c:v>
                </c:pt>
                <c:pt idx="980">
                  <c:v>36.3257000000011</c:v>
                </c:pt>
                <c:pt idx="981">
                  <c:v>36.3258000000011</c:v>
                </c:pt>
                <c:pt idx="982">
                  <c:v>36.3259000000011</c:v>
                </c:pt>
                <c:pt idx="983">
                  <c:v>36.3260000000011</c:v>
                </c:pt>
                <c:pt idx="984">
                  <c:v>36.3261000000011</c:v>
                </c:pt>
                <c:pt idx="985">
                  <c:v>36.3262000000011</c:v>
                </c:pt>
                <c:pt idx="986">
                  <c:v>36.3263000000011</c:v>
                </c:pt>
                <c:pt idx="987">
                  <c:v>36.3264000000011</c:v>
                </c:pt>
                <c:pt idx="988">
                  <c:v>36.3265000000011</c:v>
                </c:pt>
                <c:pt idx="989">
                  <c:v>36.3266000000011</c:v>
                </c:pt>
                <c:pt idx="990">
                  <c:v>36.3267000000011</c:v>
                </c:pt>
                <c:pt idx="991">
                  <c:v>36.3268000000011</c:v>
                </c:pt>
                <c:pt idx="992">
                  <c:v>36.3269000000011</c:v>
                </c:pt>
                <c:pt idx="993">
                  <c:v>36.3270000000011</c:v>
                </c:pt>
                <c:pt idx="994">
                  <c:v>36.3271000000011</c:v>
                </c:pt>
                <c:pt idx="995">
                  <c:v>36.3272000000011</c:v>
                </c:pt>
                <c:pt idx="996">
                  <c:v>36.3273000000011</c:v>
                </c:pt>
                <c:pt idx="997">
                  <c:v>36.3274000000011</c:v>
                </c:pt>
                <c:pt idx="998">
                  <c:v>36.3275000000011</c:v>
                </c:pt>
                <c:pt idx="999">
                  <c:v>36.3276000000011</c:v>
                </c:pt>
                <c:pt idx="1000">
                  <c:v>36.3277000000011</c:v>
                </c:pt>
              </c:numCache>
            </c:numRef>
          </c:xVal>
          <c:yVal>
            <c:numRef>
              <c:f>Calculs!$Q$4:$Q$1004</c:f>
              <c:numCache>
                <c:formatCode>General</c:formatCode>
                <c:ptCount val="1001"/>
                <c:pt idx="1">
                  <c:v>89.3</c:v>
                </c:pt>
                <c:pt idx="2">
                  <c:v>267.9</c:v>
                </c:pt>
                <c:pt idx="3">
                  <c:v>446.5</c:v>
                </c:pt>
                <c:pt idx="4">
                  <c:v>625.1</c:v>
                </c:pt>
                <c:pt idx="5">
                  <c:v>803.7</c:v>
                </c:pt>
                <c:pt idx="6">
                  <c:v>891.944444444445</c:v>
                </c:pt>
                <c:pt idx="7">
                  <c:v>889.833333333333</c:v>
                </c:pt>
                <c:pt idx="8">
                  <c:v>887.722222222222</c:v>
                </c:pt>
                <c:pt idx="9">
                  <c:v>885.611111111111</c:v>
                </c:pt>
                <c:pt idx="10">
                  <c:v>883.5</c:v>
                </c:pt>
                <c:pt idx="11">
                  <c:v>881.388888888889</c:v>
                </c:pt>
                <c:pt idx="12">
                  <c:v>879.277777777778</c:v>
                </c:pt>
                <c:pt idx="13">
                  <c:v>877.166666666667</c:v>
                </c:pt>
                <c:pt idx="14">
                  <c:v>875.055555555556</c:v>
                </c:pt>
                <c:pt idx="15">
                  <c:v>872.944444444445</c:v>
                </c:pt>
                <c:pt idx="16">
                  <c:v>870.833333333333</c:v>
                </c:pt>
                <c:pt idx="17">
                  <c:v>868.722222222222</c:v>
                </c:pt>
                <c:pt idx="18">
                  <c:v>866.611111111111</c:v>
                </c:pt>
                <c:pt idx="19">
                  <c:v>864.5</c:v>
                </c:pt>
                <c:pt idx="20">
                  <c:v>862.388888888889</c:v>
                </c:pt>
                <c:pt idx="21">
                  <c:v>860.277777777778</c:v>
                </c:pt>
                <c:pt idx="22">
                  <c:v>858.166666666667</c:v>
                </c:pt>
                <c:pt idx="23">
                  <c:v>856.055555555556</c:v>
                </c:pt>
                <c:pt idx="24">
                  <c:v>853.944444444445</c:v>
                </c:pt>
                <c:pt idx="25">
                  <c:v>851.833333333333</c:v>
                </c:pt>
                <c:pt idx="26">
                  <c:v>849.722222222222</c:v>
                </c:pt>
                <c:pt idx="27">
                  <c:v>847.611111111111</c:v>
                </c:pt>
                <c:pt idx="28">
                  <c:v>845.5</c:v>
                </c:pt>
                <c:pt idx="29">
                  <c:v>843.388888888889</c:v>
                </c:pt>
                <c:pt idx="30">
                  <c:v>841.277777777778</c:v>
                </c:pt>
                <c:pt idx="31">
                  <c:v>839.166666666667</c:v>
                </c:pt>
                <c:pt idx="32">
                  <c:v>837.055555555556</c:v>
                </c:pt>
                <c:pt idx="33">
                  <c:v>834.944444444445</c:v>
                </c:pt>
                <c:pt idx="34">
                  <c:v>832.833333333333</c:v>
                </c:pt>
                <c:pt idx="35">
                  <c:v>830.722222222222</c:v>
                </c:pt>
                <c:pt idx="36">
                  <c:v>828.611111111111</c:v>
                </c:pt>
                <c:pt idx="37">
                  <c:v>826.5</c:v>
                </c:pt>
                <c:pt idx="38">
                  <c:v>824.388888888889</c:v>
                </c:pt>
                <c:pt idx="39">
                  <c:v>822.277777777778</c:v>
                </c:pt>
                <c:pt idx="40">
                  <c:v>820.166666666667</c:v>
                </c:pt>
                <c:pt idx="41">
                  <c:v>818.055555555556</c:v>
                </c:pt>
                <c:pt idx="42">
                  <c:v>815.944444444444</c:v>
                </c:pt>
                <c:pt idx="43">
                  <c:v>813.833333333333</c:v>
                </c:pt>
                <c:pt idx="44">
                  <c:v>811.722222222222</c:v>
                </c:pt>
                <c:pt idx="45">
                  <c:v>809.611111111111</c:v>
                </c:pt>
                <c:pt idx="46">
                  <c:v>807.5</c:v>
                </c:pt>
                <c:pt idx="47">
                  <c:v>805.388888888889</c:v>
                </c:pt>
                <c:pt idx="48">
                  <c:v>803.277777777778</c:v>
                </c:pt>
                <c:pt idx="49">
                  <c:v>801.166666666667</c:v>
                </c:pt>
                <c:pt idx="50">
                  <c:v>799.055555555556</c:v>
                </c:pt>
                <c:pt idx="51">
                  <c:v>797.41</c:v>
                </c:pt>
                <c:pt idx="52">
                  <c:v>796.23</c:v>
                </c:pt>
                <c:pt idx="53">
                  <c:v>795.05</c:v>
                </c:pt>
                <c:pt idx="54">
                  <c:v>793.87</c:v>
                </c:pt>
                <c:pt idx="55">
                  <c:v>792.69</c:v>
                </c:pt>
                <c:pt idx="56">
                  <c:v>791.51</c:v>
                </c:pt>
                <c:pt idx="57">
                  <c:v>790.33</c:v>
                </c:pt>
                <c:pt idx="58">
                  <c:v>789.15</c:v>
                </c:pt>
                <c:pt idx="59">
                  <c:v>787.97</c:v>
                </c:pt>
                <c:pt idx="60">
                  <c:v>786.79</c:v>
                </c:pt>
                <c:pt idx="61">
                  <c:v>785.61</c:v>
                </c:pt>
                <c:pt idx="62">
                  <c:v>784.43</c:v>
                </c:pt>
                <c:pt idx="63">
                  <c:v>783.25</c:v>
                </c:pt>
                <c:pt idx="64">
                  <c:v>782.07</c:v>
                </c:pt>
                <c:pt idx="65">
                  <c:v>780.89</c:v>
                </c:pt>
                <c:pt idx="66">
                  <c:v>779.71</c:v>
                </c:pt>
                <c:pt idx="67">
                  <c:v>778.53</c:v>
                </c:pt>
                <c:pt idx="68">
                  <c:v>777.35</c:v>
                </c:pt>
                <c:pt idx="69">
                  <c:v>776.17</c:v>
                </c:pt>
                <c:pt idx="70">
                  <c:v>774.99</c:v>
                </c:pt>
                <c:pt idx="71">
                  <c:v>773.81</c:v>
                </c:pt>
                <c:pt idx="72">
                  <c:v>772.63</c:v>
                </c:pt>
                <c:pt idx="73">
                  <c:v>771.45</c:v>
                </c:pt>
                <c:pt idx="74">
                  <c:v>770.27</c:v>
                </c:pt>
                <c:pt idx="75">
                  <c:v>769.09</c:v>
                </c:pt>
                <c:pt idx="76">
                  <c:v>767.91</c:v>
                </c:pt>
                <c:pt idx="77">
                  <c:v>766.73</c:v>
                </c:pt>
                <c:pt idx="78">
                  <c:v>765.55</c:v>
                </c:pt>
                <c:pt idx="79">
                  <c:v>764.37</c:v>
                </c:pt>
                <c:pt idx="80">
                  <c:v>763.19</c:v>
                </c:pt>
                <c:pt idx="81">
                  <c:v>762.01</c:v>
                </c:pt>
                <c:pt idx="82">
                  <c:v>760.83</c:v>
                </c:pt>
                <c:pt idx="83">
                  <c:v>759.65</c:v>
                </c:pt>
                <c:pt idx="84">
                  <c:v>758.47</c:v>
                </c:pt>
                <c:pt idx="85">
                  <c:v>757.29</c:v>
                </c:pt>
                <c:pt idx="86">
                  <c:v>756.11</c:v>
                </c:pt>
                <c:pt idx="87">
                  <c:v>754.93</c:v>
                </c:pt>
                <c:pt idx="88">
                  <c:v>753.75</c:v>
                </c:pt>
                <c:pt idx="89">
                  <c:v>752.57</c:v>
                </c:pt>
                <c:pt idx="90">
                  <c:v>751.39</c:v>
                </c:pt>
                <c:pt idx="91">
                  <c:v>750.21</c:v>
                </c:pt>
                <c:pt idx="92">
                  <c:v>749.03</c:v>
                </c:pt>
                <c:pt idx="93">
                  <c:v>747.85</c:v>
                </c:pt>
                <c:pt idx="94">
                  <c:v>746.67</c:v>
                </c:pt>
                <c:pt idx="95">
                  <c:v>745.49</c:v>
                </c:pt>
                <c:pt idx="96">
                  <c:v>744.31</c:v>
                </c:pt>
                <c:pt idx="97">
                  <c:v>743.13</c:v>
                </c:pt>
                <c:pt idx="98">
                  <c:v>741.95</c:v>
                </c:pt>
                <c:pt idx="99">
                  <c:v>740.77</c:v>
                </c:pt>
                <c:pt idx="100">
                  <c:v>739.59</c:v>
                </c:pt>
                <c:pt idx="101">
                  <c:v>738.2</c:v>
                </c:pt>
                <c:pt idx="102">
                  <c:v>736.6</c:v>
                </c:pt>
                <c:pt idx="103">
                  <c:v>735</c:v>
                </c:pt>
                <c:pt idx="104">
                  <c:v>733.4</c:v>
                </c:pt>
                <c:pt idx="105">
                  <c:v>731.8</c:v>
                </c:pt>
                <c:pt idx="106">
                  <c:v>730.2</c:v>
                </c:pt>
                <c:pt idx="107">
                  <c:v>728.6</c:v>
                </c:pt>
                <c:pt idx="108">
                  <c:v>727</c:v>
                </c:pt>
                <c:pt idx="109">
                  <c:v>725.4</c:v>
                </c:pt>
                <c:pt idx="110">
                  <c:v>723.8</c:v>
                </c:pt>
                <c:pt idx="111">
                  <c:v>722.2</c:v>
                </c:pt>
                <c:pt idx="112">
                  <c:v>720.6</c:v>
                </c:pt>
                <c:pt idx="113">
                  <c:v>719</c:v>
                </c:pt>
                <c:pt idx="114">
                  <c:v>717.4</c:v>
                </c:pt>
                <c:pt idx="115">
                  <c:v>715.8</c:v>
                </c:pt>
                <c:pt idx="116">
                  <c:v>714.2</c:v>
                </c:pt>
                <c:pt idx="117">
                  <c:v>712.6</c:v>
                </c:pt>
                <c:pt idx="118">
                  <c:v>711</c:v>
                </c:pt>
                <c:pt idx="119">
                  <c:v>709.4</c:v>
                </c:pt>
                <c:pt idx="120">
                  <c:v>707.8</c:v>
                </c:pt>
                <c:pt idx="121">
                  <c:v>706.2</c:v>
                </c:pt>
                <c:pt idx="122">
                  <c:v>704.6</c:v>
                </c:pt>
                <c:pt idx="123">
                  <c:v>703</c:v>
                </c:pt>
                <c:pt idx="124">
                  <c:v>701.4</c:v>
                </c:pt>
                <c:pt idx="125">
                  <c:v>699.8</c:v>
                </c:pt>
                <c:pt idx="126">
                  <c:v>698.2</c:v>
                </c:pt>
                <c:pt idx="127">
                  <c:v>696.6</c:v>
                </c:pt>
                <c:pt idx="128">
                  <c:v>695</c:v>
                </c:pt>
                <c:pt idx="129">
                  <c:v>693.4</c:v>
                </c:pt>
                <c:pt idx="130">
                  <c:v>691.8</c:v>
                </c:pt>
                <c:pt idx="131">
                  <c:v>690.2</c:v>
                </c:pt>
                <c:pt idx="132">
                  <c:v>688.6</c:v>
                </c:pt>
                <c:pt idx="133">
                  <c:v>687</c:v>
                </c:pt>
                <c:pt idx="134">
                  <c:v>685.4</c:v>
                </c:pt>
                <c:pt idx="135">
                  <c:v>683.8</c:v>
                </c:pt>
                <c:pt idx="136">
                  <c:v>682.2</c:v>
                </c:pt>
                <c:pt idx="137">
                  <c:v>680.6</c:v>
                </c:pt>
                <c:pt idx="138">
                  <c:v>679</c:v>
                </c:pt>
                <c:pt idx="139">
                  <c:v>677.4</c:v>
                </c:pt>
                <c:pt idx="140">
                  <c:v>675.8</c:v>
                </c:pt>
                <c:pt idx="141">
                  <c:v>674.2</c:v>
                </c:pt>
                <c:pt idx="142">
                  <c:v>672.6</c:v>
                </c:pt>
                <c:pt idx="143">
                  <c:v>671</c:v>
                </c:pt>
                <c:pt idx="144">
                  <c:v>669.4</c:v>
                </c:pt>
                <c:pt idx="145">
                  <c:v>667.8</c:v>
                </c:pt>
                <c:pt idx="146">
                  <c:v>666.2</c:v>
                </c:pt>
                <c:pt idx="147">
                  <c:v>664.6</c:v>
                </c:pt>
                <c:pt idx="148">
                  <c:v>663</c:v>
                </c:pt>
                <c:pt idx="149">
                  <c:v>661.4</c:v>
                </c:pt>
                <c:pt idx="150">
                  <c:v>659.8</c:v>
                </c:pt>
                <c:pt idx="151">
                  <c:v>658.27</c:v>
                </c:pt>
                <c:pt idx="152">
                  <c:v>656.81</c:v>
                </c:pt>
                <c:pt idx="153">
                  <c:v>655.35</c:v>
                </c:pt>
                <c:pt idx="154">
                  <c:v>653.89</c:v>
                </c:pt>
                <c:pt idx="155">
                  <c:v>652.43</c:v>
                </c:pt>
                <c:pt idx="156">
                  <c:v>650.97</c:v>
                </c:pt>
                <c:pt idx="157">
                  <c:v>649.51</c:v>
                </c:pt>
                <c:pt idx="158">
                  <c:v>648.05</c:v>
                </c:pt>
                <c:pt idx="159">
                  <c:v>646.59</c:v>
                </c:pt>
                <c:pt idx="160">
                  <c:v>645.13</c:v>
                </c:pt>
                <c:pt idx="161">
                  <c:v>643.67</c:v>
                </c:pt>
                <c:pt idx="162">
                  <c:v>642.21</c:v>
                </c:pt>
                <c:pt idx="163">
                  <c:v>640.75</c:v>
                </c:pt>
                <c:pt idx="164">
                  <c:v>639.29</c:v>
                </c:pt>
                <c:pt idx="165">
                  <c:v>637.83</c:v>
                </c:pt>
                <c:pt idx="166">
                  <c:v>636.37</c:v>
                </c:pt>
                <c:pt idx="167">
                  <c:v>634.91</c:v>
                </c:pt>
                <c:pt idx="168">
                  <c:v>633.45</c:v>
                </c:pt>
                <c:pt idx="169">
                  <c:v>631.99</c:v>
                </c:pt>
                <c:pt idx="170">
                  <c:v>630.53</c:v>
                </c:pt>
                <c:pt idx="171">
                  <c:v>629.07</c:v>
                </c:pt>
                <c:pt idx="172">
                  <c:v>627.61</c:v>
                </c:pt>
                <c:pt idx="173">
                  <c:v>626.15</c:v>
                </c:pt>
                <c:pt idx="174">
                  <c:v>624.69</c:v>
                </c:pt>
                <c:pt idx="175">
                  <c:v>623.23</c:v>
                </c:pt>
                <c:pt idx="176">
                  <c:v>621.77</c:v>
                </c:pt>
                <c:pt idx="177">
                  <c:v>620.31</c:v>
                </c:pt>
                <c:pt idx="178">
                  <c:v>618.85</c:v>
                </c:pt>
                <c:pt idx="179">
                  <c:v>617.39</c:v>
                </c:pt>
                <c:pt idx="180">
                  <c:v>615.93</c:v>
                </c:pt>
                <c:pt idx="181">
                  <c:v>614.47</c:v>
                </c:pt>
                <c:pt idx="182">
                  <c:v>613.01</c:v>
                </c:pt>
                <c:pt idx="183">
                  <c:v>611.55</c:v>
                </c:pt>
                <c:pt idx="184">
                  <c:v>610.09</c:v>
                </c:pt>
                <c:pt idx="185">
                  <c:v>608.63</c:v>
                </c:pt>
                <c:pt idx="186">
                  <c:v>607.17</c:v>
                </c:pt>
                <c:pt idx="187">
                  <c:v>605.71</c:v>
                </c:pt>
                <c:pt idx="188">
                  <c:v>604.25</c:v>
                </c:pt>
                <c:pt idx="189">
                  <c:v>602.79</c:v>
                </c:pt>
                <c:pt idx="190">
                  <c:v>601.33</c:v>
                </c:pt>
                <c:pt idx="191">
                  <c:v>599.87</c:v>
                </c:pt>
                <c:pt idx="192">
                  <c:v>598.41</c:v>
                </c:pt>
                <c:pt idx="193">
                  <c:v>596.95</c:v>
                </c:pt>
                <c:pt idx="194">
                  <c:v>595.49</c:v>
                </c:pt>
                <c:pt idx="195">
                  <c:v>594.03</c:v>
                </c:pt>
                <c:pt idx="196">
                  <c:v>592.57</c:v>
                </c:pt>
                <c:pt idx="197">
                  <c:v>591.11</c:v>
                </c:pt>
                <c:pt idx="198">
                  <c:v>589.65</c:v>
                </c:pt>
                <c:pt idx="199">
                  <c:v>588.19</c:v>
                </c:pt>
                <c:pt idx="200">
                  <c:v>586.73</c:v>
                </c:pt>
                <c:pt idx="201">
                  <c:v>585.27</c:v>
                </c:pt>
                <c:pt idx="202">
                  <c:v>583.81</c:v>
                </c:pt>
                <c:pt idx="203">
                  <c:v>582.35</c:v>
                </c:pt>
                <c:pt idx="204">
                  <c:v>580.89</c:v>
                </c:pt>
                <c:pt idx="205">
                  <c:v>579.43</c:v>
                </c:pt>
                <c:pt idx="206">
                  <c:v>577.97</c:v>
                </c:pt>
                <c:pt idx="207">
                  <c:v>576.51</c:v>
                </c:pt>
                <c:pt idx="208">
                  <c:v>575.05</c:v>
                </c:pt>
                <c:pt idx="209">
                  <c:v>573.59</c:v>
                </c:pt>
                <c:pt idx="210">
                  <c:v>572.13</c:v>
                </c:pt>
                <c:pt idx="211">
                  <c:v>570.67</c:v>
                </c:pt>
                <c:pt idx="212">
                  <c:v>569.21</c:v>
                </c:pt>
                <c:pt idx="213">
                  <c:v>567.75</c:v>
                </c:pt>
                <c:pt idx="214">
                  <c:v>566.29</c:v>
                </c:pt>
                <c:pt idx="215">
                  <c:v>564.83</c:v>
                </c:pt>
                <c:pt idx="216">
                  <c:v>563.37</c:v>
                </c:pt>
                <c:pt idx="217">
                  <c:v>561.91</c:v>
                </c:pt>
                <c:pt idx="218">
                  <c:v>560.45</c:v>
                </c:pt>
                <c:pt idx="219">
                  <c:v>558.99</c:v>
                </c:pt>
                <c:pt idx="220">
                  <c:v>557.53</c:v>
                </c:pt>
                <c:pt idx="221">
                  <c:v>556.07</c:v>
                </c:pt>
                <c:pt idx="222">
                  <c:v>554.610000000001</c:v>
                </c:pt>
                <c:pt idx="223">
                  <c:v>553.150000000001</c:v>
                </c:pt>
                <c:pt idx="224">
                  <c:v>551.690000000001</c:v>
                </c:pt>
                <c:pt idx="225">
                  <c:v>550.230000000001</c:v>
                </c:pt>
                <c:pt idx="226">
                  <c:v>548.770000000001</c:v>
                </c:pt>
                <c:pt idx="227">
                  <c:v>547.310000000001</c:v>
                </c:pt>
                <c:pt idx="228">
                  <c:v>545.850000000001</c:v>
                </c:pt>
                <c:pt idx="229">
                  <c:v>544.390000000001</c:v>
                </c:pt>
                <c:pt idx="230">
                  <c:v>542.930000000001</c:v>
                </c:pt>
                <c:pt idx="231">
                  <c:v>541.470000000001</c:v>
                </c:pt>
                <c:pt idx="232">
                  <c:v>540.010000000001</c:v>
                </c:pt>
                <c:pt idx="233">
                  <c:v>538.550000000001</c:v>
                </c:pt>
                <c:pt idx="234">
                  <c:v>537.090000000001</c:v>
                </c:pt>
                <c:pt idx="235">
                  <c:v>535.630000000001</c:v>
                </c:pt>
                <c:pt idx="236">
                  <c:v>534.170000000001</c:v>
                </c:pt>
                <c:pt idx="237">
                  <c:v>532.710000000001</c:v>
                </c:pt>
                <c:pt idx="238">
                  <c:v>531.250000000001</c:v>
                </c:pt>
                <c:pt idx="239">
                  <c:v>529.790000000001</c:v>
                </c:pt>
                <c:pt idx="240">
                  <c:v>528.330000000001</c:v>
                </c:pt>
                <c:pt idx="241">
                  <c:v>526.870000000001</c:v>
                </c:pt>
                <c:pt idx="242">
                  <c:v>525.410000000001</c:v>
                </c:pt>
                <c:pt idx="243">
                  <c:v>523.950000000001</c:v>
                </c:pt>
                <c:pt idx="244">
                  <c:v>522.490000000001</c:v>
                </c:pt>
                <c:pt idx="245">
                  <c:v>521.030000000001</c:v>
                </c:pt>
                <c:pt idx="246">
                  <c:v>519.570000000001</c:v>
                </c:pt>
                <c:pt idx="247">
                  <c:v>518.110000000001</c:v>
                </c:pt>
                <c:pt idx="248">
                  <c:v>516.650000000001</c:v>
                </c:pt>
                <c:pt idx="249">
                  <c:v>515.190000000001</c:v>
                </c:pt>
                <c:pt idx="250">
                  <c:v>513.730000000001</c:v>
                </c:pt>
                <c:pt idx="251">
                  <c:v>511.978723404257</c:v>
                </c:pt>
                <c:pt idx="252">
                  <c:v>509.936170212768</c:v>
                </c:pt>
                <c:pt idx="253">
                  <c:v>507.893617021279</c:v>
                </c:pt>
                <c:pt idx="254">
                  <c:v>505.851063829789</c:v>
                </c:pt>
                <c:pt idx="255">
                  <c:v>503.8085106383</c:v>
                </c:pt>
                <c:pt idx="256">
                  <c:v>501.765957446811</c:v>
                </c:pt>
                <c:pt idx="257">
                  <c:v>499.723404255321</c:v>
                </c:pt>
                <c:pt idx="258">
                  <c:v>497.680851063832</c:v>
                </c:pt>
                <c:pt idx="259">
                  <c:v>495.638297872343</c:v>
                </c:pt>
                <c:pt idx="260">
                  <c:v>493.595744680853</c:v>
                </c:pt>
                <c:pt idx="261">
                  <c:v>491.553191489364</c:v>
                </c:pt>
                <c:pt idx="262">
                  <c:v>489.510638297875</c:v>
                </c:pt>
                <c:pt idx="263">
                  <c:v>487.468085106385</c:v>
                </c:pt>
                <c:pt idx="264">
                  <c:v>485.425531914896</c:v>
                </c:pt>
                <c:pt idx="265">
                  <c:v>483.382978723407</c:v>
                </c:pt>
                <c:pt idx="266">
                  <c:v>481.340425531918</c:v>
                </c:pt>
                <c:pt idx="267">
                  <c:v>479.297872340428</c:v>
                </c:pt>
                <c:pt idx="268">
                  <c:v>477.255319148939</c:v>
                </c:pt>
                <c:pt idx="269">
                  <c:v>475.21276595745</c:v>
                </c:pt>
                <c:pt idx="270">
                  <c:v>473.17021276596</c:v>
                </c:pt>
                <c:pt idx="271">
                  <c:v>471.127659574471</c:v>
                </c:pt>
                <c:pt idx="272">
                  <c:v>469.085106382982</c:v>
                </c:pt>
                <c:pt idx="273">
                  <c:v>467.042553191492</c:v>
                </c:pt>
                <c:pt idx="274">
                  <c:v>465.000000000003</c:v>
                </c:pt>
                <c:pt idx="275">
                  <c:v>462.957446808514</c:v>
                </c:pt>
                <c:pt idx="276">
                  <c:v>460.914893617024</c:v>
                </c:pt>
                <c:pt idx="277">
                  <c:v>458.872340425535</c:v>
                </c:pt>
                <c:pt idx="278">
                  <c:v>456.829787234046</c:v>
                </c:pt>
                <c:pt idx="279">
                  <c:v>454.787234042556</c:v>
                </c:pt>
                <c:pt idx="280">
                  <c:v>452.744680851067</c:v>
                </c:pt>
                <c:pt idx="281">
                  <c:v>450.702127659578</c:v>
                </c:pt>
                <c:pt idx="282">
                  <c:v>448.659574468088</c:v>
                </c:pt>
                <c:pt idx="283">
                  <c:v>446.617021276599</c:v>
                </c:pt>
                <c:pt idx="284">
                  <c:v>444.57446808511</c:v>
                </c:pt>
                <c:pt idx="285">
                  <c:v>442.53191489362</c:v>
                </c:pt>
                <c:pt idx="286">
                  <c:v>440.489361702131</c:v>
                </c:pt>
                <c:pt idx="287">
                  <c:v>438.446808510642</c:v>
                </c:pt>
                <c:pt idx="288">
                  <c:v>436.404255319153</c:v>
                </c:pt>
                <c:pt idx="289">
                  <c:v>434.361702127663</c:v>
                </c:pt>
                <c:pt idx="290">
                  <c:v>432.319148936174</c:v>
                </c:pt>
                <c:pt idx="291">
                  <c:v>430.276595744685</c:v>
                </c:pt>
                <c:pt idx="292">
                  <c:v>428.234042553195</c:v>
                </c:pt>
                <c:pt idx="293">
                  <c:v>426.191489361706</c:v>
                </c:pt>
                <c:pt idx="294">
                  <c:v>424.148936170217</c:v>
                </c:pt>
                <c:pt idx="295">
                  <c:v>422.106382978727</c:v>
                </c:pt>
                <c:pt idx="296">
                  <c:v>420.063829787238</c:v>
                </c:pt>
                <c:pt idx="297">
                  <c:v>418.021276595749</c:v>
                </c:pt>
                <c:pt idx="298">
                  <c:v>412.826086956538</c:v>
                </c:pt>
                <c:pt idx="299">
                  <c:v>404.478260869582</c:v>
                </c:pt>
                <c:pt idx="300">
                  <c:v>396.130434782625</c:v>
                </c:pt>
                <c:pt idx="301">
                  <c:v>387.782608695669</c:v>
                </c:pt>
                <c:pt idx="302">
                  <c:v>379.434782608713</c:v>
                </c:pt>
                <c:pt idx="303">
                  <c:v>371.086956521756</c:v>
                </c:pt>
                <c:pt idx="304">
                  <c:v>362.7391304348</c:v>
                </c:pt>
                <c:pt idx="305">
                  <c:v>354.391304347844</c:v>
                </c:pt>
                <c:pt idx="306">
                  <c:v>346.043478260887</c:v>
                </c:pt>
                <c:pt idx="307">
                  <c:v>337.695652173931</c:v>
                </c:pt>
                <c:pt idx="308">
                  <c:v>329.347826086975</c:v>
                </c:pt>
                <c:pt idx="309">
                  <c:v>321.000000000018</c:v>
                </c:pt>
                <c:pt idx="310">
                  <c:v>312.652173913062</c:v>
                </c:pt>
                <c:pt idx="311">
                  <c:v>304.304347826106</c:v>
                </c:pt>
                <c:pt idx="312">
                  <c:v>295.956521739149</c:v>
                </c:pt>
                <c:pt idx="313">
                  <c:v>287.608695652193</c:v>
                </c:pt>
                <c:pt idx="314">
                  <c:v>279.260869565237</c:v>
                </c:pt>
                <c:pt idx="315">
                  <c:v>270.91304347828</c:v>
                </c:pt>
                <c:pt idx="316">
                  <c:v>262.565217391324</c:v>
                </c:pt>
                <c:pt idx="317">
                  <c:v>254.217391304368</c:v>
                </c:pt>
                <c:pt idx="318">
                  <c:v>245.869565217411</c:v>
                </c:pt>
                <c:pt idx="319">
                  <c:v>237.521739130455</c:v>
                </c:pt>
                <c:pt idx="320">
                  <c:v>229.173913043499</c:v>
                </c:pt>
                <c:pt idx="321">
                  <c:v>222.074074074088</c:v>
                </c:pt>
                <c:pt idx="322">
                  <c:v>216.222222222237</c:v>
                </c:pt>
                <c:pt idx="323">
                  <c:v>210.370370370385</c:v>
                </c:pt>
                <c:pt idx="324">
                  <c:v>204.518518518533</c:v>
                </c:pt>
                <c:pt idx="325">
                  <c:v>198.666666666682</c:v>
                </c:pt>
                <c:pt idx="326">
                  <c:v>192.81481481483</c:v>
                </c:pt>
                <c:pt idx="327">
                  <c:v>186.962962962978</c:v>
                </c:pt>
                <c:pt idx="328">
                  <c:v>181.111111111126</c:v>
                </c:pt>
                <c:pt idx="329">
                  <c:v>175.259259259275</c:v>
                </c:pt>
                <c:pt idx="330">
                  <c:v>169.407407407423</c:v>
                </c:pt>
                <c:pt idx="331">
                  <c:v>163.555555555571</c:v>
                </c:pt>
                <c:pt idx="332">
                  <c:v>157.703703703719</c:v>
                </c:pt>
                <c:pt idx="333">
                  <c:v>151.851851851868</c:v>
                </c:pt>
                <c:pt idx="334">
                  <c:v>146.000000000016</c:v>
                </c:pt>
                <c:pt idx="335">
                  <c:v>140.148148148164</c:v>
                </c:pt>
                <c:pt idx="336">
                  <c:v>134.296296296313</c:v>
                </c:pt>
                <c:pt idx="337">
                  <c:v>128.444444444461</c:v>
                </c:pt>
                <c:pt idx="338">
                  <c:v>122.592592592609</c:v>
                </c:pt>
                <c:pt idx="339">
                  <c:v>116.740740740757</c:v>
                </c:pt>
                <c:pt idx="340">
                  <c:v>110.888888888906</c:v>
                </c:pt>
                <c:pt idx="341">
                  <c:v>105.037037037054</c:v>
                </c:pt>
                <c:pt idx="342">
                  <c:v>99.1851851852022</c:v>
                </c:pt>
                <c:pt idx="343">
                  <c:v>93.3333333333505</c:v>
                </c:pt>
                <c:pt idx="344">
                  <c:v>87.4814814814987</c:v>
                </c:pt>
                <c:pt idx="345">
                  <c:v>81.629629629647</c:v>
                </c:pt>
                <c:pt idx="346">
                  <c:v>75.7777777777953</c:v>
                </c:pt>
                <c:pt idx="347">
                  <c:v>69.9259259259436</c:v>
                </c:pt>
                <c:pt idx="348">
                  <c:v>64.2083333333502</c:v>
                </c:pt>
                <c:pt idx="349">
                  <c:v>58.625000000017</c:v>
                </c:pt>
                <c:pt idx="350">
                  <c:v>53.0416666666838</c:v>
                </c:pt>
                <c:pt idx="351">
                  <c:v>47.4583333333506</c:v>
                </c:pt>
                <c:pt idx="352">
                  <c:v>41.8750000000173</c:v>
                </c:pt>
                <c:pt idx="353">
                  <c:v>36.2916666666841</c:v>
                </c:pt>
                <c:pt idx="354">
                  <c:v>30.7083333333509</c:v>
                </c:pt>
                <c:pt idx="355">
                  <c:v>25.1250000000176</c:v>
                </c:pt>
                <c:pt idx="356">
                  <c:v>19.5416666666844</c:v>
                </c:pt>
                <c:pt idx="357">
                  <c:v>13.9583333333512</c:v>
                </c:pt>
                <c:pt idx="358">
                  <c:v>8.37500000001795</c:v>
                </c:pt>
                <c:pt idx="359">
                  <c:v>2.79166666668472</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ser>
        <c:ser>
          <c:idx val="1"/>
          <c:order val="1"/>
          <c:tx>
            <c:strRef>
              <c:f>Courbes!$B$135</c:f>
              <c:strCache>
                <c:ptCount val="1"/>
                <c:pt idx="0">
                  <c:v>Poids</c:v>
                </c:pt>
              </c:strCache>
            </c:strRef>
          </c:tx>
          <c:spPr>
            <a:solidFill>
              <a:srgbClr val="0000ff"/>
            </a:solidFill>
            <a:ln w="25560">
              <a:solidFill>
                <a:srgbClr val="0000ff"/>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34.8000000000002</c:v>
                </c:pt>
                <c:pt idx="709">
                  <c:v>34.9000000000002</c:v>
                </c:pt>
                <c:pt idx="710">
                  <c:v>35.0000000000002</c:v>
                </c:pt>
                <c:pt idx="711">
                  <c:v>35.1000000000002</c:v>
                </c:pt>
                <c:pt idx="712">
                  <c:v>35.2000000000002</c:v>
                </c:pt>
                <c:pt idx="713">
                  <c:v>35.3000000000002</c:v>
                </c:pt>
                <c:pt idx="714">
                  <c:v>35.4000000000002</c:v>
                </c:pt>
                <c:pt idx="715">
                  <c:v>35.5000000000002</c:v>
                </c:pt>
                <c:pt idx="716">
                  <c:v>35.6000000000002</c:v>
                </c:pt>
                <c:pt idx="717">
                  <c:v>35.7000000000002</c:v>
                </c:pt>
                <c:pt idx="718">
                  <c:v>35.8000000000002</c:v>
                </c:pt>
                <c:pt idx="719">
                  <c:v>35.9000000000002</c:v>
                </c:pt>
                <c:pt idx="720">
                  <c:v>36.0000000000002</c:v>
                </c:pt>
                <c:pt idx="721">
                  <c:v>36.1000000000002</c:v>
                </c:pt>
                <c:pt idx="722">
                  <c:v>36.2000000000002</c:v>
                </c:pt>
                <c:pt idx="723">
                  <c:v>36.3000000000002</c:v>
                </c:pt>
                <c:pt idx="724">
                  <c:v>36.3001000000002</c:v>
                </c:pt>
                <c:pt idx="725">
                  <c:v>36.3002000000002</c:v>
                </c:pt>
                <c:pt idx="726">
                  <c:v>36.3003000000002</c:v>
                </c:pt>
                <c:pt idx="727">
                  <c:v>36.3004000000002</c:v>
                </c:pt>
                <c:pt idx="728">
                  <c:v>36.3005000000002</c:v>
                </c:pt>
                <c:pt idx="729">
                  <c:v>36.3006000000002</c:v>
                </c:pt>
                <c:pt idx="730">
                  <c:v>36.3007000000002</c:v>
                </c:pt>
                <c:pt idx="731">
                  <c:v>36.3008000000002</c:v>
                </c:pt>
                <c:pt idx="732">
                  <c:v>36.3009000000002</c:v>
                </c:pt>
                <c:pt idx="733">
                  <c:v>36.3010000000002</c:v>
                </c:pt>
                <c:pt idx="734">
                  <c:v>36.3011000000002</c:v>
                </c:pt>
                <c:pt idx="735">
                  <c:v>36.3012000000002</c:v>
                </c:pt>
                <c:pt idx="736">
                  <c:v>36.3013000000002</c:v>
                </c:pt>
                <c:pt idx="737">
                  <c:v>36.3014000000003</c:v>
                </c:pt>
                <c:pt idx="738">
                  <c:v>36.3015000000003</c:v>
                </c:pt>
                <c:pt idx="739">
                  <c:v>36.3016000000003</c:v>
                </c:pt>
                <c:pt idx="740">
                  <c:v>36.3017000000003</c:v>
                </c:pt>
                <c:pt idx="741">
                  <c:v>36.3018000000003</c:v>
                </c:pt>
                <c:pt idx="742">
                  <c:v>36.3019000000003</c:v>
                </c:pt>
                <c:pt idx="743">
                  <c:v>36.3020000000003</c:v>
                </c:pt>
                <c:pt idx="744">
                  <c:v>36.3021000000003</c:v>
                </c:pt>
                <c:pt idx="745">
                  <c:v>36.3022000000003</c:v>
                </c:pt>
                <c:pt idx="746">
                  <c:v>36.3023000000003</c:v>
                </c:pt>
                <c:pt idx="747">
                  <c:v>36.3024000000003</c:v>
                </c:pt>
                <c:pt idx="748">
                  <c:v>36.3025000000003</c:v>
                </c:pt>
                <c:pt idx="749">
                  <c:v>36.3026000000003</c:v>
                </c:pt>
                <c:pt idx="750">
                  <c:v>36.3027000000003</c:v>
                </c:pt>
                <c:pt idx="751">
                  <c:v>36.3028000000003</c:v>
                </c:pt>
                <c:pt idx="752">
                  <c:v>36.3029000000003</c:v>
                </c:pt>
                <c:pt idx="753">
                  <c:v>36.3030000000003</c:v>
                </c:pt>
                <c:pt idx="754">
                  <c:v>36.3031000000003</c:v>
                </c:pt>
                <c:pt idx="755">
                  <c:v>36.3032000000003</c:v>
                </c:pt>
                <c:pt idx="756">
                  <c:v>36.3033000000003</c:v>
                </c:pt>
                <c:pt idx="757">
                  <c:v>36.3034000000003</c:v>
                </c:pt>
                <c:pt idx="758">
                  <c:v>36.3035000000003</c:v>
                </c:pt>
                <c:pt idx="759">
                  <c:v>36.3036000000003</c:v>
                </c:pt>
                <c:pt idx="760">
                  <c:v>36.3037000000003</c:v>
                </c:pt>
                <c:pt idx="761">
                  <c:v>36.3038000000003</c:v>
                </c:pt>
                <c:pt idx="762">
                  <c:v>36.3039000000003</c:v>
                </c:pt>
                <c:pt idx="763">
                  <c:v>36.3040000000003</c:v>
                </c:pt>
                <c:pt idx="764">
                  <c:v>36.3041000000003</c:v>
                </c:pt>
                <c:pt idx="765">
                  <c:v>36.3042000000003</c:v>
                </c:pt>
                <c:pt idx="766">
                  <c:v>36.3043000000003</c:v>
                </c:pt>
                <c:pt idx="767">
                  <c:v>36.3044000000004</c:v>
                </c:pt>
                <c:pt idx="768">
                  <c:v>36.3045000000004</c:v>
                </c:pt>
                <c:pt idx="769">
                  <c:v>36.3046000000004</c:v>
                </c:pt>
                <c:pt idx="770">
                  <c:v>36.3047000000004</c:v>
                </c:pt>
                <c:pt idx="771">
                  <c:v>36.3048000000004</c:v>
                </c:pt>
                <c:pt idx="772">
                  <c:v>36.3049000000004</c:v>
                </c:pt>
                <c:pt idx="773">
                  <c:v>36.3050000000004</c:v>
                </c:pt>
                <c:pt idx="774">
                  <c:v>36.3051000000004</c:v>
                </c:pt>
                <c:pt idx="775">
                  <c:v>36.3052000000004</c:v>
                </c:pt>
                <c:pt idx="776">
                  <c:v>36.3053000000004</c:v>
                </c:pt>
                <c:pt idx="777">
                  <c:v>36.3054000000004</c:v>
                </c:pt>
                <c:pt idx="778">
                  <c:v>36.3055000000004</c:v>
                </c:pt>
                <c:pt idx="779">
                  <c:v>36.3056000000004</c:v>
                </c:pt>
                <c:pt idx="780">
                  <c:v>36.3057000000004</c:v>
                </c:pt>
                <c:pt idx="781">
                  <c:v>36.3058000000004</c:v>
                </c:pt>
                <c:pt idx="782">
                  <c:v>36.3059000000004</c:v>
                </c:pt>
                <c:pt idx="783">
                  <c:v>36.3060000000004</c:v>
                </c:pt>
                <c:pt idx="784">
                  <c:v>36.3061000000004</c:v>
                </c:pt>
                <c:pt idx="785">
                  <c:v>36.3062000000004</c:v>
                </c:pt>
                <c:pt idx="786">
                  <c:v>36.3063000000004</c:v>
                </c:pt>
                <c:pt idx="787">
                  <c:v>36.3064000000004</c:v>
                </c:pt>
                <c:pt idx="788">
                  <c:v>36.3065000000004</c:v>
                </c:pt>
                <c:pt idx="789">
                  <c:v>36.3066000000004</c:v>
                </c:pt>
                <c:pt idx="790">
                  <c:v>36.3067000000004</c:v>
                </c:pt>
                <c:pt idx="791">
                  <c:v>36.3068000000004</c:v>
                </c:pt>
                <c:pt idx="792">
                  <c:v>36.3069000000004</c:v>
                </c:pt>
                <c:pt idx="793">
                  <c:v>36.3070000000004</c:v>
                </c:pt>
                <c:pt idx="794">
                  <c:v>36.3071000000004</c:v>
                </c:pt>
                <c:pt idx="795">
                  <c:v>36.3072000000004</c:v>
                </c:pt>
                <c:pt idx="796">
                  <c:v>36.3073000000004</c:v>
                </c:pt>
                <c:pt idx="797">
                  <c:v>36.3074000000005</c:v>
                </c:pt>
                <c:pt idx="798">
                  <c:v>36.3075000000005</c:v>
                </c:pt>
                <c:pt idx="799">
                  <c:v>36.3076000000005</c:v>
                </c:pt>
                <c:pt idx="800">
                  <c:v>36.3077000000005</c:v>
                </c:pt>
                <c:pt idx="801">
                  <c:v>36.3078000000005</c:v>
                </c:pt>
                <c:pt idx="802">
                  <c:v>36.3079000000005</c:v>
                </c:pt>
                <c:pt idx="803">
                  <c:v>36.3080000000005</c:v>
                </c:pt>
                <c:pt idx="804">
                  <c:v>36.3081000000005</c:v>
                </c:pt>
                <c:pt idx="805">
                  <c:v>36.3082000000005</c:v>
                </c:pt>
                <c:pt idx="806">
                  <c:v>36.3083000000005</c:v>
                </c:pt>
                <c:pt idx="807">
                  <c:v>36.3084000000005</c:v>
                </c:pt>
                <c:pt idx="808">
                  <c:v>36.3085000000005</c:v>
                </c:pt>
                <c:pt idx="809">
                  <c:v>36.3086000000005</c:v>
                </c:pt>
                <c:pt idx="810">
                  <c:v>36.3087000000005</c:v>
                </c:pt>
                <c:pt idx="811">
                  <c:v>36.3088000000005</c:v>
                </c:pt>
                <c:pt idx="812">
                  <c:v>36.3089000000005</c:v>
                </c:pt>
                <c:pt idx="813">
                  <c:v>36.3090000000005</c:v>
                </c:pt>
                <c:pt idx="814">
                  <c:v>36.3091000000005</c:v>
                </c:pt>
                <c:pt idx="815">
                  <c:v>36.3092000000005</c:v>
                </c:pt>
                <c:pt idx="816">
                  <c:v>36.3093000000005</c:v>
                </c:pt>
                <c:pt idx="817">
                  <c:v>36.3094000000005</c:v>
                </c:pt>
                <c:pt idx="818">
                  <c:v>36.3095000000005</c:v>
                </c:pt>
                <c:pt idx="819">
                  <c:v>36.3096000000005</c:v>
                </c:pt>
                <c:pt idx="820">
                  <c:v>36.3097000000005</c:v>
                </c:pt>
                <c:pt idx="821">
                  <c:v>36.3098000000005</c:v>
                </c:pt>
                <c:pt idx="822">
                  <c:v>36.3099000000005</c:v>
                </c:pt>
                <c:pt idx="823">
                  <c:v>36.3100000000005</c:v>
                </c:pt>
                <c:pt idx="824">
                  <c:v>36.3101000000005</c:v>
                </c:pt>
                <c:pt idx="825">
                  <c:v>36.3102000000005</c:v>
                </c:pt>
                <c:pt idx="826">
                  <c:v>36.3103000000005</c:v>
                </c:pt>
                <c:pt idx="827">
                  <c:v>36.3104000000006</c:v>
                </c:pt>
                <c:pt idx="828">
                  <c:v>36.3105000000006</c:v>
                </c:pt>
                <c:pt idx="829">
                  <c:v>36.3106000000006</c:v>
                </c:pt>
                <c:pt idx="830">
                  <c:v>36.3107000000006</c:v>
                </c:pt>
                <c:pt idx="831">
                  <c:v>36.3108000000006</c:v>
                </c:pt>
                <c:pt idx="832">
                  <c:v>36.3109000000006</c:v>
                </c:pt>
                <c:pt idx="833">
                  <c:v>36.3110000000006</c:v>
                </c:pt>
                <c:pt idx="834">
                  <c:v>36.3111000000006</c:v>
                </c:pt>
                <c:pt idx="835">
                  <c:v>36.3112000000006</c:v>
                </c:pt>
                <c:pt idx="836">
                  <c:v>36.3113000000006</c:v>
                </c:pt>
                <c:pt idx="837">
                  <c:v>36.3114000000006</c:v>
                </c:pt>
                <c:pt idx="838">
                  <c:v>36.3115000000006</c:v>
                </c:pt>
                <c:pt idx="839">
                  <c:v>36.3116000000006</c:v>
                </c:pt>
                <c:pt idx="840">
                  <c:v>36.3117000000006</c:v>
                </c:pt>
                <c:pt idx="841">
                  <c:v>36.3118000000006</c:v>
                </c:pt>
                <c:pt idx="842">
                  <c:v>36.3119000000006</c:v>
                </c:pt>
                <c:pt idx="843">
                  <c:v>36.3120000000006</c:v>
                </c:pt>
                <c:pt idx="844">
                  <c:v>36.3121000000006</c:v>
                </c:pt>
                <c:pt idx="845">
                  <c:v>36.3122000000006</c:v>
                </c:pt>
                <c:pt idx="846">
                  <c:v>36.3123000000006</c:v>
                </c:pt>
                <c:pt idx="847">
                  <c:v>36.3124000000006</c:v>
                </c:pt>
                <c:pt idx="848">
                  <c:v>36.3125000000006</c:v>
                </c:pt>
                <c:pt idx="849">
                  <c:v>36.3126000000006</c:v>
                </c:pt>
                <c:pt idx="850">
                  <c:v>36.3127000000006</c:v>
                </c:pt>
                <c:pt idx="851">
                  <c:v>36.3128000000006</c:v>
                </c:pt>
                <c:pt idx="852">
                  <c:v>36.3129000000006</c:v>
                </c:pt>
                <c:pt idx="853">
                  <c:v>36.3130000000006</c:v>
                </c:pt>
                <c:pt idx="854">
                  <c:v>36.3131000000006</c:v>
                </c:pt>
                <c:pt idx="855">
                  <c:v>36.3132000000006</c:v>
                </c:pt>
                <c:pt idx="856">
                  <c:v>36.3133000000006</c:v>
                </c:pt>
                <c:pt idx="857">
                  <c:v>36.3134000000007</c:v>
                </c:pt>
                <c:pt idx="858">
                  <c:v>36.3135000000007</c:v>
                </c:pt>
                <c:pt idx="859">
                  <c:v>36.3136000000007</c:v>
                </c:pt>
                <c:pt idx="860">
                  <c:v>36.3137000000007</c:v>
                </c:pt>
                <c:pt idx="861">
                  <c:v>36.3138000000007</c:v>
                </c:pt>
                <c:pt idx="862">
                  <c:v>36.3139000000007</c:v>
                </c:pt>
                <c:pt idx="863">
                  <c:v>36.3140000000007</c:v>
                </c:pt>
                <c:pt idx="864">
                  <c:v>36.3141000000007</c:v>
                </c:pt>
                <c:pt idx="865">
                  <c:v>36.3142000000007</c:v>
                </c:pt>
                <c:pt idx="866">
                  <c:v>36.3143000000007</c:v>
                </c:pt>
                <c:pt idx="867">
                  <c:v>36.3144000000007</c:v>
                </c:pt>
                <c:pt idx="868">
                  <c:v>36.3145000000007</c:v>
                </c:pt>
                <c:pt idx="869">
                  <c:v>36.3146000000007</c:v>
                </c:pt>
                <c:pt idx="870">
                  <c:v>36.3147000000007</c:v>
                </c:pt>
                <c:pt idx="871">
                  <c:v>36.3148000000007</c:v>
                </c:pt>
                <c:pt idx="872">
                  <c:v>36.3149000000007</c:v>
                </c:pt>
                <c:pt idx="873">
                  <c:v>36.3150000000007</c:v>
                </c:pt>
                <c:pt idx="874">
                  <c:v>36.3151000000007</c:v>
                </c:pt>
                <c:pt idx="875">
                  <c:v>36.3152000000007</c:v>
                </c:pt>
                <c:pt idx="876">
                  <c:v>36.3153000000007</c:v>
                </c:pt>
                <c:pt idx="877">
                  <c:v>36.3154000000007</c:v>
                </c:pt>
                <c:pt idx="878">
                  <c:v>36.3155000000007</c:v>
                </c:pt>
                <c:pt idx="879">
                  <c:v>36.3156000000007</c:v>
                </c:pt>
                <c:pt idx="880">
                  <c:v>36.3157000000007</c:v>
                </c:pt>
                <c:pt idx="881">
                  <c:v>36.3158000000007</c:v>
                </c:pt>
                <c:pt idx="882">
                  <c:v>36.3159000000007</c:v>
                </c:pt>
                <c:pt idx="883">
                  <c:v>36.3160000000007</c:v>
                </c:pt>
                <c:pt idx="884">
                  <c:v>36.3161000000007</c:v>
                </c:pt>
                <c:pt idx="885">
                  <c:v>36.3162000000007</c:v>
                </c:pt>
                <c:pt idx="886">
                  <c:v>36.3163000000007</c:v>
                </c:pt>
                <c:pt idx="887">
                  <c:v>36.3164000000008</c:v>
                </c:pt>
                <c:pt idx="888">
                  <c:v>36.3165000000008</c:v>
                </c:pt>
                <c:pt idx="889">
                  <c:v>36.3166000000008</c:v>
                </c:pt>
                <c:pt idx="890">
                  <c:v>36.3167000000008</c:v>
                </c:pt>
                <c:pt idx="891">
                  <c:v>36.3168000000008</c:v>
                </c:pt>
                <c:pt idx="892">
                  <c:v>36.3169000000008</c:v>
                </c:pt>
                <c:pt idx="893">
                  <c:v>36.3170000000008</c:v>
                </c:pt>
                <c:pt idx="894">
                  <c:v>36.3171000000008</c:v>
                </c:pt>
                <c:pt idx="895">
                  <c:v>36.3172000000008</c:v>
                </c:pt>
                <c:pt idx="896">
                  <c:v>36.3173000000008</c:v>
                </c:pt>
                <c:pt idx="897">
                  <c:v>36.3174000000008</c:v>
                </c:pt>
                <c:pt idx="898">
                  <c:v>36.3175000000008</c:v>
                </c:pt>
                <c:pt idx="899">
                  <c:v>36.3176000000008</c:v>
                </c:pt>
                <c:pt idx="900">
                  <c:v>36.3177000000008</c:v>
                </c:pt>
                <c:pt idx="901">
                  <c:v>36.3178000000008</c:v>
                </c:pt>
                <c:pt idx="902">
                  <c:v>36.3179000000008</c:v>
                </c:pt>
                <c:pt idx="903">
                  <c:v>36.3180000000008</c:v>
                </c:pt>
                <c:pt idx="904">
                  <c:v>36.3181000000008</c:v>
                </c:pt>
                <c:pt idx="905">
                  <c:v>36.3182000000008</c:v>
                </c:pt>
                <c:pt idx="906">
                  <c:v>36.3183000000008</c:v>
                </c:pt>
                <c:pt idx="907">
                  <c:v>36.3184000000008</c:v>
                </c:pt>
                <c:pt idx="908">
                  <c:v>36.3185000000008</c:v>
                </c:pt>
                <c:pt idx="909">
                  <c:v>36.3186000000008</c:v>
                </c:pt>
                <c:pt idx="910">
                  <c:v>36.3187000000008</c:v>
                </c:pt>
                <c:pt idx="911">
                  <c:v>36.3188000000008</c:v>
                </c:pt>
                <c:pt idx="912">
                  <c:v>36.3189000000008</c:v>
                </c:pt>
                <c:pt idx="913">
                  <c:v>36.3190000000008</c:v>
                </c:pt>
                <c:pt idx="914">
                  <c:v>36.3191000000008</c:v>
                </c:pt>
                <c:pt idx="915">
                  <c:v>36.3192000000008</c:v>
                </c:pt>
                <c:pt idx="916">
                  <c:v>36.3193000000008</c:v>
                </c:pt>
                <c:pt idx="917">
                  <c:v>36.3194000000009</c:v>
                </c:pt>
                <c:pt idx="918">
                  <c:v>36.3195000000009</c:v>
                </c:pt>
                <c:pt idx="919">
                  <c:v>36.3196000000009</c:v>
                </c:pt>
                <c:pt idx="920">
                  <c:v>36.3197000000009</c:v>
                </c:pt>
                <c:pt idx="921">
                  <c:v>36.3198000000009</c:v>
                </c:pt>
                <c:pt idx="922">
                  <c:v>36.3199000000009</c:v>
                </c:pt>
                <c:pt idx="923">
                  <c:v>36.3200000000009</c:v>
                </c:pt>
                <c:pt idx="924">
                  <c:v>36.3201000000009</c:v>
                </c:pt>
                <c:pt idx="925">
                  <c:v>36.3202000000009</c:v>
                </c:pt>
                <c:pt idx="926">
                  <c:v>36.3203000000009</c:v>
                </c:pt>
                <c:pt idx="927">
                  <c:v>36.3204000000009</c:v>
                </c:pt>
                <c:pt idx="928">
                  <c:v>36.3205000000009</c:v>
                </c:pt>
                <c:pt idx="929">
                  <c:v>36.3206000000009</c:v>
                </c:pt>
                <c:pt idx="930">
                  <c:v>36.3207000000009</c:v>
                </c:pt>
                <c:pt idx="931">
                  <c:v>36.3208000000009</c:v>
                </c:pt>
                <c:pt idx="932">
                  <c:v>36.3209000000009</c:v>
                </c:pt>
                <c:pt idx="933">
                  <c:v>36.3210000000009</c:v>
                </c:pt>
                <c:pt idx="934">
                  <c:v>36.3211000000009</c:v>
                </c:pt>
                <c:pt idx="935">
                  <c:v>36.3212000000009</c:v>
                </c:pt>
                <c:pt idx="936">
                  <c:v>36.3213000000009</c:v>
                </c:pt>
                <c:pt idx="937">
                  <c:v>36.3214000000009</c:v>
                </c:pt>
                <c:pt idx="938">
                  <c:v>36.3215000000009</c:v>
                </c:pt>
                <c:pt idx="939">
                  <c:v>36.3216000000009</c:v>
                </c:pt>
                <c:pt idx="940">
                  <c:v>36.3217000000009</c:v>
                </c:pt>
                <c:pt idx="941">
                  <c:v>36.3218000000009</c:v>
                </c:pt>
                <c:pt idx="942">
                  <c:v>36.3219000000009</c:v>
                </c:pt>
                <c:pt idx="943">
                  <c:v>36.3220000000009</c:v>
                </c:pt>
                <c:pt idx="944">
                  <c:v>36.3221000000009</c:v>
                </c:pt>
                <c:pt idx="945">
                  <c:v>36.3222000000009</c:v>
                </c:pt>
                <c:pt idx="946">
                  <c:v>36.3223000000009</c:v>
                </c:pt>
                <c:pt idx="947">
                  <c:v>36.322400000001</c:v>
                </c:pt>
                <c:pt idx="948">
                  <c:v>36.322500000001</c:v>
                </c:pt>
                <c:pt idx="949">
                  <c:v>36.322600000001</c:v>
                </c:pt>
                <c:pt idx="950">
                  <c:v>36.322700000001</c:v>
                </c:pt>
                <c:pt idx="951">
                  <c:v>36.322800000001</c:v>
                </c:pt>
                <c:pt idx="952">
                  <c:v>36.322900000001</c:v>
                </c:pt>
                <c:pt idx="953">
                  <c:v>36.323000000001</c:v>
                </c:pt>
                <c:pt idx="954">
                  <c:v>36.323100000001</c:v>
                </c:pt>
                <c:pt idx="955">
                  <c:v>36.323200000001</c:v>
                </c:pt>
                <c:pt idx="956">
                  <c:v>36.323300000001</c:v>
                </c:pt>
                <c:pt idx="957">
                  <c:v>36.323400000001</c:v>
                </c:pt>
                <c:pt idx="958">
                  <c:v>36.323500000001</c:v>
                </c:pt>
                <c:pt idx="959">
                  <c:v>36.323600000001</c:v>
                </c:pt>
                <c:pt idx="960">
                  <c:v>36.323700000001</c:v>
                </c:pt>
                <c:pt idx="961">
                  <c:v>36.323800000001</c:v>
                </c:pt>
                <c:pt idx="962">
                  <c:v>36.323900000001</c:v>
                </c:pt>
                <c:pt idx="963">
                  <c:v>36.324000000001</c:v>
                </c:pt>
                <c:pt idx="964">
                  <c:v>36.324100000001</c:v>
                </c:pt>
                <c:pt idx="965">
                  <c:v>36.324200000001</c:v>
                </c:pt>
                <c:pt idx="966">
                  <c:v>36.324300000001</c:v>
                </c:pt>
                <c:pt idx="967">
                  <c:v>36.324400000001</c:v>
                </c:pt>
                <c:pt idx="968">
                  <c:v>36.324500000001</c:v>
                </c:pt>
                <c:pt idx="969">
                  <c:v>36.324600000001</c:v>
                </c:pt>
                <c:pt idx="970">
                  <c:v>36.324700000001</c:v>
                </c:pt>
                <c:pt idx="971">
                  <c:v>36.324800000001</c:v>
                </c:pt>
                <c:pt idx="972">
                  <c:v>36.324900000001</c:v>
                </c:pt>
                <c:pt idx="973">
                  <c:v>36.325000000001</c:v>
                </c:pt>
                <c:pt idx="974">
                  <c:v>36.325100000001</c:v>
                </c:pt>
                <c:pt idx="975">
                  <c:v>36.325200000001</c:v>
                </c:pt>
                <c:pt idx="976">
                  <c:v>36.325300000001</c:v>
                </c:pt>
                <c:pt idx="977">
                  <c:v>36.325400000001</c:v>
                </c:pt>
                <c:pt idx="978">
                  <c:v>36.3255000000011</c:v>
                </c:pt>
                <c:pt idx="979">
                  <c:v>36.3256000000011</c:v>
                </c:pt>
                <c:pt idx="980">
                  <c:v>36.3257000000011</c:v>
                </c:pt>
                <c:pt idx="981">
                  <c:v>36.3258000000011</c:v>
                </c:pt>
                <c:pt idx="982">
                  <c:v>36.3259000000011</c:v>
                </c:pt>
                <c:pt idx="983">
                  <c:v>36.3260000000011</c:v>
                </c:pt>
                <c:pt idx="984">
                  <c:v>36.3261000000011</c:v>
                </c:pt>
                <c:pt idx="985">
                  <c:v>36.3262000000011</c:v>
                </c:pt>
                <c:pt idx="986">
                  <c:v>36.3263000000011</c:v>
                </c:pt>
                <c:pt idx="987">
                  <c:v>36.3264000000011</c:v>
                </c:pt>
                <c:pt idx="988">
                  <c:v>36.3265000000011</c:v>
                </c:pt>
                <c:pt idx="989">
                  <c:v>36.3266000000011</c:v>
                </c:pt>
                <c:pt idx="990">
                  <c:v>36.3267000000011</c:v>
                </c:pt>
                <c:pt idx="991">
                  <c:v>36.3268000000011</c:v>
                </c:pt>
                <c:pt idx="992">
                  <c:v>36.3269000000011</c:v>
                </c:pt>
                <c:pt idx="993">
                  <c:v>36.3270000000011</c:v>
                </c:pt>
                <c:pt idx="994">
                  <c:v>36.3271000000011</c:v>
                </c:pt>
                <c:pt idx="995">
                  <c:v>36.3272000000011</c:v>
                </c:pt>
                <c:pt idx="996">
                  <c:v>36.3273000000011</c:v>
                </c:pt>
                <c:pt idx="997">
                  <c:v>36.3274000000011</c:v>
                </c:pt>
                <c:pt idx="998">
                  <c:v>36.3275000000011</c:v>
                </c:pt>
                <c:pt idx="999">
                  <c:v>36.3276000000011</c:v>
                </c:pt>
                <c:pt idx="1000">
                  <c:v>36.3277000000011</c:v>
                </c:pt>
              </c:numCache>
            </c:numRef>
          </c:xVal>
          <c:yVal>
            <c:numRef>
              <c:f>Calculs!$T$4:$T$1004</c:f>
              <c:numCache>
                <c:formatCode>General</c:formatCode>
                <c:ptCount val="1001"/>
                <c:pt idx="0">
                  <c:v>82.51191</c:v>
                </c:pt>
                <c:pt idx="1">
                  <c:v>82.5075135985318</c:v>
                </c:pt>
                <c:pt idx="2">
                  <c:v>82.4943243941274</c:v>
                </c:pt>
                <c:pt idx="3">
                  <c:v>82.4723423867866</c:v>
                </c:pt>
                <c:pt idx="4">
                  <c:v>82.4415675765096</c:v>
                </c:pt>
                <c:pt idx="5">
                  <c:v>82.4019999632962</c:v>
                </c:pt>
                <c:pt idx="6">
                  <c:v>82.3580879155351</c:v>
                </c:pt>
                <c:pt idx="7">
                  <c:v>82.3142798016149</c:v>
                </c:pt>
                <c:pt idx="8">
                  <c:v>82.2705756215355</c:v>
                </c:pt>
                <c:pt idx="9">
                  <c:v>82.226975375297</c:v>
                </c:pt>
                <c:pt idx="10">
                  <c:v>82.1834790628993</c:v>
                </c:pt>
                <c:pt idx="11">
                  <c:v>82.1400866843425</c:v>
                </c:pt>
                <c:pt idx="12">
                  <c:v>82.0967982396265</c:v>
                </c:pt>
                <c:pt idx="13">
                  <c:v>82.0536137287514</c:v>
                </c:pt>
                <c:pt idx="14">
                  <c:v>82.0105331517171</c:v>
                </c:pt>
                <c:pt idx="15">
                  <c:v>81.9675565085237</c:v>
                </c:pt>
                <c:pt idx="16">
                  <c:v>81.9246837991712</c:v>
                </c:pt>
                <c:pt idx="17">
                  <c:v>81.8819150236595</c:v>
                </c:pt>
                <c:pt idx="18">
                  <c:v>81.8392501819887</c:v>
                </c:pt>
                <c:pt idx="19">
                  <c:v>81.7966892741587</c:v>
                </c:pt>
                <c:pt idx="20">
                  <c:v>81.7542323001696</c:v>
                </c:pt>
                <c:pt idx="21">
                  <c:v>81.7118792600213</c:v>
                </c:pt>
                <c:pt idx="22">
                  <c:v>81.6696301537139</c:v>
                </c:pt>
                <c:pt idx="23">
                  <c:v>81.6274849812473</c:v>
                </c:pt>
                <c:pt idx="24">
                  <c:v>81.5854437426216</c:v>
                </c:pt>
                <c:pt idx="25">
                  <c:v>81.5435064378367</c:v>
                </c:pt>
                <c:pt idx="26">
                  <c:v>81.5016730668927</c:v>
                </c:pt>
                <c:pt idx="27">
                  <c:v>81.4599436297896</c:v>
                </c:pt>
                <c:pt idx="28">
                  <c:v>81.4183181265273</c:v>
                </c:pt>
                <c:pt idx="29">
                  <c:v>81.3767965571059</c:v>
                </c:pt>
                <c:pt idx="30">
                  <c:v>81.3353789215253</c:v>
                </c:pt>
                <c:pt idx="31">
                  <c:v>81.2940652197856</c:v>
                </c:pt>
                <c:pt idx="32">
                  <c:v>81.2528554518867</c:v>
                </c:pt>
                <c:pt idx="33">
                  <c:v>81.2117496178287</c:v>
                </c:pt>
                <c:pt idx="34">
                  <c:v>81.1707477176115</c:v>
                </c:pt>
                <c:pt idx="35">
                  <c:v>81.1298497512352</c:v>
                </c:pt>
                <c:pt idx="36">
                  <c:v>81.0890557186997</c:v>
                </c:pt>
                <c:pt idx="37">
                  <c:v>81.0483656200051</c:v>
                </c:pt>
                <c:pt idx="38">
                  <c:v>81.0077794551514</c:v>
                </c:pt>
                <c:pt idx="39">
                  <c:v>80.9672972241385</c:v>
                </c:pt>
                <c:pt idx="40">
                  <c:v>80.9269189269665</c:v>
                </c:pt>
                <c:pt idx="41">
                  <c:v>80.8866445636353</c:v>
                </c:pt>
                <c:pt idx="42">
                  <c:v>80.846474134145</c:v>
                </c:pt>
                <c:pt idx="43">
                  <c:v>80.8064076384955</c:v>
                </c:pt>
                <c:pt idx="44">
                  <c:v>80.7664450766869</c:v>
                </c:pt>
                <c:pt idx="45">
                  <c:v>80.7265864487191</c:v>
                </c:pt>
                <c:pt idx="46">
                  <c:v>80.6868317545922</c:v>
                </c:pt>
                <c:pt idx="47">
                  <c:v>80.6471809943062</c:v>
                </c:pt>
                <c:pt idx="48">
                  <c:v>80.607634167861</c:v>
                </c:pt>
                <c:pt idx="49">
                  <c:v>80.5681912752566</c:v>
                </c:pt>
                <c:pt idx="50">
                  <c:v>80.5288523164931</c:v>
                </c:pt>
                <c:pt idx="51">
                  <c:v>80.4895943714235</c:v>
                </c:pt>
                <c:pt idx="52">
                  <c:v>80.4503945199007</c:v>
                </c:pt>
                <c:pt idx="53">
                  <c:v>80.4112527619247</c:v>
                </c:pt>
                <c:pt idx="54">
                  <c:v>80.3721690974956</c:v>
                </c:pt>
                <c:pt idx="55">
                  <c:v>80.3331435266133</c:v>
                </c:pt>
                <c:pt idx="56">
                  <c:v>80.2941760492778</c:v>
                </c:pt>
                <c:pt idx="57">
                  <c:v>80.2552666654892</c:v>
                </c:pt>
                <c:pt idx="58">
                  <c:v>80.2164153752474</c:v>
                </c:pt>
                <c:pt idx="59">
                  <c:v>80.1776221785524</c:v>
                </c:pt>
                <c:pt idx="60">
                  <c:v>80.1388870754043</c:v>
                </c:pt>
                <c:pt idx="61">
                  <c:v>80.100210065803</c:v>
                </c:pt>
                <c:pt idx="62">
                  <c:v>80.0615911497486</c:v>
                </c:pt>
                <c:pt idx="63">
                  <c:v>80.023030327241</c:v>
                </c:pt>
                <c:pt idx="64">
                  <c:v>79.9845275982802</c:v>
                </c:pt>
                <c:pt idx="65">
                  <c:v>79.9460829628662</c:v>
                </c:pt>
                <c:pt idx="66">
                  <c:v>79.9076964209991</c:v>
                </c:pt>
                <c:pt idx="67">
                  <c:v>79.8693679726789</c:v>
                </c:pt>
                <c:pt idx="68">
                  <c:v>79.8310976179054</c:v>
                </c:pt>
                <c:pt idx="69">
                  <c:v>79.7928853566788</c:v>
                </c:pt>
                <c:pt idx="70">
                  <c:v>79.7547311889991</c:v>
                </c:pt>
                <c:pt idx="71">
                  <c:v>79.7166351148661</c:v>
                </c:pt>
                <c:pt idx="72">
                  <c:v>79.67859713428</c:v>
                </c:pt>
                <c:pt idx="73">
                  <c:v>79.6406172472408</c:v>
                </c:pt>
                <c:pt idx="74">
                  <c:v>79.6026954537483</c:v>
                </c:pt>
                <c:pt idx="75">
                  <c:v>79.5648317538028</c:v>
                </c:pt>
                <c:pt idx="76">
                  <c:v>79.527026147404</c:v>
                </c:pt>
                <c:pt idx="77">
                  <c:v>79.4892786345521</c:v>
                </c:pt>
                <c:pt idx="78">
                  <c:v>79.451589215247</c:v>
                </c:pt>
                <c:pt idx="79">
                  <c:v>79.4139578894888</c:v>
                </c:pt>
                <c:pt idx="80">
                  <c:v>79.3763846572773</c:v>
                </c:pt>
                <c:pt idx="81">
                  <c:v>79.3388695186128</c:v>
                </c:pt>
                <c:pt idx="82">
                  <c:v>79.301412473495</c:v>
                </c:pt>
                <c:pt idx="83">
                  <c:v>79.2640135219241</c:v>
                </c:pt>
                <c:pt idx="84">
                  <c:v>79.2266726639001</c:v>
                </c:pt>
                <c:pt idx="85">
                  <c:v>79.1893898994228</c:v>
                </c:pt>
                <c:pt idx="86">
                  <c:v>79.1521652284924</c:v>
                </c:pt>
                <c:pt idx="87">
                  <c:v>79.1149986511089</c:v>
                </c:pt>
                <c:pt idx="88">
                  <c:v>79.0778901672721</c:v>
                </c:pt>
                <c:pt idx="89">
                  <c:v>79.0408397769823</c:v>
                </c:pt>
                <c:pt idx="90">
                  <c:v>79.0038474802392</c:v>
                </c:pt>
                <c:pt idx="91">
                  <c:v>78.966913277043</c:v>
                </c:pt>
                <c:pt idx="92">
                  <c:v>78.9300371673936</c:v>
                </c:pt>
                <c:pt idx="93">
                  <c:v>78.8932191512911</c:v>
                </c:pt>
                <c:pt idx="94">
                  <c:v>78.8564592287354</c:v>
                </c:pt>
                <c:pt idx="95">
                  <c:v>78.8197573997265</c:v>
                </c:pt>
                <c:pt idx="96">
                  <c:v>78.7831136642644</c:v>
                </c:pt>
                <c:pt idx="97">
                  <c:v>78.7465280223492</c:v>
                </c:pt>
                <c:pt idx="98">
                  <c:v>78.7100004739809</c:v>
                </c:pt>
                <c:pt idx="99">
                  <c:v>78.6735310191593</c:v>
                </c:pt>
                <c:pt idx="100">
                  <c:v>78.6371196578846</c:v>
                </c:pt>
                <c:pt idx="101">
                  <c:v>78.6007767288388</c:v>
                </c:pt>
                <c:pt idx="102">
                  <c:v>78.564512570704</c:v>
                </c:pt>
                <c:pt idx="103">
                  <c:v>78.5283271834801</c:v>
                </c:pt>
                <c:pt idx="104">
                  <c:v>78.4922205671672</c:v>
                </c:pt>
                <c:pt idx="105">
                  <c:v>78.4561927217653</c:v>
                </c:pt>
                <c:pt idx="106">
                  <c:v>78.4202436472743</c:v>
                </c:pt>
                <c:pt idx="107">
                  <c:v>78.3843733436943</c:v>
                </c:pt>
                <c:pt idx="108">
                  <c:v>78.3485818110252</c:v>
                </c:pt>
                <c:pt idx="109">
                  <c:v>78.3128690492671</c:v>
                </c:pt>
                <c:pt idx="110">
                  <c:v>78.27723505842</c:v>
                </c:pt>
                <c:pt idx="111">
                  <c:v>78.2416798384838</c:v>
                </c:pt>
                <c:pt idx="112">
                  <c:v>78.2062033894586</c:v>
                </c:pt>
                <c:pt idx="113">
                  <c:v>78.1708057113444</c:v>
                </c:pt>
                <c:pt idx="114">
                  <c:v>78.1354868041411</c:v>
                </c:pt>
                <c:pt idx="115">
                  <c:v>78.1002466678488</c:v>
                </c:pt>
                <c:pt idx="116">
                  <c:v>78.0650853024675</c:v>
                </c:pt>
                <c:pt idx="117">
                  <c:v>78.0300027079971</c:v>
                </c:pt>
                <c:pt idx="118">
                  <c:v>77.9949988844377</c:v>
                </c:pt>
                <c:pt idx="119">
                  <c:v>77.9600738317892</c:v>
                </c:pt>
                <c:pt idx="120">
                  <c:v>77.9252275500517</c:v>
                </c:pt>
                <c:pt idx="121">
                  <c:v>77.8904600392252</c:v>
                </c:pt>
                <c:pt idx="122">
                  <c:v>77.8557712993096</c:v>
                </c:pt>
                <c:pt idx="123">
                  <c:v>77.821161330305</c:v>
                </c:pt>
                <c:pt idx="124">
                  <c:v>77.7866301322114</c:v>
                </c:pt>
                <c:pt idx="125">
                  <c:v>77.7521777050287</c:v>
                </c:pt>
                <c:pt idx="126">
                  <c:v>77.717804048757</c:v>
                </c:pt>
                <c:pt idx="127">
                  <c:v>77.6835091633962</c:v>
                </c:pt>
                <c:pt idx="128">
                  <c:v>77.6492930489465</c:v>
                </c:pt>
                <c:pt idx="129">
                  <c:v>77.6151557054076</c:v>
                </c:pt>
                <c:pt idx="130">
                  <c:v>77.5810971327798</c:v>
                </c:pt>
                <c:pt idx="131">
                  <c:v>77.5471173310629</c:v>
                </c:pt>
                <c:pt idx="132">
                  <c:v>77.513216300257</c:v>
                </c:pt>
                <c:pt idx="133">
                  <c:v>77.479394040362</c:v>
                </c:pt>
                <c:pt idx="134">
                  <c:v>77.445650551378</c:v>
                </c:pt>
                <c:pt idx="135">
                  <c:v>77.411985833305</c:v>
                </c:pt>
                <c:pt idx="136">
                  <c:v>77.3783998861429</c:v>
                </c:pt>
                <c:pt idx="137">
                  <c:v>77.3448927098918</c:v>
                </c:pt>
                <c:pt idx="138">
                  <c:v>77.3114643045516</c:v>
                </c:pt>
                <c:pt idx="139">
                  <c:v>77.2781146701224</c:v>
                </c:pt>
                <c:pt idx="140">
                  <c:v>77.2448438066042</c:v>
                </c:pt>
                <c:pt idx="141">
                  <c:v>77.211651713997</c:v>
                </c:pt>
                <c:pt idx="142">
                  <c:v>77.1785383923007</c:v>
                </c:pt>
                <c:pt idx="143">
                  <c:v>77.1455038415153</c:v>
                </c:pt>
                <c:pt idx="144">
                  <c:v>77.112548061641</c:v>
                </c:pt>
                <c:pt idx="145">
                  <c:v>77.0796710526776</c:v>
                </c:pt>
                <c:pt idx="146">
                  <c:v>77.0468728146251</c:v>
                </c:pt>
                <c:pt idx="147">
                  <c:v>77.0141533474836</c:v>
                </c:pt>
                <c:pt idx="148">
                  <c:v>76.9815126512531</c:v>
                </c:pt>
                <c:pt idx="149">
                  <c:v>76.9489507259336</c:v>
                </c:pt>
                <c:pt idx="150">
                  <c:v>76.916467571525</c:v>
                </c:pt>
                <c:pt idx="151">
                  <c:v>76.8840597418</c:v>
                </c:pt>
                <c:pt idx="152">
                  <c:v>76.8517237905313</c:v>
                </c:pt>
                <c:pt idx="153">
                  <c:v>76.8194597177188</c:v>
                </c:pt>
                <c:pt idx="154">
                  <c:v>76.7872675233626</c:v>
                </c:pt>
                <c:pt idx="155">
                  <c:v>76.7551472074627</c:v>
                </c:pt>
                <c:pt idx="156">
                  <c:v>76.723098770019</c:v>
                </c:pt>
                <c:pt idx="157">
                  <c:v>76.6911222110315</c:v>
                </c:pt>
                <c:pt idx="158">
                  <c:v>76.6592175305003</c:v>
                </c:pt>
                <c:pt idx="159">
                  <c:v>76.6273847284254</c:v>
                </c:pt>
                <c:pt idx="160">
                  <c:v>76.5956238048067</c:v>
                </c:pt>
                <c:pt idx="161">
                  <c:v>76.5639347596442</c:v>
                </c:pt>
                <c:pt idx="162">
                  <c:v>76.5323175929381</c:v>
                </c:pt>
                <c:pt idx="163">
                  <c:v>76.5007723046881</c:v>
                </c:pt>
                <c:pt idx="164">
                  <c:v>76.4692988948945</c:v>
                </c:pt>
                <c:pt idx="165">
                  <c:v>76.437897363557</c:v>
                </c:pt>
                <c:pt idx="166">
                  <c:v>76.4065677106759</c:v>
                </c:pt>
                <c:pt idx="167">
                  <c:v>76.375309936251</c:v>
                </c:pt>
                <c:pt idx="168">
                  <c:v>76.3441240402823</c:v>
                </c:pt>
                <c:pt idx="169">
                  <c:v>76.3130100227699</c:v>
                </c:pt>
                <c:pt idx="170">
                  <c:v>76.2819678837138</c:v>
                </c:pt>
                <c:pt idx="171">
                  <c:v>76.2509976231139</c:v>
                </c:pt>
                <c:pt idx="172">
                  <c:v>76.2200992409702</c:v>
                </c:pt>
                <c:pt idx="173">
                  <c:v>76.1892727372829</c:v>
                </c:pt>
                <c:pt idx="174">
                  <c:v>76.1585181120517</c:v>
                </c:pt>
                <c:pt idx="175">
                  <c:v>76.1278353652768</c:v>
                </c:pt>
                <c:pt idx="176">
                  <c:v>76.0972244969582</c:v>
                </c:pt>
                <c:pt idx="177">
                  <c:v>76.0666855070959</c:v>
                </c:pt>
                <c:pt idx="178">
                  <c:v>76.0362183956897</c:v>
                </c:pt>
                <c:pt idx="179">
                  <c:v>76.0058231627399</c:v>
                </c:pt>
                <c:pt idx="180">
                  <c:v>75.9754998082463</c:v>
                </c:pt>
                <c:pt idx="181">
                  <c:v>75.9452483322089</c:v>
                </c:pt>
                <c:pt idx="182">
                  <c:v>75.9150687346278</c:v>
                </c:pt>
                <c:pt idx="183">
                  <c:v>75.884961015503</c:v>
                </c:pt>
                <c:pt idx="184">
                  <c:v>75.8549251748344</c:v>
                </c:pt>
                <c:pt idx="185">
                  <c:v>75.8249612126221</c:v>
                </c:pt>
                <c:pt idx="186">
                  <c:v>75.795069128866</c:v>
                </c:pt>
                <c:pt idx="187">
                  <c:v>75.7652489235662</c:v>
                </c:pt>
                <c:pt idx="188">
                  <c:v>75.7355005967226</c:v>
                </c:pt>
                <c:pt idx="189">
                  <c:v>75.7058241483353</c:v>
                </c:pt>
                <c:pt idx="190">
                  <c:v>75.6762195784042</c:v>
                </c:pt>
                <c:pt idx="191">
                  <c:v>75.6466868869294</c:v>
                </c:pt>
                <c:pt idx="192">
                  <c:v>75.6172260739109</c:v>
                </c:pt>
                <c:pt idx="193">
                  <c:v>75.5878371393486</c:v>
                </c:pt>
                <c:pt idx="194">
                  <c:v>75.5585200832425</c:v>
                </c:pt>
                <c:pt idx="195">
                  <c:v>75.5292749055927</c:v>
                </c:pt>
                <c:pt idx="196">
                  <c:v>75.5001016063992</c:v>
                </c:pt>
                <c:pt idx="197">
                  <c:v>75.4710001856619</c:v>
                </c:pt>
                <c:pt idx="198">
                  <c:v>75.4419706433809</c:v>
                </c:pt>
                <c:pt idx="199">
                  <c:v>75.4130129795561</c:v>
                </c:pt>
                <c:pt idx="200">
                  <c:v>75.3841271941876</c:v>
                </c:pt>
                <c:pt idx="201">
                  <c:v>75.3553132872753</c:v>
                </c:pt>
                <c:pt idx="202">
                  <c:v>75.3265712588193</c:v>
                </c:pt>
                <c:pt idx="203">
                  <c:v>75.2979011088195</c:v>
                </c:pt>
                <c:pt idx="204">
                  <c:v>75.2693028372761</c:v>
                </c:pt>
                <c:pt idx="205">
                  <c:v>75.2407764441888</c:v>
                </c:pt>
                <c:pt idx="206">
                  <c:v>75.2123219295578</c:v>
                </c:pt>
                <c:pt idx="207">
                  <c:v>75.1839392933831</c:v>
                </c:pt>
                <c:pt idx="208">
                  <c:v>75.1556285356646</c:v>
                </c:pt>
                <c:pt idx="209">
                  <c:v>75.1273896564023</c:v>
                </c:pt>
                <c:pt idx="210">
                  <c:v>75.0992226555964</c:v>
                </c:pt>
                <c:pt idx="211">
                  <c:v>75.0711275332467</c:v>
                </c:pt>
                <c:pt idx="212">
                  <c:v>75.0431042893532</c:v>
                </c:pt>
                <c:pt idx="213">
                  <c:v>75.015152923916</c:v>
                </c:pt>
                <c:pt idx="214">
                  <c:v>74.987273436935</c:v>
                </c:pt>
                <c:pt idx="215">
                  <c:v>74.9594658284103</c:v>
                </c:pt>
                <c:pt idx="216">
                  <c:v>74.9317300983418</c:v>
                </c:pt>
                <c:pt idx="217">
                  <c:v>74.9040662467296</c:v>
                </c:pt>
                <c:pt idx="218">
                  <c:v>74.8764742735737</c:v>
                </c:pt>
                <c:pt idx="219">
                  <c:v>74.848954178874</c:v>
                </c:pt>
                <c:pt idx="220">
                  <c:v>74.8215059626306</c:v>
                </c:pt>
                <c:pt idx="221">
                  <c:v>74.7941296248434</c:v>
                </c:pt>
                <c:pt idx="222">
                  <c:v>74.7668251655125</c:v>
                </c:pt>
                <c:pt idx="223">
                  <c:v>74.7395925846378</c:v>
                </c:pt>
                <c:pt idx="224">
                  <c:v>74.7124318822194</c:v>
                </c:pt>
                <c:pt idx="225">
                  <c:v>74.6853430582572</c:v>
                </c:pt>
                <c:pt idx="226">
                  <c:v>74.6583261127513</c:v>
                </c:pt>
                <c:pt idx="227">
                  <c:v>74.6313810457016</c:v>
                </c:pt>
                <c:pt idx="228">
                  <c:v>74.6045078571082</c:v>
                </c:pt>
                <c:pt idx="229">
                  <c:v>74.5777065469711</c:v>
                </c:pt>
                <c:pt idx="230">
                  <c:v>74.5509771152902</c:v>
                </c:pt>
                <c:pt idx="231">
                  <c:v>74.5243195620656</c:v>
                </c:pt>
                <c:pt idx="232">
                  <c:v>74.4977338872972</c:v>
                </c:pt>
                <c:pt idx="233">
                  <c:v>74.471220090985</c:v>
                </c:pt>
                <c:pt idx="234">
                  <c:v>74.4447781731292</c:v>
                </c:pt>
                <c:pt idx="235">
                  <c:v>74.4184081337295</c:v>
                </c:pt>
                <c:pt idx="236">
                  <c:v>74.3921099727862</c:v>
                </c:pt>
                <c:pt idx="237">
                  <c:v>74.3658836902991</c:v>
                </c:pt>
                <c:pt idx="238">
                  <c:v>74.3397292862682</c:v>
                </c:pt>
                <c:pt idx="239">
                  <c:v>74.3136467606936</c:v>
                </c:pt>
                <c:pt idx="240">
                  <c:v>74.2876361135753</c:v>
                </c:pt>
                <c:pt idx="241">
                  <c:v>74.2616973449132</c:v>
                </c:pt>
                <c:pt idx="242">
                  <c:v>74.2358304547073</c:v>
                </c:pt>
                <c:pt idx="243">
                  <c:v>74.2100354429577</c:v>
                </c:pt>
                <c:pt idx="244">
                  <c:v>74.1843123096644</c:v>
                </c:pt>
                <c:pt idx="245">
                  <c:v>74.1586610548273</c:v>
                </c:pt>
                <c:pt idx="246">
                  <c:v>74.1330816784465</c:v>
                </c:pt>
                <c:pt idx="247">
                  <c:v>74.1075741805219</c:v>
                </c:pt>
                <c:pt idx="248">
                  <c:v>74.0821385610536</c:v>
                </c:pt>
                <c:pt idx="249">
                  <c:v>74.0567748200415</c:v>
                </c:pt>
                <c:pt idx="250">
                  <c:v>74.0314829574857</c:v>
                </c:pt>
                <c:pt idx="251">
                  <c:v>74.0062773134629</c:v>
                </c:pt>
                <c:pt idx="252">
                  <c:v>73.9811722280498</c:v>
                </c:pt>
                <c:pt idx="253">
                  <c:v>73.9561677012465</c:v>
                </c:pt>
                <c:pt idx="254">
                  <c:v>73.9312637330529</c:v>
                </c:pt>
                <c:pt idx="255">
                  <c:v>73.9064603234691</c:v>
                </c:pt>
                <c:pt idx="256">
                  <c:v>73.881757472495</c:v>
                </c:pt>
                <c:pt idx="257">
                  <c:v>73.8571551801306</c:v>
                </c:pt>
                <c:pt idx="258">
                  <c:v>73.832653446376</c:v>
                </c:pt>
                <c:pt idx="259">
                  <c:v>73.8082522712311</c:v>
                </c:pt>
                <c:pt idx="260">
                  <c:v>73.783951654696</c:v>
                </c:pt>
                <c:pt idx="261">
                  <c:v>73.7597515967705</c:v>
                </c:pt>
                <c:pt idx="262">
                  <c:v>73.7356520974549</c:v>
                </c:pt>
                <c:pt idx="263">
                  <c:v>73.711653156749</c:v>
                </c:pt>
                <c:pt idx="264">
                  <c:v>73.6877547746528</c:v>
                </c:pt>
                <c:pt idx="265">
                  <c:v>73.6639569511663</c:v>
                </c:pt>
                <c:pt idx="266">
                  <c:v>73.6402596862896</c:v>
                </c:pt>
                <c:pt idx="267">
                  <c:v>73.6166629800227</c:v>
                </c:pt>
                <c:pt idx="268">
                  <c:v>73.5931668323654</c:v>
                </c:pt>
                <c:pt idx="269">
                  <c:v>73.569771243318</c:v>
                </c:pt>
                <c:pt idx="270">
                  <c:v>73.5464762128802</c:v>
                </c:pt>
                <c:pt idx="271">
                  <c:v>73.5232817410522</c:v>
                </c:pt>
                <c:pt idx="272">
                  <c:v>73.500187827834</c:v>
                </c:pt>
                <c:pt idx="273">
                  <c:v>73.4771944732255</c:v>
                </c:pt>
                <c:pt idx="274">
                  <c:v>73.4543016772267</c:v>
                </c:pt>
                <c:pt idx="275">
                  <c:v>73.4315094398377</c:v>
                </c:pt>
                <c:pt idx="276">
                  <c:v>73.4088177610584</c:v>
                </c:pt>
                <c:pt idx="277">
                  <c:v>73.3862266408888</c:v>
                </c:pt>
                <c:pt idx="278">
                  <c:v>73.363736079329</c:v>
                </c:pt>
                <c:pt idx="279">
                  <c:v>73.3413460763789</c:v>
                </c:pt>
                <c:pt idx="280">
                  <c:v>73.3190566320386</c:v>
                </c:pt>
                <c:pt idx="281">
                  <c:v>73.296867746308</c:v>
                </c:pt>
                <c:pt idx="282">
                  <c:v>73.2747794191871</c:v>
                </c:pt>
                <c:pt idx="283">
                  <c:v>73.252791650676</c:v>
                </c:pt>
                <c:pt idx="284">
                  <c:v>73.2309044407747</c:v>
                </c:pt>
                <c:pt idx="285">
                  <c:v>73.209117789483</c:v>
                </c:pt>
                <c:pt idx="286">
                  <c:v>73.1874316968011</c:v>
                </c:pt>
                <c:pt idx="287">
                  <c:v>73.165846162729</c:v>
                </c:pt>
                <c:pt idx="288">
                  <c:v>73.1443611872666</c:v>
                </c:pt>
                <c:pt idx="289">
                  <c:v>73.1229767704139</c:v>
                </c:pt>
                <c:pt idx="290">
                  <c:v>73.101692912171</c:v>
                </c:pt>
                <c:pt idx="291">
                  <c:v>73.0805096125378</c:v>
                </c:pt>
                <c:pt idx="292">
                  <c:v>73.0594268715144</c:v>
                </c:pt>
                <c:pt idx="293">
                  <c:v>73.0384446891007</c:v>
                </c:pt>
                <c:pt idx="294">
                  <c:v>73.0175630652967</c:v>
                </c:pt>
                <c:pt idx="295">
                  <c:v>72.9967820001025</c:v>
                </c:pt>
                <c:pt idx="296">
                  <c:v>72.976101493518</c:v>
                </c:pt>
                <c:pt idx="297">
                  <c:v>72.9555215455433</c:v>
                </c:pt>
                <c:pt idx="298">
                  <c:v>72.9351973662063</c:v>
                </c:pt>
                <c:pt idx="299">
                  <c:v>72.9152841655353</c:v>
                </c:pt>
                <c:pt idx="300">
                  <c:v>72.8957819435302</c:v>
                </c:pt>
                <c:pt idx="301">
                  <c:v>72.876690700191</c:v>
                </c:pt>
                <c:pt idx="302">
                  <c:v>72.8580104355176</c:v>
                </c:pt>
                <c:pt idx="303">
                  <c:v>72.8397411495102</c:v>
                </c:pt>
                <c:pt idx="304">
                  <c:v>72.8218828421686</c:v>
                </c:pt>
                <c:pt idx="305">
                  <c:v>72.804435513493</c:v>
                </c:pt>
                <c:pt idx="306">
                  <c:v>72.7873991634832</c:v>
                </c:pt>
                <c:pt idx="307">
                  <c:v>72.7707737921394</c:v>
                </c:pt>
                <c:pt idx="308">
                  <c:v>72.7545593994614</c:v>
                </c:pt>
                <c:pt idx="309">
                  <c:v>72.7387559854494</c:v>
                </c:pt>
                <c:pt idx="310">
                  <c:v>72.7233635501032</c:v>
                </c:pt>
                <c:pt idx="311">
                  <c:v>72.7083820934229</c:v>
                </c:pt>
                <c:pt idx="312">
                  <c:v>72.6938116154086</c:v>
                </c:pt>
                <c:pt idx="313">
                  <c:v>72.6796521160601</c:v>
                </c:pt>
                <c:pt idx="314">
                  <c:v>72.6659035953775</c:v>
                </c:pt>
                <c:pt idx="315">
                  <c:v>72.6525660533608</c:v>
                </c:pt>
                <c:pt idx="316">
                  <c:v>72.6396394900101</c:v>
                </c:pt>
                <c:pt idx="317">
                  <c:v>72.6271239053252</c:v>
                </c:pt>
                <c:pt idx="318">
                  <c:v>72.6150192993062</c:v>
                </c:pt>
                <c:pt idx="319">
                  <c:v>72.6033256719531</c:v>
                </c:pt>
                <c:pt idx="320">
                  <c:v>72.5920430232659</c:v>
                </c:pt>
                <c:pt idx="321">
                  <c:v>72.5811099125683</c:v>
                </c:pt>
                <c:pt idx="322">
                  <c:v>72.5704648991839</c:v>
                </c:pt>
                <c:pt idx="323">
                  <c:v>72.5601079831128</c:v>
                </c:pt>
                <c:pt idx="324">
                  <c:v>72.5500391643549</c:v>
                </c:pt>
                <c:pt idx="325">
                  <c:v>72.5402584429102</c:v>
                </c:pt>
                <c:pt idx="326">
                  <c:v>72.5307658187789</c:v>
                </c:pt>
                <c:pt idx="327">
                  <c:v>72.5215612919607</c:v>
                </c:pt>
                <c:pt idx="328">
                  <c:v>72.5126448624558</c:v>
                </c:pt>
                <c:pt idx="329">
                  <c:v>72.5040165302642</c:v>
                </c:pt>
                <c:pt idx="330">
                  <c:v>72.4956762953857</c:v>
                </c:pt>
                <c:pt idx="331">
                  <c:v>72.4876241578206</c:v>
                </c:pt>
                <c:pt idx="332">
                  <c:v>72.4798601175687</c:v>
                </c:pt>
                <c:pt idx="333">
                  <c:v>72.47238417463</c:v>
                </c:pt>
                <c:pt idx="334">
                  <c:v>72.4651963290046</c:v>
                </c:pt>
                <c:pt idx="335">
                  <c:v>72.4582965806924</c:v>
                </c:pt>
                <c:pt idx="336">
                  <c:v>72.4516849296935</c:v>
                </c:pt>
                <c:pt idx="337">
                  <c:v>72.4453613760078</c:v>
                </c:pt>
                <c:pt idx="338">
                  <c:v>72.4393259196354</c:v>
                </c:pt>
                <c:pt idx="339">
                  <c:v>72.4335785605762</c:v>
                </c:pt>
                <c:pt idx="340">
                  <c:v>72.4281192988302</c:v>
                </c:pt>
                <c:pt idx="341">
                  <c:v>72.4229481343975</c:v>
                </c:pt>
                <c:pt idx="342">
                  <c:v>72.4180650672781</c:v>
                </c:pt>
                <c:pt idx="343">
                  <c:v>72.4134700974718</c:v>
                </c:pt>
                <c:pt idx="344">
                  <c:v>72.4091632249789</c:v>
                </c:pt>
                <c:pt idx="345">
                  <c:v>72.4051444497992</c:v>
                </c:pt>
                <c:pt idx="346">
                  <c:v>72.4014137719327</c:v>
                </c:pt>
                <c:pt idx="347">
                  <c:v>72.3979711913795</c:v>
                </c:pt>
                <c:pt idx="348">
                  <c:v>72.3948100983119</c:v>
                </c:pt>
                <c:pt idx="349">
                  <c:v>72.3919238829024</c:v>
                </c:pt>
                <c:pt idx="350">
                  <c:v>72.3893125451509</c:v>
                </c:pt>
                <c:pt idx="351">
                  <c:v>72.3869760850575</c:v>
                </c:pt>
                <c:pt idx="352">
                  <c:v>72.3849145026221</c:v>
                </c:pt>
                <c:pt idx="353">
                  <c:v>72.3831277978448</c:v>
                </c:pt>
                <c:pt idx="354">
                  <c:v>72.3816159707255</c:v>
                </c:pt>
                <c:pt idx="355">
                  <c:v>72.3803790212643</c:v>
                </c:pt>
                <c:pt idx="356">
                  <c:v>72.3794169494611</c:v>
                </c:pt>
                <c:pt idx="357">
                  <c:v>72.378729755316</c:v>
                </c:pt>
                <c:pt idx="358">
                  <c:v>72.3783174388289</c:v>
                </c:pt>
                <c:pt idx="359">
                  <c:v>72.3781799999998</c:v>
                </c:pt>
                <c:pt idx="360">
                  <c:v>72.3781799999998</c:v>
                </c:pt>
                <c:pt idx="361">
                  <c:v>72.3781799999998</c:v>
                </c:pt>
                <c:pt idx="362">
                  <c:v>72.3781799999998</c:v>
                </c:pt>
                <c:pt idx="363">
                  <c:v>72.3781799999998</c:v>
                </c:pt>
                <c:pt idx="364">
                  <c:v>72.3781799999998</c:v>
                </c:pt>
                <c:pt idx="365">
                  <c:v>72.3781799999998</c:v>
                </c:pt>
                <c:pt idx="366">
                  <c:v>72.3781799999998</c:v>
                </c:pt>
                <c:pt idx="367">
                  <c:v>72.3781799999998</c:v>
                </c:pt>
                <c:pt idx="368">
                  <c:v>72.3781799999998</c:v>
                </c:pt>
                <c:pt idx="369">
                  <c:v>72.3781799999998</c:v>
                </c:pt>
                <c:pt idx="370">
                  <c:v>72.3781799999998</c:v>
                </c:pt>
                <c:pt idx="371">
                  <c:v>72.3781799999998</c:v>
                </c:pt>
                <c:pt idx="372">
                  <c:v>72.3781799999998</c:v>
                </c:pt>
                <c:pt idx="373">
                  <c:v>72.3781799999998</c:v>
                </c:pt>
                <c:pt idx="374">
                  <c:v>72.3781799999998</c:v>
                </c:pt>
                <c:pt idx="375">
                  <c:v>72.3781799999998</c:v>
                </c:pt>
                <c:pt idx="376">
                  <c:v>72.3781799999998</c:v>
                </c:pt>
                <c:pt idx="377">
                  <c:v>72.3781799999998</c:v>
                </c:pt>
                <c:pt idx="378">
                  <c:v>72.3781799999998</c:v>
                </c:pt>
                <c:pt idx="379">
                  <c:v>72.3781799999998</c:v>
                </c:pt>
                <c:pt idx="380">
                  <c:v>72.3781799999998</c:v>
                </c:pt>
                <c:pt idx="381">
                  <c:v>72.3781799999998</c:v>
                </c:pt>
                <c:pt idx="382">
                  <c:v>72.3781799999998</c:v>
                </c:pt>
                <c:pt idx="383">
                  <c:v>72.3781799999998</c:v>
                </c:pt>
                <c:pt idx="384">
                  <c:v>72.3781799999998</c:v>
                </c:pt>
                <c:pt idx="385">
                  <c:v>72.3781799999998</c:v>
                </c:pt>
                <c:pt idx="386">
                  <c:v>72.3781799999998</c:v>
                </c:pt>
                <c:pt idx="387">
                  <c:v>72.3781799999998</c:v>
                </c:pt>
                <c:pt idx="388">
                  <c:v>72.3781799999998</c:v>
                </c:pt>
                <c:pt idx="389">
                  <c:v>72.3781799999998</c:v>
                </c:pt>
                <c:pt idx="390">
                  <c:v>72.3781799999998</c:v>
                </c:pt>
                <c:pt idx="391">
                  <c:v>72.3781799999998</c:v>
                </c:pt>
                <c:pt idx="392">
                  <c:v>72.3781799999998</c:v>
                </c:pt>
                <c:pt idx="393">
                  <c:v>72.3781799999998</c:v>
                </c:pt>
                <c:pt idx="394">
                  <c:v>72.3781799999998</c:v>
                </c:pt>
                <c:pt idx="395">
                  <c:v>72.3781799999998</c:v>
                </c:pt>
                <c:pt idx="396">
                  <c:v>72.3781799999998</c:v>
                </c:pt>
                <c:pt idx="397">
                  <c:v>72.3781799999998</c:v>
                </c:pt>
                <c:pt idx="398">
                  <c:v>72.3781799999998</c:v>
                </c:pt>
                <c:pt idx="399">
                  <c:v>72.3781799999998</c:v>
                </c:pt>
                <c:pt idx="400">
                  <c:v>72.3781799999998</c:v>
                </c:pt>
                <c:pt idx="401">
                  <c:v>72.3781799999998</c:v>
                </c:pt>
                <c:pt idx="402">
                  <c:v>72.3781799999998</c:v>
                </c:pt>
                <c:pt idx="403">
                  <c:v>72.3781799999998</c:v>
                </c:pt>
                <c:pt idx="404">
                  <c:v>72.3781799999998</c:v>
                </c:pt>
                <c:pt idx="405">
                  <c:v>72.3781799999998</c:v>
                </c:pt>
                <c:pt idx="406">
                  <c:v>72.3781799999998</c:v>
                </c:pt>
                <c:pt idx="407">
                  <c:v>72.3781799999998</c:v>
                </c:pt>
                <c:pt idx="408">
                  <c:v>72.3781799999998</c:v>
                </c:pt>
                <c:pt idx="409">
                  <c:v>72.3781799999998</c:v>
                </c:pt>
                <c:pt idx="410">
                  <c:v>72.3781799999998</c:v>
                </c:pt>
                <c:pt idx="411">
                  <c:v>72.3781799999998</c:v>
                </c:pt>
                <c:pt idx="412">
                  <c:v>72.3781799999998</c:v>
                </c:pt>
                <c:pt idx="413">
                  <c:v>72.3781799999998</c:v>
                </c:pt>
                <c:pt idx="414">
                  <c:v>72.3781799999998</c:v>
                </c:pt>
                <c:pt idx="415">
                  <c:v>72.3781799999998</c:v>
                </c:pt>
                <c:pt idx="416">
                  <c:v>72.3781799999998</c:v>
                </c:pt>
                <c:pt idx="417">
                  <c:v>72.3781799999998</c:v>
                </c:pt>
                <c:pt idx="418">
                  <c:v>72.3781799999998</c:v>
                </c:pt>
                <c:pt idx="419">
                  <c:v>72.3781799999998</c:v>
                </c:pt>
                <c:pt idx="420">
                  <c:v>72.3781799999998</c:v>
                </c:pt>
                <c:pt idx="421">
                  <c:v>72.3781799999998</c:v>
                </c:pt>
                <c:pt idx="422">
                  <c:v>72.3781799999998</c:v>
                </c:pt>
                <c:pt idx="423">
                  <c:v>72.3781799999998</c:v>
                </c:pt>
                <c:pt idx="424">
                  <c:v>72.3781799999998</c:v>
                </c:pt>
                <c:pt idx="425">
                  <c:v>72.3781799999998</c:v>
                </c:pt>
                <c:pt idx="426">
                  <c:v>72.3781799999998</c:v>
                </c:pt>
                <c:pt idx="427">
                  <c:v>72.3781799999998</c:v>
                </c:pt>
                <c:pt idx="428">
                  <c:v>72.3781799999998</c:v>
                </c:pt>
                <c:pt idx="429">
                  <c:v>72.3781799999998</c:v>
                </c:pt>
                <c:pt idx="430">
                  <c:v>72.3781799999998</c:v>
                </c:pt>
                <c:pt idx="431">
                  <c:v>72.3781799999998</c:v>
                </c:pt>
                <c:pt idx="432">
                  <c:v>72.3781799999998</c:v>
                </c:pt>
                <c:pt idx="433">
                  <c:v>72.3781799999998</c:v>
                </c:pt>
                <c:pt idx="434">
                  <c:v>72.3781799999998</c:v>
                </c:pt>
                <c:pt idx="435">
                  <c:v>72.3781799999998</c:v>
                </c:pt>
                <c:pt idx="436">
                  <c:v>72.3781799999998</c:v>
                </c:pt>
                <c:pt idx="437">
                  <c:v>72.3781799999998</c:v>
                </c:pt>
                <c:pt idx="438">
                  <c:v>72.3781799999998</c:v>
                </c:pt>
                <c:pt idx="439">
                  <c:v>72.3781799999998</c:v>
                </c:pt>
                <c:pt idx="440">
                  <c:v>72.3781799999998</c:v>
                </c:pt>
                <c:pt idx="441">
                  <c:v>72.3781799999998</c:v>
                </c:pt>
                <c:pt idx="442">
                  <c:v>72.3781799999998</c:v>
                </c:pt>
                <c:pt idx="443">
                  <c:v>72.3781799999998</c:v>
                </c:pt>
                <c:pt idx="444">
                  <c:v>72.3781799999998</c:v>
                </c:pt>
                <c:pt idx="445">
                  <c:v>72.3781799999998</c:v>
                </c:pt>
                <c:pt idx="446">
                  <c:v>72.3781799999998</c:v>
                </c:pt>
                <c:pt idx="447">
                  <c:v>72.3781799999998</c:v>
                </c:pt>
                <c:pt idx="448">
                  <c:v>72.3781799999998</c:v>
                </c:pt>
                <c:pt idx="449">
                  <c:v>72.3781799999998</c:v>
                </c:pt>
                <c:pt idx="450">
                  <c:v>72.3781799999998</c:v>
                </c:pt>
                <c:pt idx="451">
                  <c:v>72.3781799999998</c:v>
                </c:pt>
                <c:pt idx="452">
                  <c:v>72.3781799999998</c:v>
                </c:pt>
                <c:pt idx="453">
                  <c:v>72.3781799999998</c:v>
                </c:pt>
                <c:pt idx="454">
                  <c:v>72.3781799999998</c:v>
                </c:pt>
                <c:pt idx="455">
                  <c:v>72.3781799999998</c:v>
                </c:pt>
                <c:pt idx="456">
                  <c:v>72.3781799999998</c:v>
                </c:pt>
                <c:pt idx="457">
                  <c:v>72.3781799999998</c:v>
                </c:pt>
                <c:pt idx="458">
                  <c:v>72.3781799999998</c:v>
                </c:pt>
                <c:pt idx="459">
                  <c:v>72.3781799999998</c:v>
                </c:pt>
                <c:pt idx="460">
                  <c:v>72.3781799999998</c:v>
                </c:pt>
                <c:pt idx="461">
                  <c:v>72.3781799999998</c:v>
                </c:pt>
                <c:pt idx="462">
                  <c:v>72.3781799999998</c:v>
                </c:pt>
                <c:pt idx="463">
                  <c:v>72.3781799999998</c:v>
                </c:pt>
                <c:pt idx="464">
                  <c:v>72.3781799999998</c:v>
                </c:pt>
                <c:pt idx="465">
                  <c:v>72.3781799999998</c:v>
                </c:pt>
                <c:pt idx="466">
                  <c:v>72.3781799999998</c:v>
                </c:pt>
                <c:pt idx="467">
                  <c:v>72.3781799999998</c:v>
                </c:pt>
                <c:pt idx="468">
                  <c:v>72.3781799999998</c:v>
                </c:pt>
                <c:pt idx="469">
                  <c:v>72.3781799999998</c:v>
                </c:pt>
                <c:pt idx="470">
                  <c:v>72.3781799999998</c:v>
                </c:pt>
                <c:pt idx="471">
                  <c:v>72.3781799999998</c:v>
                </c:pt>
                <c:pt idx="472">
                  <c:v>72.3781799999998</c:v>
                </c:pt>
                <c:pt idx="473">
                  <c:v>72.3781799999998</c:v>
                </c:pt>
                <c:pt idx="474">
                  <c:v>72.3781799999998</c:v>
                </c:pt>
                <c:pt idx="475">
                  <c:v>72.3781799999998</c:v>
                </c:pt>
                <c:pt idx="476">
                  <c:v>72.3781799999998</c:v>
                </c:pt>
                <c:pt idx="477">
                  <c:v>72.3781799999998</c:v>
                </c:pt>
                <c:pt idx="478">
                  <c:v>72.3781799999998</c:v>
                </c:pt>
                <c:pt idx="479">
                  <c:v>72.3781799999998</c:v>
                </c:pt>
                <c:pt idx="480">
                  <c:v>72.3781799999998</c:v>
                </c:pt>
                <c:pt idx="481">
                  <c:v>72.3781799999998</c:v>
                </c:pt>
                <c:pt idx="482">
                  <c:v>72.3781799999998</c:v>
                </c:pt>
                <c:pt idx="483">
                  <c:v>72.3781799999998</c:v>
                </c:pt>
                <c:pt idx="484">
                  <c:v>72.3781799999998</c:v>
                </c:pt>
                <c:pt idx="485">
                  <c:v>72.3781799999998</c:v>
                </c:pt>
                <c:pt idx="486">
                  <c:v>72.3781799999998</c:v>
                </c:pt>
                <c:pt idx="487">
                  <c:v>72.3781799999998</c:v>
                </c:pt>
                <c:pt idx="488">
                  <c:v>72.3781799999998</c:v>
                </c:pt>
                <c:pt idx="489">
                  <c:v>72.3781799999998</c:v>
                </c:pt>
                <c:pt idx="490">
                  <c:v>72.3781799999998</c:v>
                </c:pt>
                <c:pt idx="491">
                  <c:v>72.3781799999998</c:v>
                </c:pt>
                <c:pt idx="492">
                  <c:v>72.3781799999998</c:v>
                </c:pt>
                <c:pt idx="493">
                  <c:v>72.3781799999998</c:v>
                </c:pt>
                <c:pt idx="494">
                  <c:v>72.3781799999998</c:v>
                </c:pt>
                <c:pt idx="495">
                  <c:v>72.3781799999998</c:v>
                </c:pt>
                <c:pt idx="496">
                  <c:v>72.3781799999998</c:v>
                </c:pt>
                <c:pt idx="497">
                  <c:v>72.3781799999998</c:v>
                </c:pt>
                <c:pt idx="498">
                  <c:v>72.3781799999998</c:v>
                </c:pt>
                <c:pt idx="499">
                  <c:v>72.3781799999998</c:v>
                </c:pt>
                <c:pt idx="500">
                  <c:v>72.3781799999998</c:v>
                </c:pt>
                <c:pt idx="501">
                  <c:v>72.3781799999998</c:v>
                </c:pt>
                <c:pt idx="502">
                  <c:v>72.3781799999998</c:v>
                </c:pt>
                <c:pt idx="503">
                  <c:v>72.3781799999998</c:v>
                </c:pt>
                <c:pt idx="504">
                  <c:v>72.3781799999998</c:v>
                </c:pt>
                <c:pt idx="505">
                  <c:v>72.3781799999998</c:v>
                </c:pt>
                <c:pt idx="506">
                  <c:v>72.3781799999998</c:v>
                </c:pt>
                <c:pt idx="507">
                  <c:v>72.3781799999998</c:v>
                </c:pt>
                <c:pt idx="508">
                  <c:v>72.3781799999998</c:v>
                </c:pt>
                <c:pt idx="509">
                  <c:v>72.3781799999998</c:v>
                </c:pt>
                <c:pt idx="510">
                  <c:v>72.3781799999998</c:v>
                </c:pt>
                <c:pt idx="511">
                  <c:v>72.3781799999998</c:v>
                </c:pt>
                <c:pt idx="512">
                  <c:v>72.3781799999998</c:v>
                </c:pt>
                <c:pt idx="513">
                  <c:v>72.3781799999998</c:v>
                </c:pt>
                <c:pt idx="514">
                  <c:v>72.3781799999998</c:v>
                </c:pt>
                <c:pt idx="515">
                  <c:v>72.3781799999998</c:v>
                </c:pt>
                <c:pt idx="516">
                  <c:v>72.3781799999998</c:v>
                </c:pt>
                <c:pt idx="517">
                  <c:v>72.3781799999998</c:v>
                </c:pt>
                <c:pt idx="518">
                  <c:v>72.3781799999998</c:v>
                </c:pt>
                <c:pt idx="519">
                  <c:v>72.3781799999998</c:v>
                </c:pt>
                <c:pt idx="520">
                  <c:v>72.3781799999998</c:v>
                </c:pt>
                <c:pt idx="521">
                  <c:v>72.3781799999998</c:v>
                </c:pt>
                <c:pt idx="522">
                  <c:v>72.3781799999998</c:v>
                </c:pt>
                <c:pt idx="523">
                  <c:v>72.3781799999998</c:v>
                </c:pt>
                <c:pt idx="524">
                  <c:v>72.3781799999998</c:v>
                </c:pt>
                <c:pt idx="525">
                  <c:v>72.3781799999998</c:v>
                </c:pt>
                <c:pt idx="526">
                  <c:v>72.3781799999998</c:v>
                </c:pt>
                <c:pt idx="527">
                  <c:v>72.3781799999998</c:v>
                </c:pt>
                <c:pt idx="528">
                  <c:v>72.3781799999998</c:v>
                </c:pt>
                <c:pt idx="529">
                  <c:v>72.3781799999998</c:v>
                </c:pt>
                <c:pt idx="530">
                  <c:v>72.3781799999998</c:v>
                </c:pt>
                <c:pt idx="531">
                  <c:v>72.3781799999998</c:v>
                </c:pt>
                <c:pt idx="532">
                  <c:v>72.3781799999998</c:v>
                </c:pt>
                <c:pt idx="533">
                  <c:v>72.3781799999998</c:v>
                </c:pt>
                <c:pt idx="534">
                  <c:v>72.3781799999998</c:v>
                </c:pt>
                <c:pt idx="535">
                  <c:v>72.3781799999998</c:v>
                </c:pt>
                <c:pt idx="536">
                  <c:v>72.3781799999998</c:v>
                </c:pt>
                <c:pt idx="537">
                  <c:v>72.3781799999998</c:v>
                </c:pt>
                <c:pt idx="538">
                  <c:v>72.3781799999998</c:v>
                </c:pt>
                <c:pt idx="539">
                  <c:v>72.3781799999998</c:v>
                </c:pt>
                <c:pt idx="540">
                  <c:v>72.3781799999998</c:v>
                </c:pt>
                <c:pt idx="541">
                  <c:v>72.3781799999998</c:v>
                </c:pt>
                <c:pt idx="542">
                  <c:v>72.3781799999998</c:v>
                </c:pt>
                <c:pt idx="543">
                  <c:v>72.3781799999998</c:v>
                </c:pt>
                <c:pt idx="544">
                  <c:v>72.3781799999998</c:v>
                </c:pt>
                <c:pt idx="545">
                  <c:v>72.3781799999998</c:v>
                </c:pt>
                <c:pt idx="546">
                  <c:v>72.3781799999998</c:v>
                </c:pt>
                <c:pt idx="547">
                  <c:v>72.3781799999998</c:v>
                </c:pt>
                <c:pt idx="548">
                  <c:v>72.3781799999998</c:v>
                </c:pt>
                <c:pt idx="549">
                  <c:v>72.3781799999998</c:v>
                </c:pt>
                <c:pt idx="550">
                  <c:v>72.3781799999998</c:v>
                </c:pt>
                <c:pt idx="551">
                  <c:v>72.3781799999998</c:v>
                </c:pt>
                <c:pt idx="552">
                  <c:v>72.3781799999998</c:v>
                </c:pt>
                <c:pt idx="553">
                  <c:v>72.3781799999998</c:v>
                </c:pt>
                <c:pt idx="554">
                  <c:v>72.3781799999998</c:v>
                </c:pt>
                <c:pt idx="555">
                  <c:v>72.3781799999998</c:v>
                </c:pt>
                <c:pt idx="556">
                  <c:v>72.3781799999998</c:v>
                </c:pt>
                <c:pt idx="557">
                  <c:v>72.3781799999998</c:v>
                </c:pt>
                <c:pt idx="558">
                  <c:v>72.3781799999998</c:v>
                </c:pt>
                <c:pt idx="559">
                  <c:v>72.3781799999998</c:v>
                </c:pt>
                <c:pt idx="560">
                  <c:v>72.3781799999998</c:v>
                </c:pt>
                <c:pt idx="561">
                  <c:v>72.3781799999998</c:v>
                </c:pt>
                <c:pt idx="562">
                  <c:v>72.3781799999998</c:v>
                </c:pt>
                <c:pt idx="563">
                  <c:v>72.3781799999998</c:v>
                </c:pt>
                <c:pt idx="564">
                  <c:v>72.3781799999998</c:v>
                </c:pt>
                <c:pt idx="565">
                  <c:v>72.3781799999998</c:v>
                </c:pt>
                <c:pt idx="566">
                  <c:v>72.3781799999998</c:v>
                </c:pt>
                <c:pt idx="567">
                  <c:v>72.3781799999998</c:v>
                </c:pt>
                <c:pt idx="568">
                  <c:v>72.3781799999998</c:v>
                </c:pt>
                <c:pt idx="569">
                  <c:v>72.3781799999998</c:v>
                </c:pt>
                <c:pt idx="570">
                  <c:v>72.3781799999998</c:v>
                </c:pt>
                <c:pt idx="571">
                  <c:v>72.3781799999998</c:v>
                </c:pt>
                <c:pt idx="572">
                  <c:v>72.3781799999998</c:v>
                </c:pt>
                <c:pt idx="573">
                  <c:v>72.3781799999998</c:v>
                </c:pt>
                <c:pt idx="574">
                  <c:v>72.3781799999998</c:v>
                </c:pt>
                <c:pt idx="575">
                  <c:v>72.3781799999998</c:v>
                </c:pt>
                <c:pt idx="576">
                  <c:v>72.3781799999998</c:v>
                </c:pt>
                <c:pt idx="577">
                  <c:v>72.3781799999998</c:v>
                </c:pt>
                <c:pt idx="578">
                  <c:v>72.3781799999998</c:v>
                </c:pt>
                <c:pt idx="579">
                  <c:v>72.3781799999998</c:v>
                </c:pt>
                <c:pt idx="580">
                  <c:v>72.3781799999998</c:v>
                </c:pt>
                <c:pt idx="581">
                  <c:v>72.3781799999998</c:v>
                </c:pt>
                <c:pt idx="582">
                  <c:v>72.3781799999998</c:v>
                </c:pt>
                <c:pt idx="583">
                  <c:v>72.3781799999998</c:v>
                </c:pt>
                <c:pt idx="584">
                  <c:v>72.3781799999998</c:v>
                </c:pt>
                <c:pt idx="585">
                  <c:v>72.3781799999998</c:v>
                </c:pt>
                <c:pt idx="586">
                  <c:v>72.3781799999998</c:v>
                </c:pt>
                <c:pt idx="587">
                  <c:v>72.3781799999998</c:v>
                </c:pt>
                <c:pt idx="588">
                  <c:v>72.3781799999998</c:v>
                </c:pt>
                <c:pt idx="589">
                  <c:v>72.3781799999998</c:v>
                </c:pt>
                <c:pt idx="590">
                  <c:v>72.3781799999998</c:v>
                </c:pt>
                <c:pt idx="591">
                  <c:v>72.3781799999998</c:v>
                </c:pt>
                <c:pt idx="592">
                  <c:v>72.3781799999998</c:v>
                </c:pt>
                <c:pt idx="593">
                  <c:v>72.3781799999998</c:v>
                </c:pt>
                <c:pt idx="594">
                  <c:v>72.3781799999998</c:v>
                </c:pt>
                <c:pt idx="595">
                  <c:v>72.3781799999998</c:v>
                </c:pt>
                <c:pt idx="596">
                  <c:v>72.3781799999998</c:v>
                </c:pt>
                <c:pt idx="597">
                  <c:v>72.3781799999998</c:v>
                </c:pt>
                <c:pt idx="598">
                  <c:v>72.3781799999998</c:v>
                </c:pt>
                <c:pt idx="599">
                  <c:v>72.3781799999998</c:v>
                </c:pt>
                <c:pt idx="600">
                  <c:v>72.3781799999998</c:v>
                </c:pt>
                <c:pt idx="601">
                  <c:v>72.3781799999998</c:v>
                </c:pt>
                <c:pt idx="602">
                  <c:v>72.3781799999998</c:v>
                </c:pt>
                <c:pt idx="603">
                  <c:v>72.3781799999998</c:v>
                </c:pt>
                <c:pt idx="604">
                  <c:v>72.3781799999998</c:v>
                </c:pt>
                <c:pt idx="605">
                  <c:v>72.3781799999998</c:v>
                </c:pt>
                <c:pt idx="606">
                  <c:v>72.3781799999998</c:v>
                </c:pt>
                <c:pt idx="607">
                  <c:v>72.3781799999998</c:v>
                </c:pt>
                <c:pt idx="608">
                  <c:v>72.3781799999998</c:v>
                </c:pt>
                <c:pt idx="609">
                  <c:v>72.3781799999998</c:v>
                </c:pt>
                <c:pt idx="610">
                  <c:v>72.3781799999998</c:v>
                </c:pt>
                <c:pt idx="611">
                  <c:v>72.3781799999998</c:v>
                </c:pt>
                <c:pt idx="612">
                  <c:v>72.3781799999998</c:v>
                </c:pt>
                <c:pt idx="613">
                  <c:v>72.3781799999998</c:v>
                </c:pt>
                <c:pt idx="614">
                  <c:v>72.3781799999998</c:v>
                </c:pt>
                <c:pt idx="615">
                  <c:v>72.3781799999998</c:v>
                </c:pt>
                <c:pt idx="616">
                  <c:v>72.3781799999998</c:v>
                </c:pt>
                <c:pt idx="617">
                  <c:v>72.3781799999998</c:v>
                </c:pt>
                <c:pt idx="618">
                  <c:v>72.3781799999998</c:v>
                </c:pt>
                <c:pt idx="619">
                  <c:v>72.3781799999998</c:v>
                </c:pt>
                <c:pt idx="620">
                  <c:v>72.3781799999998</c:v>
                </c:pt>
                <c:pt idx="621">
                  <c:v>72.3781799999998</c:v>
                </c:pt>
                <c:pt idx="622">
                  <c:v>72.3781799999998</c:v>
                </c:pt>
                <c:pt idx="623">
                  <c:v>72.3781799999998</c:v>
                </c:pt>
                <c:pt idx="624">
                  <c:v>72.3781799999998</c:v>
                </c:pt>
                <c:pt idx="625">
                  <c:v>72.3781799999998</c:v>
                </c:pt>
                <c:pt idx="626">
                  <c:v>72.3781799999998</c:v>
                </c:pt>
                <c:pt idx="627">
                  <c:v>72.3781799999998</c:v>
                </c:pt>
                <c:pt idx="628">
                  <c:v>72.3781799999998</c:v>
                </c:pt>
                <c:pt idx="629">
                  <c:v>72.3781799999998</c:v>
                </c:pt>
                <c:pt idx="630">
                  <c:v>72.3781799999998</c:v>
                </c:pt>
                <c:pt idx="631">
                  <c:v>72.3781799999998</c:v>
                </c:pt>
                <c:pt idx="632">
                  <c:v>72.3781799999998</c:v>
                </c:pt>
                <c:pt idx="633">
                  <c:v>72.3781799999998</c:v>
                </c:pt>
                <c:pt idx="634">
                  <c:v>72.3781799999998</c:v>
                </c:pt>
                <c:pt idx="635">
                  <c:v>72.3781799999998</c:v>
                </c:pt>
                <c:pt idx="636">
                  <c:v>72.3781799999998</c:v>
                </c:pt>
                <c:pt idx="637">
                  <c:v>72.3781799999998</c:v>
                </c:pt>
                <c:pt idx="638">
                  <c:v>72.3781799999998</c:v>
                </c:pt>
                <c:pt idx="639">
                  <c:v>72.3781799999998</c:v>
                </c:pt>
                <c:pt idx="640">
                  <c:v>72.3781799999998</c:v>
                </c:pt>
                <c:pt idx="641">
                  <c:v>72.3781799999998</c:v>
                </c:pt>
                <c:pt idx="642">
                  <c:v>72.3781799999998</c:v>
                </c:pt>
                <c:pt idx="643">
                  <c:v>72.3781799999998</c:v>
                </c:pt>
                <c:pt idx="644">
                  <c:v>72.3781799999998</c:v>
                </c:pt>
                <c:pt idx="645">
                  <c:v>72.3781799999998</c:v>
                </c:pt>
                <c:pt idx="646">
                  <c:v>72.3781799999998</c:v>
                </c:pt>
                <c:pt idx="647">
                  <c:v>72.3781799999998</c:v>
                </c:pt>
                <c:pt idx="648">
                  <c:v>72.3781799999998</c:v>
                </c:pt>
                <c:pt idx="649">
                  <c:v>72.3781799999998</c:v>
                </c:pt>
                <c:pt idx="650">
                  <c:v>72.3781799999998</c:v>
                </c:pt>
                <c:pt idx="651">
                  <c:v>72.3781799999998</c:v>
                </c:pt>
                <c:pt idx="652">
                  <c:v>72.3781799999998</c:v>
                </c:pt>
                <c:pt idx="653">
                  <c:v>72.3781799999998</c:v>
                </c:pt>
                <c:pt idx="654">
                  <c:v>72.3781799999998</c:v>
                </c:pt>
                <c:pt idx="655">
                  <c:v>72.3781799999998</c:v>
                </c:pt>
                <c:pt idx="656">
                  <c:v>72.3781799999998</c:v>
                </c:pt>
                <c:pt idx="657">
                  <c:v>72.3781799999998</c:v>
                </c:pt>
                <c:pt idx="658">
                  <c:v>72.3781799999998</c:v>
                </c:pt>
                <c:pt idx="659">
                  <c:v>72.3781799999998</c:v>
                </c:pt>
                <c:pt idx="660">
                  <c:v>72.3781799999998</c:v>
                </c:pt>
                <c:pt idx="661">
                  <c:v>72.3781799999998</c:v>
                </c:pt>
                <c:pt idx="662">
                  <c:v>72.3781799999998</c:v>
                </c:pt>
                <c:pt idx="663">
                  <c:v>72.3781799999998</c:v>
                </c:pt>
                <c:pt idx="664">
                  <c:v>72.3781799999998</c:v>
                </c:pt>
                <c:pt idx="665">
                  <c:v>72.3781799999998</c:v>
                </c:pt>
                <c:pt idx="666">
                  <c:v>72.3781799999998</c:v>
                </c:pt>
                <c:pt idx="667">
                  <c:v>72.3781799999998</c:v>
                </c:pt>
                <c:pt idx="668">
                  <c:v>72.3781799999998</c:v>
                </c:pt>
                <c:pt idx="669">
                  <c:v>72.3781799999998</c:v>
                </c:pt>
                <c:pt idx="670">
                  <c:v>72.3781799999998</c:v>
                </c:pt>
                <c:pt idx="671">
                  <c:v>72.3781799999998</c:v>
                </c:pt>
                <c:pt idx="672">
                  <c:v>72.3781799999998</c:v>
                </c:pt>
                <c:pt idx="673">
                  <c:v>72.3781799999998</c:v>
                </c:pt>
                <c:pt idx="674">
                  <c:v>72.3781799999998</c:v>
                </c:pt>
                <c:pt idx="675">
                  <c:v>72.3781799999998</c:v>
                </c:pt>
                <c:pt idx="676">
                  <c:v>72.3781799999998</c:v>
                </c:pt>
                <c:pt idx="677">
                  <c:v>72.3781799999998</c:v>
                </c:pt>
                <c:pt idx="678">
                  <c:v>72.3781799999998</c:v>
                </c:pt>
                <c:pt idx="679">
                  <c:v>72.3781799999998</c:v>
                </c:pt>
                <c:pt idx="680">
                  <c:v>72.3781799999998</c:v>
                </c:pt>
                <c:pt idx="681">
                  <c:v>72.3781799999998</c:v>
                </c:pt>
                <c:pt idx="682">
                  <c:v>72.3781799999998</c:v>
                </c:pt>
                <c:pt idx="683">
                  <c:v>72.3781799999998</c:v>
                </c:pt>
                <c:pt idx="684">
                  <c:v>72.3781799999998</c:v>
                </c:pt>
                <c:pt idx="685">
                  <c:v>72.3781799999998</c:v>
                </c:pt>
                <c:pt idx="686">
                  <c:v>72.3781799999998</c:v>
                </c:pt>
                <c:pt idx="687">
                  <c:v>72.3781799999998</c:v>
                </c:pt>
                <c:pt idx="688">
                  <c:v>72.3781799999998</c:v>
                </c:pt>
                <c:pt idx="689">
                  <c:v>72.3781799999998</c:v>
                </c:pt>
                <c:pt idx="690">
                  <c:v>72.3781799999998</c:v>
                </c:pt>
                <c:pt idx="691">
                  <c:v>72.3781799999998</c:v>
                </c:pt>
                <c:pt idx="692">
                  <c:v>72.3781799999998</c:v>
                </c:pt>
                <c:pt idx="693">
                  <c:v>72.3781799999998</c:v>
                </c:pt>
                <c:pt idx="694">
                  <c:v>72.3781799999998</c:v>
                </c:pt>
                <c:pt idx="695">
                  <c:v>72.3781799999998</c:v>
                </c:pt>
                <c:pt idx="696">
                  <c:v>72.3781799999998</c:v>
                </c:pt>
                <c:pt idx="697">
                  <c:v>72.3781799999998</c:v>
                </c:pt>
                <c:pt idx="698">
                  <c:v>72.3781799999998</c:v>
                </c:pt>
                <c:pt idx="699">
                  <c:v>72.3781799999998</c:v>
                </c:pt>
                <c:pt idx="700">
                  <c:v>72.3781799999998</c:v>
                </c:pt>
                <c:pt idx="701">
                  <c:v>72.3781799999998</c:v>
                </c:pt>
                <c:pt idx="702">
                  <c:v>72.3781799999998</c:v>
                </c:pt>
                <c:pt idx="703">
                  <c:v>72.3781799999998</c:v>
                </c:pt>
                <c:pt idx="704">
                  <c:v>72.3781799999998</c:v>
                </c:pt>
                <c:pt idx="705">
                  <c:v>72.3781799999998</c:v>
                </c:pt>
                <c:pt idx="706">
                  <c:v>72.3781799999998</c:v>
                </c:pt>
                <c:pt idx="707">
                  <c:v>72.3781799999998</c:v>
                </c:pt>
                <c:pt idx="708">
                  <c:v>72.3781799999998</c:v>
                </c:pt>
                <c:pt idx="709">
                  <c:v>72.3781799999998</c:v>
                </c:pt>
                <c:pt idx="710">
                  <c:v>72.3781799999998</c:v>
                </c:pt>
                <c:pt idx="711">
                  <c:v>72.3781799999998</c:v>
                </c:pt>
                <c:pt idx="712">
                  <c:v>72.3781799999998</c:v>
                </c:pt>
                <c:pt idx="713">
                  <c:v>72.3781799999998</c:v>
                </c:pt>
                <c:pt idx="714">
                  <c:v>72.3781799999998</c:v>
                </c:pt>
                <c:pt idx="715">
                  <c:v>72.3781799999998</c:v>
                </c:pt>
                <c:pt idx="716">
                  <c:v>72.3781799999998</c:v>
                </c:pt>
                <c:pt idx="717">
                  <c:v>72.3781799999998</c:v>
                </c:pt>
                <c:pt idx="718">
                  <c:v>72.3781799999998</c:v>
                </c:pt>
                <c:pt idx="719">
                  <c:v>72.3781799999998</c:v>
                </c:pt>
                <c:pt idx="720">
                  <c:v>72.3781799999998</c:v>
                </c:pt>
                <c:pt idx="721">
                  <c:v>72.3781799999998</c:v>
                </c:pt>
                <c:pt idx="722">
                  <c:v>72.3781799999998</c:v>
                </c:pt>
                <c:pt idx="723">
                  <c:v>72.3781799999998</c:v>
                </c:pt>
                <c:pt idx="724">
                  <c:v>72.3781799999998</c:v>
                </c:pt>
                <c:pt idx="725">
                  <c:v>72.3781799999998</c:v>
                </c:pt>
                <c:pt idx="726">
                  <c:v>72.3781799999998</c:v>
                </c:pt>
                <c:pt idx="727">
                  <c:v>72.3781799999998</c:v>
                </c:pt>
                <c:pt idx="728">
                  <c:v>72.3781799999998</c:v>
                </c:pt>
                <c:pt idx="729">
                  <c:v>72.3781799999998</c:v>
                </c:pt>
                <c:pt idx="730">
                  <c:v>72.3781799999998</c:v>
                </c:pt>
                <c:pt idx="731">
                  <c:v>72.3781799999998</c:v>
                </c:pt>
                <c:pt idx="732">
                  <c:v>72.3781799999998</c:v>
                </c:pt>
                <c:pt idx="733">
                  <c:v>72.3781799999998</c:v>
                </c:pt>
                <c:pt idx="734">
                  <c:v>72.3781799999998</c:v>
                </c:pt>
                <c:pt idx="735">
                  <c:v>72.3781799999998</c:v>
                </c:pt>
                <c:pt idx="736">
                  <c:v>72.3781799999998</c:v>
                </c:pt>
                <c:pt idx="737">
                  <c:v>72.3781799999998</c:v>
                </c:pt>
                <c:pt idx="738">
                  <c:v>72.3781799999998</c:v>
                </c:pt>
                <c:pt idx="739">
                  <c:v>72.3781799999998</c:v>
                </c:pt>
                <c:pt idx="740">
                  <c:v>72.3781799999998</c:v>
                </c:pt>
                <c:pt idx="741">
                  <c:v>72.3781799999998</c:v>
                </c:pt>
                <c:pt idx="742">
                  <c:v>72.3781799999998</c:v>
                </c:pt>
                <c:pt idx="743">
                  <c:v>72.3781799999998</c:v>
                </c:pt>
                <c:pt idx="744">
                  <c:v>72.3781799999998</c:v>
                </c:pt>
                <c:pt idx="745">
                  <c:v>72.3781799999998</c:v>
                </c:pt>
                <c:pt idx="746">
                  <c:v>72.3781799999998</c:v>
                </c:pt>
                <c:pt idx="747">
                  <c:v>72.3781799999998</c:v>
                </c:pt>
                <c:pt idx="748">
                  <c:v>72.3781799999998</c:v>
                </c:pt>
                <c:pt idx="749">
                  <c:v>72.3781799999998</c:v>
                </c:pt>
                <c:pt idx="750">
                  <c:v>72.3781799999998</c:v>
                </c:pt>
                <c:pt idx="751">
                  <c:v>72.3781799999998</c:v>
                </c:pt>
                <c:pt idx="752">
                  <c:v>72.3781799999998</c:v>
                </c:pt>
                <c:pt idx="753">
                  <c:v>72.3781799999998</c:v>
                </c:pt>
                <c:pt idx="754">
                  <c:v>72.3781799999998</c:v>
                </c:pt>
                <c:pt idx="755">
                  <c:v>72.3781799999998</c:v>
                </c:pt>
                <c:pt idx="756">
                  <c:v>72.3781799999998</c:v>
                </c:pt>
                <c:pt idx="757">
                  <c:v>72.3781799999998</c:v>
                </c:pt>
                <c:pt idx="758">
                  <c:v>72.3781799999998</c:v>
                </c:pt>
                <c:pt idx="759">
                  <c:v>72.3781799999998</c:v>
                </c:pt>
                <c:pt idx="760">
                  <c:v>72.3781799999998</c:v>
                </c:pt>
                <c:pt idx="761">
                  <c:v>72.3781799999998</c:v>
                </c:pt>
                <c:pt idx="762">
                  <c:v>72.3781799999998</c:v>
                </c:pt>
                <c:pt idx="763">
                  <c:v>72.3781799999998</c:v>
                </c:pt>
                <c:pt idx="764">
                  <c:v>72.3781799999998</c:v>
                </c:pt>
                <c:pt idx="765">
                  <c:v>72.3781799999998</c:v>
                </c:pt>
                <c:pt idx="766">
                  <c:v>72.3781799999998</c:v>
                </c:pt>
                <c:pt idx="767">
                  <c:v>72.3781799999998</c:v>
                </c:pt>
                <c:pt idx="768">
                  <c:v>72.3781799999998</c:v>
                </c:pt>
                <c:pt idx="769">
                  <c:v>72.3781799999998</c:v>
                </c:pt>
                <c:pt idx="770">
                  <c:v>72.3781799999998</c:v>
                </c:pt>
                <c:pt idx="771">
                  <c:v>72.3781799999998</c:v>
                </c:pt>
                <c:pt idx="772">
                  <c:v>72.3781799999998</c:v>
                </c:pt>
                <c:pt idx="773">
                  <c:v>72.3781799999998</c:v>
                </c:pt>
                <c:pt idx="774">
                  <c:v>72.3781799999998</c:v>
                </c:pt>
                <c:pt idx="775">
                  <c:v>72.3781799999998</c:v>
                </c:pt>
                <c:pt idx="776">
                  <c:v>72.3781799999998</c:v>
                </c:pt>
                <c:pt idx="777">
                  <c:v>72.3781799999998</c:v>
                </c:pt>
                <c:pt idx="778">
                  <c:v>72.3781799999998</c:v>
                </c:pt>
                <c:pt idx="779">
                  <c:v>72.3781799999998</c:v>
                </c:pt>
                <c:pt idx="780">
                  <c:v>72.3781799999998</c:v>
                </c:pt>
                <c:pt idx="781">
                  <c:v>72.3781799999998</c:v>
                </c:pt>
                <c:pt idx="782">
                  <c:v>72.3781799999998</c:v>
                </c:pt>
                <c:pt idx="783">
                  <c:v>72.3781799999998</c:v>
                </c:pt>
                <c:pt idx="784">
                  <c:v>72.3781799999998</c:v>
                </c:pt>
                <c:pt idx="785">
                  <c:v>72.3781799999998</c:v>
                </c:pt>
                <c:pt idx="786">
                  <c:v>72.3781799999998</c:v>
                </c:pt>
                <c:pt idx="787">
                  <c:v>72.3781799999998</c:v>
                </c:pt>
                <c:pt idx="788">
                  <c:v>72.3781799999998</c:v>
                </c:pt>
                <c:pt idx="789">
                  <c:v>72.3781799999998</c:v>
                </c:pt>
                <c:pt idx="790">
                  <c:v>72.3781799999998</c:v>
                </c:pt>
                <c:pt idx="791">
                  <c:v>72.3781799999998</c:v>
                </c:pt>
                <c:pt idx="792">
                  <c:v>72.3781799999998</c:v>
                </c:pt>
                <c:pt idx="793">
                  <c:v>72.3781799999998</c:v>
                </c:pt>
                <c:pt idx="794">
                  <c:v>72.3781799999998</c:v>
                </c:pt>
                <c:pt idx="795">
                  <c:v>72.3781799999998</c:v>
                </c:pt>
                <c:pt idx="796">
                  <c:v>72.3781799999998</c:v>
                </c:pt>
                <c:pt idx="797">
                  <c:v>72.3781799999998</c:v>
                </c:pt>
                <c:pt idx="798">
                  <c:v>72.3781799999998</c:v>
                </c:pt>
                <c:pt idx="799">
                  <c:v>72.3781799999998</c:v>
                </c:pt>
                <c:pt idx="800">
                  <c:v>72.3781799999998</c:v>
                </c:pt>
                <c:pt idx="801">
                  <c:v>72.3781799999998</c:v>
                </c:pt>
                <c:pt idx="802">
                  <c:v>72.3781799999998</c:v>
                </c:pt>
                <c:pt idx="803">
                  <c:v>72.3781799999998</c:v>
                </c:pt>
                <c:pt idx="804">
                  <c:v>72.3781799999998</c:v>
                </c:pt>
                <c:pt idx="805">
                  <c:v>72.3781799999998</c:v>
                </c:pt>
                <c:pt idx="806">
                  <c:v>72.3781799999998</c:v>
                </c:pt>
                <c:pt idx="807">
                  <c:v>72.3781799999998</c:v>
                </c:pt>
                <c:pt idx="808">
                  <c:v>72.3781799999998</c:v>
                </c:pt>
                <c:pt idx="809">
                  <c:v>72.3781799999998</c:v>
                </c:pt>
                <c:pt idx="810">
                  <c:v>72.3781799999998</c:v>
                </c:pt>
                <c:pt idx="811">
                  <c:v>72.3781799999998</c:v>
                </c:pt>
                <c:pt idx="812">
                  <c:v>72.3781799999998</c:v>
                </c:pt>
                <c:pt idx="813">
                  <c:v>72.3781799999998</c:v>
                </c:pt>
                <c:pt idx="814">
                  <c:v>72.3781799999998</c:v>
                </c:pt>
                <c:pt idx="815">
                  <c:v>72.3781799999998</c:v>
                </c:pt>
                <c:pt idx="816">
                  <c:v>72.3781799999998</c:v>
                </c:pt>
                <c:pt idx="817">
                  <c:v>72.3781799999998</c:v>
                </c:pt>
                <c:pt idx="818">
                  <c:v>72.3781799999998</c:v>
                </c:pt>
                <c:pt idx="819">
                  <c:v>72.3781799999998</c:v>
                </c:pt>
                <c:pt idx="820">
                  <c:v>72.3781799999998</c:v>
                </c:pt>
                <c:pt idx="821">
                  <c:v>72.3781799999998</c:v>
                </c:pt>
                <c:pt idx="822">
                  <c:v>72.3781799999998</c:v>
                </c:pt>
                <c:pt idx="823">
                  <c:v>72.3781799999998</c:v>
                </c:pt>
                <c:pt idx="824">
                  <c:v>72.3781799999998</c:v>
                </c:pt>
                <c:pt idx="825">
                  <c:v>72.3781799999998</c:v>
                </c:pt>
                <c:pt idx="826">
                  <c:v>72.3781799999998</c:v>
                </c:pt>
                <c:pt idx="827">
                  <c:v>72.3781799999998</c:v>
                </c:pt>
                <c:pt idx="828">
                  <c:v>72.3781799999998</c:v>
                </c:pt>
                <c:pt idx="829">
                  <c:v>72.3781799999998</c:v>
                </c:pt>
                <c:pt idx="830">
                  <c:v>72.3781799999998</c:v>
                </c:pt>
                <c:pt idx="831">
                  <c:v>72.3781799999998</c:v>
                </c:pt>
                <c:pt idx="832">
                  <c:v>72.3781799999998</c:v>
                </c:pt>
                <c:pt idx="833">
                  <c:v>72.3781799999998</c:v>
                </c:pt>
                <c:pt idx="834">
                  <c:v>72.3781799999998</c:v>
                </c:pt>
                <c:pt idx="835">
                  <c:v>72.3781799999998</c:v>
                </c:pt>
                <c:pt idx="836">
                  <c:v>72.3781799999998</c:v>
                </c:pt>
                <c:pt idx="837">
                  <c:v>72.3781799999998</c:v>
                </c:pt>
                <c:pt idx="838">
                  <c:v>72.3781799999998</c:v>
                </c:pt>
                <c:pt idx="839">
                  <c:v>72.3781799999998</c:v>
                </c:pt>
                <c:pt idx="840">
                  <c:v>72.3781799999998</c:v>
                </c:pt>
                <c:pt idx="841">
                  <c:v>72.3781799999998</c:v>
                </c:pt>
                <c:pt idx="842">
                  <c:v>72.3781799999998</c:v>
                </c:pt>
                <c:pt idx="843">
                  <c:v>72.3781799999998</c:v>
                </c:pt>
                <c:pt idx="844">
                  <c:v>72.3781799999998</c:v>
                </c:pt>
                <c:pt idx="845">
                  <c:v>72.3781799999998</c:v>
                </c:pt>
                <c:pt idx="846">
                  <c:v>72.3781799999998</c:v>
                </c:pt>
                <c:pt idx="847">
                  <c:v>72.3781799999998</c:v>
                </c:pt>
                <c:pt idx="848">
                  <c:v>72.3781799999998</c:v>
                </c:pt>
                <c:pt idx="849">
                  <c:v>72.3781799999998</c:v>
                </c:pt>
                <c:pt idx="850">
                  <c:v>72.3781799999998</c:v>
                </c:pt>
                <c:pt idx="851">
                  <c:v>72.3781799999998</c:v>
                </c:pt>
                <c:pt idx="852">
                  <c:v>72.3781799999998</c:v>
                </c:pt>
                <c:pt idx="853">
                  <c:v>72.3781799999998</c:v>
                </c:pt>
                <c:pt idx="854">
                  <c:v>72.3781799999998</c:v>
                </c:pt>
                <c:pt idx="855">
                  <c:v>72.3781799999998</c:v>
                </c:pt>
                <c:pt idx="856">
                  <c:v>72.3781799999998</c:v>
                </c:pt>
                <c:pt idx="857">
                  <c:v>72.3781799999998</c:v>
                </c:pt>
                <c:pt idx="858">
                  <c:v>72.3781799999998</c:v>
                </c:pt>
                <c:pt idx="859">
                  <c:v>72.3781799999998</c:v>
                </c:pt>
                <c:pt idx="860">
                  <c:v>72.3781799999998</c:v>
                </c:pt>
                <c:pt idx="861">
                  <c:v>72.3781799999998</c:v>
                </c:pt>
                <c:pt idx="862">
                  <c:v>72.3781799999998</c:v>
                </c:pt>
                <c:pt idx="863">
                  <c:v>72.3781799999998</c:v>
                </c:pt>
                <c:pt idx="864">
                  <c:v>72.3781799999998</c:v>
                </c:pt>
                <c:pt idx="865">
                  <c:v>72.3781799999998</c:v>
                </c:pt>
                <c:pt idx="866">
                  <c:v>72.3781799999998</c:v>
                </c:pt>
                <c:pt idx="867">
                  <c:v>72.3781799999998</c:v>
                </c:pt>
                <c:pt idx="868">
                  <c:v>72.3781799999998</c:v>
                </c:pt>
                <c:pt idx="869">
                  <c:v>72.3781799999998</c:v>
                </c:pt>
                <c:pt idx="870">
                  <c:v>72.3781799999998</c:v>
                </c:pt>
                <c:pt idx="871">
                  <c:v>72.3781799999998</c:v>
                </c:pt>
                <c:pt idx="872">
                  <c:v>72.3781799999998</c:v>
                </c:pt>
                <c:pt idx="873">
                  <c:v>72.3781799999998</c:v>
                </c:pt>
                <c:pt idx="874">
                  <c:v>72.3781799999998</c:v>
                </c:pt>
                <c:pt idx="875">
                  <c:v>72.3781799999998</c:v>
                </c:pt>
                <c:pt idx="876">
                  <c:v>72.3781799999998</c:v>
                </c:pt>
                <c:pt idx="877">
                  <c:v>72.3781799999998</c:v>
                </c:pt>
                <c:pt idx="878">
                  <c:v>72.3781799999998</c:v>
                </c:pt>
                <c:pt idx="879">
                  <c:v>72.3781799999998</c:v>
                </c:pt>
                <c:pt idx="880">
                  <c:v>72.3781799999998</c:v>
                </c:pt>
                <c:pt idx="881">
                  <c:v>72.3781799999998</c:v>
                </c:pt>
                <c:pt idx="882">
                  <c:v>72.3781799999998</c:v>
                </c:pt>
                <c:pt idx="883">
                  <c:v>72.3781799999998</c:v>
                </c:pt>
                <c:pt idx="884">
                  <c:v>72.3781799999998</c:v>
                </c:pt>
                <c:pt idx="885">
                  <c:v>72.3781799999998</c:v>
                </c:pt>
                <c:pt idx="886">
                  <c:v>72.3781799999998</c:v>
                </c:pt>
                <c:pt idx="887">
                  <c:v>72.3781799999998</c:v>
                </c:pt>
                <c:pt idx="888">
                  <c:v>72.3781799999998</c:v>
                </c:pt>
                <c:pt idx="889">
                  <c:v>72.3781799999998</c:v>
                </c:pt>
                <c:pt idx="890">
                  <c:v>72.3781799999998</c:v>
                </c:pt>
                <c:pt idx="891">
                  <c:v>72.3781799999998</c:v>
                </c:pt>
                <c:pt idx="892">
                  <c:v>72.3781799999998</c:v>
                </c:pt>
                <c:pt idx="893">
                  <c:v>72.3781799999998</c:v>
                </c:pt>
                <c:pt idx="894">
                  <c:v>72.3781799999998</c:v>
                </c:pt>
                <c:pt idx="895">
                  <c:v>72.3781799999998</c:v>
                </c:pt>
                <c:pt idx="896">
                  <c:v>72.3781799999998</c:v>
                </c:pt>
                <c:pt idx="897">
                  <c:v>72.3781799999998</c:v>
                </c:pt>
                <c:pt idx="898">
                  <c:v>72.3781799999998</c:v>
                </c:pt>
                <c:pt idx="899">
                  <c:v>72.3781799999998</c:v>
                </c:pt>
                <c:pt idx="900">
                  <c:v>72.3781799999998</c:v>
                </c:pt>
                <c:pt idx="901">
                  <c:v>72.3781799999998</c:v>
                </c:pt>
                <c:pt idx="902">
                  <c:v>72.3781799999998</c:v>
                </c:pt>
                <c:pt idx="903">
                  <c:v>72.3781799999998</c:v>
                </c:pt>
                <c:pt idx="904">
                  <c:v>72.3781799999998</c:v>
                </c:pt>
                <c:pt idx="905">
                  <c:v>72.3781799999998</c:v>
                </c:pt>
                <c:pt idx="906">
                  <c:v>72.3781799999998</c:v>
                </c:pt>
                <c:pt idx="907">
                  <c:v>72.3781799999998</c:v>
                </c:pt>
                <c:pt idx="908">
                  <c:v>72.3781799999998</c:v>
                </c:pt>
                <c:pt idx="909">
                  <c:v>72.3781799999998</c:v>
                </c:pt>
                <c:pt idx="910">
                  <c:v>72.3781799999998</c:v>
                </c:pt>
                <c:pt idx="911">
                  <c:v>72.3781799999998</c:v>
                </c:pt>
                <c:pt idx="912">
                  <c:v>72.3781799999998</c:v>
                </c:pt>
                <c:pt idx="913">
                  <c:v>72.3781799999998</c:v>
                </c:pt>
                <c:pt idx="914">
                  <c:v>72.3781799999998</c:v>
                </c:pt>
                <c:pt idx="915">
                  <c:v>72.3781799999998</c:v>
                </c:pt>
                <c:pt idx="916">
                  <c:v>72.3781799999998</c:v>
                </c:pt>
                <c:pt idx="917">
                  <c:v>72.3781799999998</c:v>
                </c:pt>
                <c:pt idx="918">
                  <c:v>72.3781799999998</c:v>
                </c:pt>
                <c:pt idx="919">
                  <c:v>72.3781799999998</c:v>
                </c:pt>
                <c:pt idx="920">
                  <c:v>72.3781799999998</c:v>
                </c:pt>
                <c:pt idx="921">
                  <c:v>72.3781799999998</c:v>
                </c:pt>
                <c:pt idx="922">
                  <c:v>72.3781799999998</c:v>
                </c:pt>
                <c:pt idx="923">
                  <c:v>72.3781799999998</c:v>
                </c:pt>
                <c:pt idx="924">
                  <c:v>72.3781799999998</c:v>
                </c:pt>
                <c:pt idx="925">
                  <c:v>72.3781799999998</c:v>
                </c:pt>
                <c:pt idx="926">
                  <c:v>72.3781799999998</c:v>
                </c:pt>
                <c:pt idx="927">
                  <c:v>72.3781799999998</c:v>
                </c:pt>
                <c:pt idx="928">
                  <c:v>72.3781799999998</c:v>
                </c:pt>
                <c:pt idx="929">
                  <c:v>72.3781799999998</c:v>
                </c:pt>
                <c:pt idx="930">
                  <c:v>72.3781799999998</c:v>
                </c:pt>
                <c:pt idx="931">
                  <c:v>72.3781799999998</c:v>
                </c:pt>
                <c:pt idx="932">
                  <c:v>72.3781799999998</c:v>
                </c:pt>
                <c:pt idx="933">
                  <c:v>72.3781799999998</c:v>
                </c:pt>
                <c:pt idx="934">
                  <c:v>72.3781799999998</c:v>
                </c:pt>
                <c:pt idx="935">
                  <c:v>72.3781799999998</c:v>
                </c:pt>
                <c:pt idx="936">
                  <c:v>72.3781799999998</c:v>
                </c:pt>
                <c:pt idx="937">
                  <c:v>72.3781799999998</c:v>
                </c:pt>
                <c:pt idx="938">
                  <c:v>72.3781799999998</c:v>
                </c:pt>
                <c:pt idx="939">
                  <c:v>72.3781799999998</c:v>
                </c:pt>
                <c:pt idx="940">
                  <c:v>72.3781799999998</c:v>
                </c:pt>
                <c:pt idx="941">
                  <c:v>72.3781799999998</c:v>
                </c:pt>
                <c:pt idx="942">
                  <c:v>72.3781799999998</c:v>
                </c:pt>
                <c:pt idx="943">
                  <c:v>72.3781799999998</c:v>
                </c:pt>
                <c:pt idx="944">
                  <c:v>72.3781799999998</c:v>
                </c:pt>
                <c:pt idx="945">
                  <c:v>72.3781799999998</c:v>
                </c:pt>
                <c:pt idx="946">
                  <c:v>72.3781799999998</c:v>
                </c:pt>
                <c:pt idx="947">
                  <c:v>72.3781799999998</c:v>
                </c:pt>
                <c:pt idx="948">
                  <c:v>72.3781799999998</c:v>
                </c:pt>
                <c:pt idx="949">
                  <c:v>72.3781799999998</c:v>
                </c:pt>
                <c:pt idx="950">
                  <c:v>72.3781799999998</c:v>
                </c:pt>
                <c:pt idx="951">
                  <c:v>72.3781799999998</c:v>
                </c:pt>
                <c:pt idx="952">
                  <c:v>72.3781799999998</c:v>
                </c:pt>
                <c:pt idx="953">
                  <c:v>72.3781799999998</c:v>
                </c:pt>
                <c:pt idx="954">
                  <c:v>72.3781799999998</c:v>
                </c:pt>
                <c:pt idx="955">
                  <c:v>72.3781799999998</c:v>
                </c:pt>
                <c:pt idx="956">
                  <c:v>72.3781799999998</c:v>
                </c:pt>
                <c:pt idx="957">
                  <c:v>72.3781799999998</c:v>
                </c:pt>
                <c:pt idx="958">
                  <c:v>72.3781799999998</c:v>
                </c:pt>
                <c:pt idx="959">
                  <c:v>72.3781799999998</c:v>
                </c:pt>
                <c:pt idx="960">
                  <c:v>72.3781799999998</c:v>
                </c:pt>
                <c:pt idx="961">
                  <c:v>72.3781799999998</c:v>
                </c:pt>
                <c:pt idx="962">
                  <c:v>72.3781799999998</c:v>
                </c:pt>
                <c:pt idx="963">
                  <c:v>72.3781799999998</c:v>
                </c:pt>
                <c:pt idx="964">
                  <c:v>72.3781799999998</c:v>
                </c:pt>
                <c:pt idx="965">
                  <c:v>72.3781799999998</c:v>
                </c:pt>
                <c:pt idx="966">
                  <c:v>72.3781799999998</c:v>
                </c:pt>
                <c:pt idx="967">
                  <c:v>72.3781799999998</c:v>
                </c:pt>
                <c:pt idx="968">
                  <c:v>72.3781799999998</c:v>
                </c:pt>
                <c:pt idx="969">
                  <c:v>72.3781799999998</c:v>
                </c:pt>
                <c:pt idx="970">
                  <c:v>72.3781799999998</c:v>
                </c:pt>
                <c:pt idx="971">
                  <c:v>72.3781799999998</c:v>
                </c:pt>
                <c:pt idx="972">
                  <c:v>72.3781799999998</c:v>
                </c:pt>
                <c:pt idx="973">
                  <c:v>72.3781799999998</c:v>
                </c:pt>
                <c:pt idx="974">
                  <c:v>72.3781799999998</c:v>
                </c:pt>
                <c:pt idx="975">
                  <c:v>72.3781799999998</c:v>
                </c:pt>
                <c:pt idx="976">
                  <c:v>72.3781799999998</c:v>
                </c:pt>
                <c:pt idx="977">
                  <c:v>72.3781799999998</c:v>
                </c:pt>
                <c:pt idx="978">
                  <c:v>72.3781799999998</c:v>
                </c:pt>
                <c:pt idx="979">
                  <c:v>72.3781799999998</c:v>
                </c:pt>
                <c:pt idx="980">
                  <c:v>72.3781799999998</c:v>
                </c:pt>
                <c:pt idx="981">
                  <c:v>72.3781799999998</c:v>
                </c:pt>
                <c:pt idx="982">
                  <c:v>72.3781799999998</c:v>
                </c:pt>
                <c:pt idx="983">
                  <c:v>72.3781799999998</c:v>
                </c:pt>
                <c:pt idx="984">
                  <c:v>72.3781799999998</c:v>
                </c:pt>
                <c:pt idx="985">
                  <c:v>72.3781799999998</c:v>
                </c:pt>
                <c:pt idx="986">
                  <c:v>72.3781799999998</c:v>
                </c:pt>
                <c:pt idx="987">
                  <c:v>72.3781799999998</c:v>
                </c:pt>
                <c:pt idx="988">
                  <c:v>72.3781799999998</c:v>
                </c:pt>
                <c:pt idx="989">
                  <c:v>72.3781799999998</c:v>
                </c:pt>
                <c:pt idx="990">
                  <c:v>72.3781799999998</c:v>
                </c:pt>
                <c:pt idx="991">
                  <c:v>72.3781799999998</c:v>
                </c:pt>
                <c:pt idx="992">
                  <c:v>72.3781799999998</c:v>
                </c:pt>
                <c:pt idx="993">
                  <c:v>72.3781799999998</c:v>
                </c:pt>
                <c:pt idx="994">
                  <c:v>72.3781799999998</c:v>
                </c:pt>
                <c:pt idx="995">
                  <c:v>72.3781799999998</c:v>
                </c:pt>
                <c:pt idx="996">
                  <c:v>72.3781799999998</c:v>
                </c:pt>
                <c:pt idx="997">
                  <c:v>72.3781799999998</c:v>
                </c:pt>
                <c:pt idx="998">
                  <c:v>72.3781799999998</c:v>
                </c:pt>
                <c:pt idx="999">
                  <c:v>72.3781799999998</c:v>
                </c:pt>
                <c:pt idx="1000">
                  <c:v>72.3781799999998</c:v>
                </c:pt>
              </c:numCache>
            </c:numRef>
          </c:yVal>
          <c:smooth val="0"/>
        </c:ser>
        <c:ser>
          <c:idx val="2"/>
          <c:order val="2"/>
          <c:tx>
            <c:strRef>
              <c:f>Courbes!$B$133</c:f>
              <c:strCache>
                <c:ptCount val="1"/>
                <c:pt idx="0">
                  <c:v>Traînée</c:v>
                </c:pt>
              </c:strCache>
            </c:strRef>
          </c:tx>
          <c:spPr>
            <a:solidFill>
              <a:srgbClr val="800000"/>
            </a:solidFill>
            <a:ln w="25560">
              <a:solidFill>
                <a:srgbClr val="80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34.8000000000002</c:v>
                </c:pt>
                <c:pt idx="709">
                  <c:v>34.9000000000002</c:v>
                </c:pt>
                <c:pt idx="710">
                  <c:v>35.0000000000002</c:v>
                </c:pt>
                <c:pt idx="711">
                  <c:v>35.1000000000002</c:v>
                </c:pt>
                <c:pt idx="712">
                  <c:v>35.2000000000002</c:v>
                </c:pt>
                <c:pt idx="713">
                  <c:v>35.3000000000002</c:v>
                </c:pt>
                <c:pt idx="714">
                  <c:v>35.4000000000002</c:v>
                </c:pt>
                <c:pt idx="715">
                  <c:v>35.5000000000002</c:v>
                </c:pt>
                <c:pt idx="716">
                  <c:v>35.6000000000002</c:v>
                </c:pt>
                <c:pt idx="717">
                  <c:v>35.7000000000002</c:v>
                </c:pt>
                <c:pt idx="718">
                  <c:v>35.8000000000002</c:v>
                </c:pt>
                <c:pt idx="719">
                  <c:v>35.9000000000002</c:v>
                </c:pt>
                <c:pt idx="720">
                  <c:v>36.0000000000002</c:v>
                </c:pt>
                <c:pt idx="721">
                  <c:v>36.1000000000002</c:v>
                </c:pt>
                <c:pt idx="722">
                  <c:v>36.2000000000002</c:v>
                </c:pt>
                <c:pt idx="723">
                  <c:v>36.3000000000002</c:v>
                </c:pt>
                <c:pt idx="724">
                  <c:v>36.3001000000002</c:v>
                </c:pt>
                <c:pt idx="725">
                  <c:v>36.3002000000002</c:v>
                </c:pt>
                <c:pt idx="726">
                  <c:v>36.3003000000002</c:v>
                </c:pt>
                <c:pt idx="727">
                  <c:v>36.3004000000002</c:v>
                </c:pt>
                <c:pt idx="728">
                  <c:v>36.3005000000002</c:v>
                </c:pt>
                <c:pt idx="729">
                  <c:v>36.3006000000002</c:v>
                </c:pt>
                <c:pt idx="730">
                  <c:v>36.3007000000002</c:v>
                </c:pt>
                <c:pt idx="731">
                  <c:v>36.3008000000002</c:v>
                </c:pt>
                <c:pt idx="732">
                  <c:v>36.3009000000002</c:v>
                </c:pt>
                <c:pt idx="733">
                  <c:v>36.3010000000002</c:v>
                </c:pt>
                <c:pt idx="734">
                  <c:v>36.3011000000002</c:v>
                </c:pt>
                <c:pt idx="735">
                  <c:v>36.3012000000002</c:v>
                </c:pt>
                <c:pt idx="736">
                  <c:v>36.3013000000002</c:v>
                </c:pt>
                <c:pt idx="737">
                  <c:v>36.3014000000003</c:v>
                </c:pt>
                <c:pt idx="738">
                  <c:v>36.3015000000003</c:v>
                </c:pt>
                <c:pt idx="739">
                  <c:v>36.3016000000003</c:v>
                </c:pt>
                <c:pt idx="740">
                  <c:v>36.3017000000003</c:v>
                </c:pt>
                <c:pt idx="741">
                  <c:v>36.3018000000003</c:v>
                </c:pt>
                <c:pt idx="742">
                  <c:v>36.3019000000003</c:v>
                </c:pt>
                <c:pt idx="743">
                  <c:v>36.3020000000003</c:v>
                </c:pt>
                <c:pt idx="744">
                  <c:v>36.3021000000003</c:v>
                </c:pt>
                <c:pt idx="745">
                  <c:v>36.3022000000003</c:v>
                </c:pt>
                <c:pt idx="746">
                  <c:v>36.3023000000003</c:v>
                </c:pt>
                <c:pt idx="747">
                  <c:v>36.3024000000003</c:v>
                </c:pt>
                <c:pt idx="748">
                  <c:v>36.3025000000003</c:v>
                </c:pt>
                <c:pt idx="749">
                  <c:v>36.3026000000003</c:v>
                </c:pt>
                <c:pt idx="750">
                  <c:v>36.3027000000003</c:v>
                </c:pt>
                <c:pt idx="751">
                  <c:v>36.3028000000003</c:v>
                </c:pt>
                <c:pt idx="752">
                  <c:v>36.3029000000003</c:v>
                </c:pt>
                <c:pt idx="753">
                  <c:v>36.3030000000003</c:v>
                </c:pt>
                <c:pt idx="754">
                  <c:v>36.3031000000003</c:v>
                </c:pt>
                <c:pt idx="755">
                  <c:v>36.3032000000003</c:v>
                </c:pt>
                <c:pt idx="756">
                  <c:v>36.3033000000003</c:v>
                </c:pt>
                <c:pt idx="757">
                  <c:v>36.3034000000003</c:v>
                </c:pt>
                <c:pt idx="758">
                  <c:v>36.3035000000003</c:v>
                </c:pt>
                <c:pt idx="759">
                  <c:v>36.3036000000003</c:v>
                </c:pt>
                <c:pt idx="760">
                  <c:v>36.3037000000003</c:v>
                </c:pt>
                <c:pt idx="761">
                  <c:v>36.3038000000003</c:v>
                </c:pt>
                <c:pt idx="762">
                  <c:v>36.3039000000003</c:v>
                </c:pt>
                <c:pt idx="763">
                  <c:v>36.3040000000003</c:v>
                </c:pt>
                <c:pt idx="764">
                  <c:v>36.3041000000003</c:v>
                </c:pt>
                <c:pt idx="765">
                  <c:v>36.3042000000003</c:v>
                </c:pt>
                <c:pt idx="766">
                  <c:v>36.3043000000003</c:v>
                </c:pt>
                <c:pt idx="767">
                  <c:v>36.3044000000004</c:v>
                </c:pt>
                <c:pt idx="768">
                  <c:v>36.3045000000004</c:v>
                </c:pt>
                <c:pt idx="769">
                  <c:v>36.3046000000004</c:v>
                </c:pt>
                <c:pt idx="770">
                  <c:v>36.3047000000004</c:v>
                </c:pt>
                <c:pt idx="771">
                  <c:v>36.3048000000004</c:v>
                </c:pt>
                <c:pt idx="772">
                  <c:v>36.3049000000004</c:v>
                </c:pt>
                <c:pt idx="773">
                  <c:v>36.3050000000004</c:v>
                </c:pt>
                <c:pt idx="774">
                  <c:v>36.3051000000004</c:v>
                </c:pt>
                <c:pt idx="775">
                  <c:v>36.3052000000004</c:v>
                </c:pt>
                <c:pt idx="776">
                  <c:v>36.3053000000004</c:v>
                </c:pt>
                <c:pt idx="777">
                  <c:v>36.3054000000004</c:v>
                </c:pt>
                <c:pt idx="778">
                  <c:v>36.3055000000004</c:v>
                </c:pt>
                <c:pt idx="779">
                  <c:v>36.3056000000004</c:v>
                </c:pt>
                <c:pt idx="780">
                  <c:v>36.3057000000004</c:v>
                </c:pt>
                <c:pt idx="781">
                  <c:v>36.3058000000004</c:v>
                </c:pt>
                <c:pt idx="782">
                  <c:v>36.3059000000004</c:v>
                </c:pt>
                <c:pt idx="783">
                  <c:v>36.3060000000004</c:v>
                </c:pt>
                <c:pt idx="784">
                  <c:v>36.3061000000004</c:v>
                </c:pt>
                <c:pt idx="785">
                  <c:v>36.3062000000004</c:v>
                </c:pt>
                <c:pt idx="786">
                  <c:v>36.3063000000004</c:v>
                </c:pt>
                <c:pt idx="787">
                  <c:v>36.3064000000004</c:v>
                </c:pt>
                <c:pt idx="788">
                  <c:v>36.3065000000004</c:v>
                </c:pt>
                <c:pt idx="789">
                  <c:v>36.3066000000004</c:v>
                </c:pt>
                <c:pt idx="790">
                  <c:v>36.3067000000004</c:v>
                </c:pt>
                <c:pt idx="791">
                  <c:v>36.3068000000004</c:v>
                </c:pt>
                <c:pt idx="792">
                  <c:v>36.3069000000004</c:v>
                </c:pt>
                <c:pt idx="793">
                  <c:v>36.3070000000004</c:v>
                </c:pt>
                <c:pt idx="794">
                  <c:v>36.3071000000004</c:v>
                </c:pt>
                <c:pt idx="795">
                  <c:v>36.3072000000004</c:v>
                </c:pt>
                <c:pt idx="796">
                  <c:v>36.3073000000004</c:v>
                </c:pt>
                <c:pt idx="797">
                  <c:v>36.3074000000005</c:v>
                </c:pt>
                <c:pt idx="798">
                  <c:v>36.3075000000005</c:v>
                </c:pt>
                <c:pt idx="799">
                  <c:v>36.3076000000005</c:v>
                </c:pt>
                <c:pt idx="800">
                  <c:v>36.3077000000005</c:v>
                </c:pt>
                <c:pt idx="801">
                  <c:v>36.3078000000005</c:v>
                </c:pt>
                <c:pt idx="802">
                  <c:v>36.3079000000005</c:v>
                </c:pt>
                <c:pt idx="803">
                  <c:v>36.3080000000005</c:v>
                </c:pt>
                <c:pt idx="804">
                  <c:v>36.3081000000005</c:v>
                </c:pt>
                <c:pt idx="805">
                  <c:v>36.3082000000005</c:v>
                </c:pt>
                <c:pt idx="806">
                  <c:v>36.3083000000005</c:v>
                </c:pt>
                <c:pt idx="807">
                  <c:v>36.3084000000005</c:v>
                </c:pt>
                <c:pt idx="808">
                  <c:v>36.3085000000005</c:v>
                </c:pt>
                <c:pt idx="809">
                  <c:v>36.3086000000005</c:v>
                </c:pt>
                <c:pt idx="810">
                  <c:v>36.3087000000005</c:v>
                </c:pt>
                <c:pt idx="811">
                  <c:v>36.3088000000005</c:v>
                </c:pt>
                <c:pt idx="812">
                  <c:v>36.3089000000005</c:v>
                </c:pt>
                <c:pt idx="813">
                  <c:v>36.3090000000005</c:v>
                </c:pt>
                <c:pt idx="814">
                  <c:v>36.3091000000005</c:v>
                </c:pt>
                <c:pt idx="815">
                  <c:v>36.3092000000005</c:v>
                </c:pt>
                <c:pt idx="816">
                  <c:v>36.3093000000005</c:v>
                </c:pt>
                <c:pt idx="817">
                  <c:v>36.3094000000005</c:v>
                </c:pt>
                <c:pt idx="818">
                  <c:v>36.3095000000005</c:v>
                </c:pt>
                <c:pt idx="819">
                  <c:v>36.3096000000005</c:v>
                </c:pt>
                <c:pt idx="820">
                  <c:v>36.3097000000005</c:v>
                </c:pt>
                <c:pt idx="821">
                  <c:v>36.3098000000005</c:v>
                </c:pt>
                <c:pt idx="822">
                  <c:v>36.3099000000005</c:v>
                </c:pt>
                <c:pt idx="823">
                  <c:v>36.3100000000005</c:v>
                </c:pt>
                <c:pt idx="824">
                  <c:v>36.3101000000005</c:v>
                </c:pt>
                <c:pt idx="825">
                  <c:v>36.3102000000005</c:v>
                </c:pt>
                <c:pt idx="826">
                  <c:v>36.3103000000005</c:v>
                </c:pt>
                <c:pt idx="827">
                  <c:v>36.3104000000006</c:v>
                </c:pt>
                <c:pt idx="828">
                  <c:v>36.3105000000006</c:v>
                </c:pt>
                <c:pt idx="829">
                  <c:v>36.3106000000006</c:v>
                </c:pt>
                <c:pt idx="830">
                  <c:v>36.3107000000006</c:v>
                </c:pt>
                <c:pt idx="831">
                  <c:v>36.3108000000006</c:v>
                </c:pt>
                <c:pt idx="832">
                  <c:v>36.3109000000006</c:v>
                </c:pt>
                <c:pt idx="833">
                  <c:v>36.3110000000006</c:v>
                </c:pt>
                <c:pt idx="834">
                  <c:v>36.3111000000006</c:v>
                </c:pt>
                <c:pt idx="835">
                  <c:v>36.3112000000006</c:v>
                </c:pt>
                <c:pt idx="836">
                  <c:v>36.3113000000006</c:v>
                </c:pt>
                <c:pt idx="837">
                  <c:v>36.3114000000006</c:v>
                </c:pt>
                <c:pt idx="838">
                  <c:v>36.3115000000006</c:v>
                </c:pt>
                <c:pt idx="839">
                  <c:v>36.3116000000006</c:v>
                </c:pt>
                <c:pt idx="840">
                  <c:v>36.3117000000006</c:v>
                </c:pt>
                <c:pt idx="841">
                  <c:v>36.3118000000006</c:v>
                </c:pt>
                <c:pt idx="842">
                  <c:v>36.3119000000006</c:v>
                </c:pt>
                <c:pt idx="843">
                  <c:v>36.3120000000006</c:v>
                </c:pt>
                <c:pt idx="844">
                  <c:v>36.3121000000006</c:v>
                </c:pt>
                <c:pt idx="845">
                  <c:v>36.3122000000006</c:v>
                </c:pt>
                <c:pt idx="846">
                  <c:v>36.3123000000006</c:v>
                </c:pt>
                <c:pt idx="847">
                  <c:v>36.3124000000006</c:v>
                </c:pt>
                <c:pt idx="848">
                  <c:v>36.3125000000006</c:v>
                </c:pt>
                <c:pt idx="849">
                  <c:v>36.3126000000006</c:v>
                </c:pt>
                <c:pt idx="850">
                  <c:v>36.3127000000006</c:v>
                </c:pt>
                <c:pt idx="851">
                  <c:v>36.3128000000006</c:v>
                </c:pt>
                <c:pt idx="852">
                  <c:v>36.3129000000006</c:v>
                </c:pt>
                <c:pt idx="853">
                  <c:v>36.3130000000006</c:v>
                </c:pt>
                <c:pt idx="854">
                  <c:v>36.3131000000006</c:v>
                </c:pt>
                <c:pt idx="855">
                  <c:v>36.3132000000006</c:v>
                </c:pt>
                <c:pt idx="856">
                  <c:v>36.3133000000006</c:v>
                </c:pt>
                <c:pt idx="857">
                  <c:v>36.3134000000007</c:v>
                </c:pt>
                <c:pt idx="858">
                  <c:v>36.3135000000007</c:v>
                </c:pt>
                <c:pt idx="859">
                  <c:v>36.3136000000007</c:v>
                </c:pt>
                <c:pt idx="860">
                  <c:v>36.3137000000007</c:v>
                </c:pt>
                <c:pt idx="861">
                  <c:v>36.3138000000007</c:v>
                </c:pt>
                <c:pt idx="862">
                  <c:v>36.3139000000007</c:v>
                </c:pt>
                <c:pt idx="863">
                  <c:v>36.3140000000007</c:v>
                </c:pt>
                <c:pt idx="864">
                  <c:v>36.3141000000007</c:v>
                </c:pt>
                <c:pt idx="865">
                  <c:v>36.3142000000007</c:v>
                </c:pt>
                <c:pt idx="866">
                  <c:v>36.3143000000007</c:v>
                </c:pt>
                <c:pt idx="867">
                  <c:v>36.3144000000007</c:v>
                </c:pt>
                <c:pt idx="868">
                  <c:v>36.3145000000007</c:v>
                </c:pt>
                <c:pt idx="869">
                  <c:v>36.3146000000007</c:v>
                </c:pt>
                <c:pt idx="870">
                  <c:v>36.3147000000007</c:v>
                </c:pt>
                <c:pt idx="871">
                  <c:v>36.3148000000007</c:v>
                </c:pt>
                <c:pt idx="872">
                  <c:v>36.3149000000007</c:v>
                </c:pt>
                <c:pt idx="873">
                  <c:v>36.3150000000007</c:v>
                </c:pt>
                <c:pt idx="874">
                  <c:v>36.3151000000007</c:v>
                </c:pt>
                <c:pt idx="875">
                  <c:v>36.3152000000007</c:v>
                </c:pt>
                <c:pt idx="876">
                  <c:v>36.3153000000007</c:v>
                </c:pt>
                <c:pt idx="877">
                  <c:v>36.3154000000007</c:v>
                </c:pt>
                <c:pt idx="878">
                  <c:v>36.3155000000007</c:v>
                </c:pt>
                <c:pt idx="879">
                  <c:v>36.3156000000007</c:v>
                </c:pt>
                <c:pt idx="880">
                  <c:v>36.3157000000007</c:v>
                </c:pt>
                <c:pt idx="881">
                  <c:v>36.3158000000007</c:v>
                </c:pt>
                <c:pt idx="882">
                  <c:v>36.3159000000007</c:v>
                </c:pt>
                <c:pt idx="883">
                  <c:v>36.3160000000007</c:v>
                </c:pt>
                <c:pt idx="884">
                  <c:v>36.3161000000007</c:v>
                </c:pt>
                <c:pt idx="885">
                  <c:v>36.3162000000007</c:v>
                </c:pt>
                <c:pt idx="886">
                  <c:v>36.3163000000007</c:v>
                </c:pt>
                <c:pt idx="887">
                  <c:v>36.3164000000008</c:v>
                </c:pt>
                <c:pt idx="888">
                  <c:v>36.3165000000008</c:v>
                </c:pt>
                <c:pt idx="889">
                  <c:v>36.3166000000008</c:v>
                </c:pt>
                <c:pt idx="890">
                  <c:v>36.3167000000008</c:v>
                </c:pt>
                <c:pt idx="891">
                  <c:v>36.3168000000008</c:v>
                </c:pt>
                <c:pt idx="892">
                  <c:v>36.3169000000008</c:v>
                </c:pt>
                <c:pt idx="893">
                  <c:v>36.3170000000008</c:v>
                </c:pt>
                <c:pt idx="894">
                  <c:v>36.3171000000008</c:v>
                </c:pt>
                <c:pt idx="895">
                  <c:v>36.3172000000008</c:v>
                </c:pt>
                <c:pt idx="896">
                  <c:v>36.3173000000008</c:v>
                </c:pt>
                <c:pt idx="897">
                  <c:v>36.3174000000008</c:v>
                </c:pt>
                <c:pt idx="898">
                  <c:v>36.3175000000008</c:v>
                </c:pt>
                <c:pt idx="899">
                  <c:v>36.3176000000008</c:v>
                </c:pt>
                <c:pt idx="900">
                  <c:v>36.3177000000008</c:v>
                </c:pt>
                <c:pt idx="901">
                  <c:v>36.3178000000008</c:v>
                </c:pt>
                <c:pt idx="902">
                  <c:v>36.3179000000008</c:v>
                </c:pt>
                <c:pt idx="903">
                  <c:v>36.3180000000008</c:v>
                </c:pt>
                <c:pt idx="904">
                  <c:v>36.3181000000008</c:v>
                </c:pt>
                <c:pt idx="905">
                  <c:v>36.3182000000008</c:v>
                </c:pt>
                <c:pt idx="906">
                  <c:v>36.3183000000008</c:v>
                </c:pt>
                <c:pt idx="907">
                  <c:v>36.3184000000008</c:v>
                </c:pt>
                <c:pt idx="908">
                  <c:v>36.3185000000008</c:v>
                </c:pt>
                <c:pt idx="909">
                  <c:v>36.3186000000008</c:v>
                </c:pt>
                <c:pt idx="910">
                  <c:v>36.3187000000008</c:v>
                </c:pt>
                <c:pt idx="911">
                  <c:v>36.3188000000008</c:v>
                </c:pt>
                <c:pt idx="912">
                  <c:v>36.3189000000008</c:v>
                </c:pt>
                <c:pt idx="913">
                  <c:v>36.3190000000008</c:v>
                </c:pt>
                <c:pt idx="914">
                  <c:v>36.3191000000008</c:v>
                </c:pt>
                <c:pt idx="915">
                  <c:v>36.3192000000008</c:v>
                </c:pt>
                <c:pt idx="916">
                  <c:v>36.3193000000008</c:v>
                </c:pt>
                <c:pt idx="917">
                  <c:v>36.3194000000009</c:v>
                </c:pt>
                <c:pt idx="918">
                  <c:v>36.3195000000009</c:v>
                </c:pt>
                <c:pt idx="919">
                  <c:v>36.3196000000009</c:v>
                </c:pt>
                <c:pt idx="920">
                  <c:v>36.3197000000009</c:v>
                </c:pt>
                <c:pt idx="921">
                  <c:v>36.3198000000009</c:v>
                </c:pt>
                <c:pt idx="922">
                  <c:v>36.3199000000009</c:v>
                </c:pt>
                <c:pt idx="923">
                  <c:v>36.3200000000009</c:v>
                </c:pt>
                <c:pt idx="924">
                  <c:v>36.3201000000009</c:v>
                </c:pt>
                <c:pt idx="925">
                  <c:v>36.3202000000009</c:v>
                </c:pt>
                <c:pt idx="926">
                  <c:v>36.3203000000009</c:v>
                </c:pt>
                <c:pt idx="927">
                  <c:v>36.3204000000009</c:v>
                </c:pt>
                <c:pt idx="928">
                  <c:v>36.3205000000009</c:v>
                </c:pt>
                <c:pt idx="929">
                  <c:v>36.3206000000009</c:v>
                </c:pt>
                <c:pt idx="930">
                  <c:v>36.3207000000009</c:v>
                </c:pt>
                <c:pt idx="931">
                  <c:v>36.3208000000009</c:v>
                </c:pt>
                <c:pt idx="932">
                  <c:v>36.3209000000009</c:v>
                </c:pt>
                <c:pt idx="933">
                  <c:v>36.3210000000009</c:v>
                </c:pt>
                <c:pt idx="934">
                  <c:v>36.3211000000009</c:v>
                </c:pt>
                <c:pt idx="935">
                  <c:v>36.3212000000009</c:v>
                </c:pt>
                <c:pt idx="936">
                  <c:v>36.3213000000009</c:v>
                </c:pt>
                <c:pt idx="937">
                  <c:v>36.3214000000009</c:v>
                </c:pt>
                <c:pt idx="938">
                  <c:v>36.3215000000009</c:v>
                </c:pt>
                <c:pt idx="939">
                  <c:v>36.3216000000009</c:v>
                </c:pt>
                <c:pt idx="940">
                  <c:v>36.3217000000009</c:v>
                </c:pt>
                <c:pt idx="941">
                  <c:v>36.3218000000009</c:v>
                </c:pt>
                <c:pt idx="942">
                  <c:v>36.3219000000009</c:v>
                </c:pt>
                <c:pt idx="943">
                  <c:v>36.3220000000009</c:v>
                </c:pt>
                <c:pt idx="944">
                  <c:v>36.3221000000009</c:v>
                </c:pt>
                <c:pt idx="945">
                  <c:v>36.3222000000009</c:v>
                </c:pt>
                <c:pt idx="946">
                  <c:v>36.3223000000009</c:v>
                </c:pt>
                <c:pt idx="947">
                  <c:v>36.322400000001</c:v>
                </c:pt>
                <c:pt idx="948">
                  <c:v>36.322500000001</c:v>
                </c:pt>
                <c:pt idx="949">
                  <c:v>36.322600000001</c:v>
                </c:pt>
                <c:pt idx="950">
                  <c:v>36.322700000001</c:v>
                </c:pt>
                <c:pt idx="951">
                  <c:v>36.322800000001</c:v>
                </c:pt>
                <c:pt idx="952">
                  <c:v>36.322900000001</c:v>
                </c:pt>
                <c:pt idx="953">
                  <c:v>36.323000000001</c:v>
                </c:pt>
                <c:pt idx="954">
                  <c:v>36.323100000001</c:v>
                </c:pt>
                <c:pt idx="955">
                  <c:v>36.323200000001</c:v>
                </c:pt>
                <c:pt idx="956">
                  <c:v>36.323300000001</c:v>
                </c:pt>
                <c:pt idx="957">
                  <c:v>36.323400000001</c:v>
                </c:pt>
                <c:pt idx="958">
                  <c:v>36.323500000001</c:v>
                </c:pt>
                <c:pt idx="959">
                  <c:v>36.323600000001</c:v>
                </c:pt>
                <c:pt idx="960">
                  <c:v>36.323700000001</c:v>
                </c:pt>
                <c:pt idx="961">
                  <c:v>36.323800000001</c:v>
                </c:pt>
                <c:pt idx="962">
                  <c:v>36.323900000001</c:v>
                </c:pt>
                <c:pt idx="963">
                  <c:v>36.324000000001</c:v>
                </c:pt>
                <c:pt idx="964">
                  <c:v>36.324100000001</c:v>
                </c:pt>
                <c:pt idx="965">
                  <c:v>36.324200000001</c:v>
                </c:pt>
                <c:pt idx="966">
                  <c:v>36.324300000001</c:v>
                </c:pt>
                <c:pt idx="967">
                  <c:v>36.324400000001</c:v>
                </c:pt>
                <c:pt idx="968">
                  <c:v>36.324500000001</c:v>
                </c:pt>
                <c:pt idx="969">
                  <c:v>36.324600000001</c:v>
                </c:pt>
                <c:pt idx="970">
                  <c:v>36.324700000001</c:v>
                </c:pt>
                <c:pt idx="971">
                  <c:v>36.324800000001</c:v>
                </c:pt>
                <c:pt idx="972">
                  <c:v>36.324900000001</c:v>
                </c:pt>
                <c:pt idx="973">
                  <c:v>36.325000000001</c:v>
                </c:pt>
                <c:pt idx="974">
                  <c:v>36.325100000001</c:v>
                </c:pt>
                <c:pt idx="975">
                  <c:v>36.325200000001</c:v>
                </c:pt>
                <c:pt idx="976">
                  <c:v>36.325300000001</c:v>
                </c:pt>
                <c:pt idx="977">
                  <c:v>36.325400000001</c:v>
                </c:pt>
                <c:pt idx="978">
                  <c:v>36.3255000000011</c:v>
                </c:pt>
                <c:pt idx="979">
                  <c:v>36.3256000000011</c:v>
                </c:pt>
                <c:pt idx="980">
                  <c:v>36.3257000000011</c:v>
                </c:pt>
                <c:pt idx="981">
                  <c:v>36.3258000000011</c:v>
                </c:pt>
                <c:pt idx="982">
                  <c:v>36.3259000000011</c:v>
                </c:pt>
                <c:pt idx="983">
                  <c:v>36.3260000000011</c:v>
                </c:pt>
                <c:pt idx="984">
                  <c:v>36.3261000000011</c:v>
                </c:pt>
                <c:pt idx="985">
                  <c:v>36.3262000000011</c:v>
                </c:pt>
                <c:pt idx="986">
                  <c:v>36.3263000000011</c:v>
                </c:pt>
                <c:pt idx="987">
                  <c:v>36.3264000000011</c:v>
                </c:pt>
                <c:pt idx="988">
                  <c:v>36.3265000000011</c:v>
                </c:pt>
                <c:pt idx="989">
                  <c:v>36.3266000000011</c:v>
                </c:pt>
                <c:pt idx="990">
                  <c:v>36.3267000000011</c:v>
                </c:pt>
                <c:pt idx="991">
                  <c:v>36.3268000000011</c:v>
                </c:pt>
                <c:pt idx="992">
                  <c:v>36.3269000000011</c:v>
                </c:pt>
                <c:pt idx="993">
                  <c:v>36.3270000000011</c:v>
                </c:pt>
                <c:pt idx="994">
                  <c:v>36.3271000000011</c:v>
                </c:pt>
                <c:pt idx="995">
                  <c:v>36.3272000000011</c:v>
                </c:pt>
                <c:pt idx="996">
                  <c:v>36.3273000000011</c:v>
                </c:pt>
                <c:pt idx="997">
                  <c:v>36.3274000000011</c:v>
                </c:pt>
                <c:pt idx="998">
                  <c:v>36.3275000000011</c:v>
                </c:pt>
                <c:pt idx="999">
                  <c:v>36.3276000000011</c:v>
                </c:pt>
                <c:pt idx="1000">
                  <c:v>36.3277000000011</c:v>
                </c:pt>
              </c:numCache>
            </c:numRef>
          </c:xVal>
          <c:yVal>
            <c:numRef>
              <c:f>Calculs!$W$4:$W$1004</c:f>
              <c:numCache>
                <c:formatCode>General</c:formatCode>
                <c:ptCount val="1001"/>
                <c:pt idx="0">
                  <c:v>0</c:v>
                </c:pt>
                <c:pt idx="1">
                  <c:v>3.44729664372215E-007</c:v>
                </c:pt>
                <c:pt idx="2">
                  <c:v>0.000201934113748484</c:v>
                </c:pt>
                <c:pt idx="3">
                  <c:v>0.00167095094790021</c:v>
                </c:pt>
                <c:pt idx="4">
                  <c:v>0.00649629253474139</c:v>
                </c:pt>
                <c:pt idx="5">
                  <c:v>0.0177936930251462</c:v>
                </c:pt>
                <c:pt idx="6">
                  <c:v>0.0371208993286663</c:v>
                </c:pt>
                <c:pt idx="7">
                  <c:v>0.0634139626215385</c:v>
                </c:pt>
                <c:pt idx="8">
                  <c:v>0.0966292951638863</c:v>
                </c:pt>
                <c:pt idx="9">
                  <c:v>0.136723020931129</c:v>
                </c:pt>
                <c:pt idx="10">
                  <c:v>0.183650979433239</c:v>
                </c:pt>
                <c:pt idx="11">
                  <c:v>0.237368729560424</c:v>
                </c:pt>
                <c:pt idx="12">
                  <c:v>0.29783155345462</c:v>
                </c:pt>
                <c:pt idx="13">
                  <c:v>0.364994460406217</c:v>
                </c:pt>
                <c:pt idx="14">
                  <c:v>0.438812190775393</c:v>
                </c:pt>
                <c:pt idx="15">
                  <c:v>0.519239219937465</c:v>
                </c:pt>
                <c:pt idx="16">
                  <c:v>0.606229762251636</c:v>
                </c:pt>
                <c:pt idx="17">
                  <c:v>0.699737775052527</c:v>
                </c:pt>
                <c:pt idx="18">
                  <c:v>0.79971696266388</c:v>
                </c:pt>
                <c:pt idx="19">
                  <c:v>0.906120780433804</c:v>
                </c:pt>
                <c:pt idx="20">
                  <c:v>1.01890243879095</c:v>
                </c:pt>
                <c:pt idx="21">
                  <c:v>1.13801490732098</c:v>
                </c:pt>
                <c:pt idx="22">
                  <c:v>1.2634109188627</c:v>
                </c:pt>
                <c:pt idx="23">
                  <c:v>1.39504297362328</c:v>
                </c:pt>
                <c:pt idx="24">
                  <c:v>1.53286334331176</c:v>
                </c:pt>
                <c:pt idx="25">
                  <c:v>1.67682407529049</c:v>
                </c:pt>
                <c:pt idx="26">
                  <c:v>1.82687699674358</c:v>
                </c:pt>
                <c:pt idx="27">
                  <c:v>1.98297371886187</c:v>
                </c:pt>
                <c:pt idx="28">
                  <c:v>2.14506564104382</c:v>
                </c:pt>
                <c:pt idx="29">
                  <c:v>2.3131039551115</c:v>
                </c:pt>
                <c:pt idx="30">
                  <c:v>2.48703964954124</c:v>
                </c:pt>
                <c:pt idx="31">
                  <c:v>2.66682351370819</c:v>
                </c:pt>
                <c:pt idx="32">
                  <c:v>2.85240614214412</c:v>
                </c:pt>
                <c:pt idx="33">
                  <c:v>3.04373900229175</c:v>
                </c:pt>
                <c:pt idx="34">
                  <c:v>3.24077355685992</c:v>
                </c:pt>
                <c:pt idx="35">
                  <c:v>3.44345999373694</c:v>
                </c:pt>
                <c:pt idx="36">
                  <c:v>3.6517483187026</c:v>
                </c:pt>
                <c:pt idx="37">
                  <c:v>3.86558835994746</c:v>
                </c:pt>
                <c:pt idx="38">
                  <c:v>4.08492977259485</c:v>
                </c:pt>
                <c:pt idx="39">
                  <c:v>4.30972204321561</c:v>
                </c:pt>
                <c:pt idx="40">
                  <c:v>4.53991449433655</c:v>
                </c:pt>
                <c:pt idx="41">
                  <c:v>4.77545628894352</c:v>
                </c:pt>
                <c:pt idx="42">
                  <c:v>5.01629643497966</c:v>
                </c:pt>
                <c:pt idx="43">
                  <c:v>5.26238378983936</c:v>
                </c:pt>
                <c:pt idx="44">
                  <c:v>5.51366706485828</c:v>
                </c:pt>
                <c:pt idx="45">
                  <c:v>5.77009482979961</c:v>
                </c:pt>
                <c:pt idx="46">
                  <c:v>6.03161551733683</c:v>
                </c:pt>
                <c:pt idx="47">
                  <c:v>6.29817742753283</c:v>
                </c:pt>
                <c:pt idx="48">
                  <c:v>6.56972873231556</c:v>
                </c:pt>
                <c:pt idx="49">
                  <c:v>6.84621747994997</c:v>
                </c:pt>
                <c:pt idx="50">
                  <c:v>7.12759159950626</c:v>
                </c:pt>
                <c:pt idx="51">
                  <c:v>7.41398853723136</c:v>
                </c:pt>
                <c:pt idx="52">
                  <c:v>7.70556066095949</c:v>
                </c:pt>
                <c:pt idx="53">
                  <c:v>8.00227801390779</c:v>
                </c:pt>
                <c:pt idx="54">
                  <c:v>8.30411045163556</c:v>
                </c:pt>
                <c:pt idx="55">
                  <c:v>8.61102764430111</c:v>
                </c:pt>
                <c:pt idx="56">
                  <c:v>8.92299907892943</c:v>
                </c:pt>
                <c:pt idx="57">
                  <c:v>9.23999406169098</c:v>
                </c:pt>
                <c:pt idx="58">
                  <c:v>9.56198172019114</c:v>
                </c:pt>
                <c:pt idx="59">
                  <c:v>9.88893100577038</c:v>
                </c:pt>
                <c:pt idx="60">
                  <c:v>10.220810695815</c:v>
                </c:pt>
                <c:pt idx="61">
                  <c:v>10.5575893960783</c:v>
                </c:pt>
                <c:pt idx="62">
                  <c:v>10.8992355430118</c:v>
                </c:pt>
                <c:pt idx="63">
                  <c:v>11.2457174061066</c:v>
                </c:pt>
                <c:pt idx="64">
                  <c:v>11.5970030902449</c:v>
                </c:pt>
                <c:pt idx="65">
                  <c:v>11.9530605380605</c:v>
                </c:pt>
                <c:pt idx="66">
                  <c:v>12.3138575323092</c:v>
                </c:pt>
                <c:pt idx="67">
                  <c:v>12.6793616982486</c:v>
                </c:pt>
                <c:pt idx="68">
                  <c:v>13.0495405060262</c:v>
                </c:pt>
                <c:pt idx="69">
                  <c:v>13.4243612730771</c:v>
                </c:pt>
                <c:pt idx="70">
                  <c:v>13.8037911665295</c:v>
                </c:pt>
                <c:pt idx="71">
                  <c:v>14.187797205619</c:v>
                </c:pt>
                <c:pt idx="72">
                  <c:v>14.5763462641106</c:v>
                </c:pt>
                <c:pt idx="73">
                  <c:v>14.9694050727288</c:v>
                </c:pt>
                <c:pt idx="74">
                  <c:v>15.3669402215947</c:v>
                </c:pt>
                <c:pt idx="75">
                  <c:v>15.7689181626709</c:v>
                </c:pt>
                <c:pt idx="76">
                  <c:v>16.175305212213</c:v>
                </c:pt>
                <c:pt idx="77">
                  <c:v>16.5860675532282</c:v>
                </c:pt>
                <c:pt idx="78">
                  <c:v>17.0011712379397</c:v>
                </c:pt>
                <c:pt idx="79">
                  <c:v>17.4205821902582</c:v>
                </c:pt>
                <c:pt idx="80">
                  <c:v>17.8442662082579</c:v>
                </c:pt>
                <c:pt idx="81">
                  <c:v>18.27218896666</c:v>
                </c:pt>
                <c:pt idx="82">
                  <c:v>18.7043160193196</c:v>
                </c:pt>
                <c:pt idx="83">
                  <c:v>19.1406128017187</c:v>
                </c:pt>
                <c:pt idx="84">
                  <c:v>19.5810446334639</c:v>
                </c:pt>
                <c:pt idx="85">
                  <c:v>20.0255767207881</c:v>
                </c:pt>
                <c:pt idx="86">
                  <c:v>20.4741741590568</c:v>
                </c:pt>
                <c:pt idx="87">
                  <c:v>20.926801935278</c:v>
                </c:pt>
                <c:pt idx="88">
                  <c:v>21.3834249306158</c:v>
                </c:pt>
                <c:pt idx="89">
                  <c:v>21.844007922907</c:v>
                </c:pt>
                <c:pt idx="90">
                  <c:v>22.3085155891812</c:v>
                </c:pt>
                <c:pt idx="91">
                  <c:v>22.776912508183</c:v>
                </c:pt>
                <c:pt idx="92">
                  <c:v>23.2491631628972</c:v>
                </c:pt>
                <c:pt idx="93">
                  <c:v>23.7252319430755</c:v>
                </c:pt>
                <c:pt idx="94">
                  <c:v>24.2050831477652</c:v>
                </c:pt>
                <c:pt idx="95">
                  <c:v>24.6886809878397</c:v>
                </c:pt>
                <c:pt idx="96">
                  <c:v>25.1759895885298</c:v>
                </c:pt>
                <c:pt idx="97">
                  <c:v>25.6669729919559</c:v>
                </c:pt>
                <c:pt idx="98">
                  <c:v>26.1615951596613</c:v>
                </c:pt>
                <c:pt idx="99">
                  <c:v>26.6598199751449</c:v>
                </c:pt>
                <c:pt idx="100">
                  <c:v>27.1616112463952</c:v>
                </c:pt>
                <c:pt idx="101">
                  <c:v>27.6667637769528</c:v>
                </c:pt>
                <c:pt idx="102">
                  <c:v>28.1750659796965</c:v>
                </c:pt>
                <c:pt idx="103">
                  <c:v>28.6864720833667</c:v>
                </c:pt>
                <c:pt idx="104">
                  <c:v>29.2009363064286</c:v>
                </c:pt>
                <c:pt idx="105">
                  <c:v>29.7184128603628</c:v>
                </c:pt>
                <c:pt idx="106">
                  <c:v>30.2388559529437</c:v>
                </c:pt>
                <c:pt idx="107">
                  <c:v>30.7622197915067</c:v>
                </c:pt>
                <c:pt idx="108">
                  <c:v>31.2884585862035</c:v>
                </c:pt>
                <c:pt idx="109">
                  <c:v>31.817526553245</c:v>
                </c:pt>
                <c:pt idx="110">
                  <c:v>32.3493779181308</c:v>
                </c:pt>
                <c:pt idx="111">
                  <c:v>32.8839669188664</c:v>
                </c:pt>
                <c:pt idx="112">
                  <c:v>33.4212478091668</c:v>
                </c:pt>
                <c:pt idx="113">
                  <c:v>33.9611748616455</c:v>
                </c:pt>
                <c:pt idx="114">
                  <c:v>34.5037023709908</c:v>
                </c:pt>
                <c:pt idx="115">
                  <c:v>35.0487846571258</c:v>
                </c:pt>
                <c:pt idx="116">
                  <c:v>35.5963760683549</c:v>
                </c:pt>
                <c:pt idx="117">
                  <c:v>36.1464309844946</c:v>
                </c:pt>
                <c:pt idx="118">
                  <c:v>36.6989038199887</c:v>
                </c:pt>
                <c:pt idx="119">
                  <c:v>37.2537490270076</c:v>
                </c:pt>
                <c:pt idx="120">
                  <c:v>37.8109210985318</c:v>
                </c:pt>
                <c:pt idx="121">
                  <c:v>38.3703745714184</c:v>
                </c:pt>
                <c:pt idx="122">
                  <c:v>38.9320640294511</c:v>
                </c:pt>
                <c:pt idx="123">
                  <c:v>39.4959441063726</c:v>
                </c:pt>
                <c:pt idx="124">
                  <c:v>40.0619694889003</c:v>
                </c:pt>
                <c:pt idx="125">
                  <c:v>40.6300949197235</c:v>
                </c:pt>
                <c:pt idx="126">
                  <c:v>41.2002752004828</c:v>
                </c:pt>
                <c:pt idx="127">
                  <c:v>41.7724651947314</c:v>
                </c:pt>
                <c:pt idx="128">
                  <c:v>42.3466198308774</c:v>
                </c:pt>
                <c:pt idx="129">
                  <c:v>42.9226941051071</c:v>
                </c:pt>
                <c:pt idx="130">
                  <c:v>43.5006430842895</c:v>
                </c:pt>
                <c:pt idx="131">
                  <c:v>44.0804219088611</c:v>
                </c:pt>
                <c:pt idx="132">
                  <c:v>44.6619857956906</c:v>
                </c:pt>
                <c:pt idx="133">
                  <c:v>45.2452900409242</c:v>
                </c:pt>
                <c:pt idx="134">
                  <c:v>45.8302900228099</c:v>
                </c:pt>
                <c:pt idx="135">
                  <c:v>46.4169412045019</c:v>
                </c:pt>
                <c:pt idx="136">
                  <c:v>47.0051991368437</c:v>
                </c:pt>
                <c:pt idx="137">
                  <c:v>47.5950194611305</c:v>
                </c:pt>
                <c:pt idx="138">
                  <c:v>48.1863579118498</c:v>
                </c:pt>
                <c:pt idx="139">
                  <c:v>48.7791703194012</c:v>
                </c:pt>
                <c:pt idx="140">
                  <c:v>49.3734126127936</c:v>
                </c:pt>
                <c:pt idx="141">
                  <c:v>49.9690408223209</c:v>
                </c:pt>
                <c:pt idx="142">
                  <c:v>50.5660110822158</c:v>
                </c:pt>
                <c:pt idx="143">
                  <c:v>51.1642796332799</c:v>
                </c:pt>
                <c:pt idx="144">
                  <c:v>51.7638028254926</c:v>
                </c:pt>
                <c:pt idx="145">
                  <c:v>52.3645371205962</c:v>
                </c:pt>
                <c:pt idx="146">
                  <c:v>52.9664390946583</c:v>
                </c:pt>
                <c:pt idx="147">
                  <c:v>53.5694654406109</c:v>
                </c:pt>
                <c:pt idx="148">
                  <c:v>54.1735729707656</c:v>
                </c:pt>
                <c:pt idx="149">
                  <c:v>54.778718619306</c:v>
                </c:pt>
                <c:pt idx="150">
                  <c:v>55.3848594447555</c:v>
                </c:pt>
                <c:pt idx="151">
                  <c:v>55.9920343132548</c:v>
                </c:pt>
                <c:pt idx="152">
                  <c:v>56.6002840039939</c:v>
                </c:pt>
                <c:pt idx="153">
                  <c:v>57.2095685686976</c:v>
                </c:pt>
                <c:pt idx="154">
                  <c:v>57.8198481673788</c:v>
                </c:pt>
                <c:pt idx="155">
                  <c:v>58.4310830705417</c:v>
                </c:pt>
                <c:pt idx="156">
                  <c:v>59.043233661365</c:v>
                </c:pt>
                <c:pt idx="157">
                  <c:v>59.6562604378624</c:v>
                </c:pt>
                <c:pt idx="158">
                  <c:v>60.2701240150238</c:v>
                </c:pt>
                <c:pt idx="159">
                  <c:v>60.8847851269338</c:v>
                </c:pt>
                <c:pt idx="160">
                  <c:v>61.5002046288692</c:v>
                </c:pt>
                <c:pt idx="161">
                  <c:v>62.116343499375</c:v>
                </c:pt>
                <c:pt idx="162">
                  <c:v>62.7331628423185</c:v>
                </c:pt>
                <c:pt idx="163">
                  <c:v>63.3506238889214</c:v>
                </c:pt>
                <c:pt idx="164">
                  <c:v>63.9686879997701</c:v>
                </c:pt>
                <c:pt idx="165">
                  <c:v>64.5873166668043</c:v>
                </c:pt>
                <c:pt idx="166">
                  <c:v>65.2064715152821</c:v>
                </c:pt>
                <c:pt idx="167">
                  <c:v>65.8261143057244</c:v>
                </c:pt>
                <c:pt idx="168">
                  <c:v>66.4462069358358</c:v>
                </c:pt>
                <c:pt idx="169">
                  <c:v>67.0667114424031</c:v>
                </c:pt>
                <c:pt idx="170">
                  <c:v>67.6875900031717</c:v>
                </c:pt>
                <c:pt idx="171">
                  <c:v>68.3088049386987</c:v>
                </c:pt>
                <c:pt idx="172">
                  <c:v>68.9303187141835</c:v>
                </c:pt>
                <c:pt idx="173">
                  <c:v>69.5520939412753</c:v>
                </c:pt>
                <c:pt idx="174">
                  <c:v>70.1740933798583</c:v>
                </c:pt>
                <c:pt idx="175">
                  <c:v>70.7962799398128</c:v>
                </c:pt>
                <c:pt idx="176">
                  <c:v>71.4186166827541</c:v>
                </c:pt>
                <c:pt idx="177">
                  <c:v>72.0410668237477</c:v>
                </c:pt>
                <c:pt idx="178">
                  <c:v>72.6635937330016</c:v>
                </c:pt>
                <c:pt idx="179">
                  <c:v>73.2861609375353</c:v>
                </c:pt>
                <c:pt idx="180">
                  <c:v>73.908732122825</c:v>
                </c:pt>
                <c:pt idx="181">
                  <c:v>74.531271134426</c:v>
                </c:pt>
                <c:pt idx="182">
                  <c:v>75.1537419795714</c:v>
                </c:pt>
                <c:pt idx="183">
                  <c:v>75.7761088287473</c:v>
                </c:pt>
                <c:pt idx="184">
                  <c:v>76.3983360172445</c:v>
                </c:pt>
                <c:pt idx="185">
                  <c:v>77.0203880466866</c:v>
                </c:pt>
                <c:pt idx="186">
                  <c:v>77.642229586535</c:v>
                </c:pt>
                <c:pt idx="187">
                  <c:v>78.2638254755694</c:v>
                </c:pt>
                <c:pt idx="188">
                  <c:v>78.8851407233452</c:v>
                </c:pt>
                <c:pt idx="189">
                  <c:v>79.5061405116277</c:v>
                </c:pt>
                <c:pt idx="190">
                  <c:v>80.1267901958019</c:v>
                </c:pt>
                <c:pt idx="191">
                  <c:v>80.7470553062586</c:v>
                </c:pt>
                <c:pt idx="192">
                  <c:v>81.3669015497576</c:v>
                </c:pt>
                <c:pt idx="193">
                  <c:v>81.9862948107667</c:v>
                </c:pt>
                <c:pt idx="194">
                  <c:v>82.605201152777</c:v>
                </c:pt>
                <c:pt idx="195">
                  <c:v>83.2235868195941</c:v>
                </c:pt>
                <c:pt idx="196">
                  <c:v>83.8414182366073</c:v>
                </c:pt>
                <c:pt idx="197">
                  <c:v>84.4586620120332</c:v>
                </c:pt>
                <c:pt idx="198">
                  <c:v>85.0752849381364</c:v>
                </c:pt>
                <c:pt idx="199">
                  <c:v>85.6912539924271</c:v>
                </c:pt>
                <c:pt idx="200">
                  <c:v>86.3065363388344</c:v>
                </c:pt>
                <c:pt idx="201">
                  <c:v>86.9210993288565</c:v>
                </c:pt>
                <c:pt idx="202">
                  <c:v>87.5349105026869</c:v>
                </c:pt>
                <c:pt idx="203">
                  <c:v>88.1479375903177</c:v>
                </c:pt>
                <c:pt idx="204">
                  <c:v>88.7601485126187</c:v>
                </c:pt>
                <c:pt idx="205">
                  <c:v>89.3715113823938</c:v>
                </c:pt>
                <c:pt idx="206">
                  <c:v>89.9819945054137</c:v>
                </c:pt>
                <c:pt idx="207">
                  <c:v>90.5915663814248</c:v>
                </c:pt>
                <c:pt idx="208">
                  <c:v>91.200195705136</c:v>
                </c:pt>
                <c:pt idx="209">
                  <c:v>91.8078513671808</c:v>
                </c:pt>
                <c:pt idx="210">
                  <c:v>92.4145024550575</c:v>
                </c:pt>
                <c:pt idx="211">
                  <c:v>93.0201182540453</c:v>
                </c:pt>
                <c:pt idx="212">
                  <c:v>93.6246682480981</c:v>
                </c:pt>
                <c:pt idx="213">
                  <c:v>94.228122120715</c:v>
                </c:pt>
                <c:pt idx="214">
                  <c:v>94.8304497557873</c:v>
                </c:pt>
                <c:pt idx="215">
                  <c:v>95.431621238424</c:v>
                </c:pt>
                <c:pt idx="216">
                  <c:v>96.0316068557531</c:v>
                </c:pt>
                <c:pt idx="217">
                  <c:v>96.6303770977012</c:v>
                </c:pt>
                <c:pt idx="218">
                  <c:v>97.2279026577497</c:v>
                </c:pt>
                <c:pt idx="219">
                  <c:v>97.8241544336694</c:v>
                </c:pt>
                <c:pt idx="220">
                  <c:v>98.4191035282314</c:v>
                </c:pt>
                <c:pt idx="221">
                  <c:v>99.0127212498969</c:v>
                </c:pt>
                <c:pt idx="222">
                  <c:v>99.6049791134842</c:v>
                </c:pt>
                <c:pt idx="223">
                  <c:v>100.195848840813</c:v>
                </c:pt>
                <c:pt idx="224">
                  <c:v>100.785302361327</c:v>
                </c:pt>
                <c:pt idx="225">
                  <c:v>101.373311812695</c:v>
                </c:pt>
                <c:pt idx="226">
                  <c:v>101.95984954139</c:v>
                </c:pt>
                <c:pt idx="227">
                  <c:v>102.544888103245</c:v>
                </c:pt>
                <c:pt idx="228">
                  <c:v>103.128400263991</c:v>
                </c:pt>
                <c:pt idx="229">
                  <c:v>103.710358999766</c:v>
                </c:pt>
                <c:pt idx="230">
                  <c:v>104.290737497612</c:v>
                </c:pt>
                <c:pt idx="231">
                  <c:v>104.869509155945</c:v>
                </c:pt>
                <c:pt idx="232">
                  <c:v>105.446647585001</c:v>
                </c:pt>
                <c:pt idx="233">
                  <c:v>106.02212660727</c:v>
                </c:pt>
                <c:pt idx="234">
                  <c:v>106.5959202579</c:v>
                </c:pt>
                <c:pt idx="235">
                  <c:v>107.168002785084</c:v>
                </c:pt>
                <c:pt idx="236">
                  <c:v>107.738348650428</c:v>
                </c:pt>
                <c:pt idx="237">
                  <c:v>108.306932529295</c:v>
                </c:pt>
                <c:pt idx="238">
                  <c:v>108.873729311129</c:v>
                </c:pt>
                <c:pt idx="239">
                  <c:v>109.438714099761</c:v>
                </c:pt>
                <c:pt idx="240">
                  <c:v>110.001862213693</c:v>
                </c:pt>
                <c:pt idx="241">
                  <c:v>110.563149186359</c:v>
                </c:pt>
                <c:pt idx="242">
                  <c:v>111.122550766375</c:v>
                </c:pt>
                <c:pt idx="243">
                  <c:v>111.68004291776</c:v>
                </c:pt>
                <c:pt idx="244">
                  <c:v>112.235601820138</c:v>
                </c:pt>
                <c:pt idx="245">
                  <c:v>112.789203868929</c:v>
                </c:pt>
                <c:pt idx="246">
                  <c:v>113.340825675509</c:v>
                </c:pt>
                <c:pt idx="247">
                  <c:v>113.890444067361</c:v>
                </c:pt>
                <c:pt idx="248">
                  <c:v>114.438036088197</c:v>
                </c:pt>
                <c:pt idx="249">
                  <c:v>114.983578998074</c:v>
                </c:pt>
                <c:pt idx="250">
                  <c:v>115.527050273473</c:v>
                </c:pt>
                <c:pt idx="251">
                  <c:v>116.067923058465</c:v>
                </c:pt>
                <c:pt idx="252">
                  <c:v>116.605666487284</c:v>
                </c:pt>
                <c:pt idx="253">
                  <c:v>117.140252922075</c:v>
                </c:pt>
                <c:pt idx="254">
                  <c:v>117.671655073667</c:v>
                </c:pt>
                <c:pt idx="255">
                  <c:v>118.19984600124</c:v>
                </c:pt>
                <c:pt idx="256">
                  <c:v>118.724799111978</c:v>
                </c:pt>
                <c:pt idx="257">
                  <c:v>119.246488160676</c:v>
                </c:pt>
                <c:pt idx="258">
                  <c:v>119.764887249333</c:v>
                </c:pt>
                <c:pt idx="259">
                  <c:v>120.279970826702</c:v>
                </c:pt>
                <c:pt idx="260">
                  <c:v>120.79171368782</c:v>
                </c:pt>
                <c:pt idx="261">
                  <c:v>121.300090973505</c:v>
                </c:pt>
                <c:pt idx="262">
                  <c:v>121.805078169824</c:v>
                </c:pt>
                <c:pt idx="263">
                  <c:v>122.306651107536</c:v>
                </c:pt>
                <c:pt idx="264">
                  <c:v>122.804785961509</c:v>
                </c:pt>
                <c:pt idx="265">
                  <c:v>123.299459250101</c:v>
                </c:pt>
                <c:pt idx="266">
                  <c:v>123.790647834522</c:v>
                </c:pt>
                <c:pt idx="267">
                  <c:v>124.27832891817</c:v>
                </c:pt>
                <c:pt idx="268">
                  <c:v>124.762480045934</c:v>
                </c:pt>
                <c:pt idx="269">
                  <c:v>125.243079103476</c:v>
                </c:pt>
                <c:pt idx="270">
                  <c:v>125.720104316488</c:v>
                </c:pt>
                <c:pt idx="271">
                  <c:v>126.19353424992</c:v>
                </c:pt>
                <c:pt idx="272">
                  <c:v>126.663347807188</c:v>
                </c:pt>
                <c:pt idx="273">
                  <c:v>127.129524229352</c:v>
                </c:pt>
                <c:pt idx="274">
                  <c:v>127.592043094275</c:v>
                </c:pt>
                <c:pt idx="275">
                  <c:v>128.050884315756</c:v>
                </c:pt>
                <c:pt idx="276">
                  <c:v>128.506028142638</c:v>
                </c:pt>
                <c:pt idx="277">
                  <c:v>128.957455157898</c:v>
                </c:pt>
                <c:pt idx="278">
                  <c:v>129.405146277707</c:v>
                </c:pt>
                <c:pt idx="279">
                  <c:v>129.849082750475</c:v>
                </c:pt>
                <c:pt idx="280">
                  <c:v>130.289246155866</c:v>
                </c:pt>
                <c:pt idx="281">
                  <c:v>130.725618403805</c:v>
                </c:pt>
                <c:pt idx="282">
                  <c:v>131.158181733444</c:v>
                </c:pt>
                <c:pt idx="283">
                  <c:v>131.586918712126</c:v>
                </c:pt>
                <c:pt idx="284">
                  <c:v>132.011812234318</c:v>
                </c:pt>
                <c:pt idx="285">
                  <c:v>132.432845520523</c:v>
                </c:pt>
                <c:pt idx="286">
                  <c:v>132.85000211618</c:v>
                </c:pt>
                <c:pt idx="287">
                  <c:v>133.263265890539</c:v>
                </c:pt>
                <c:pt idx="288">
                  <c:v>133.672621035515</c:v>
                </c:pt>
                <c:pt idx="289">
                  <c:v>134.078052064529</c:v>
                </c:pt>
                <c:pt idx="290">
                  <c:v>134.479543811326</c:v>
                </c:pt>
                <c:pt idx="291">
                  <c:v>134.877081428776</c:v>
                </c:pt>
                <c:pt idx="292">
                  <c:v>135.270650387661</c:v>
                </c:pt>
                <c:pt idx="293">
                  <c:v>135.660236475436</c:v>
                </c:pt>
                <c:pt idx="294">
                  <c:v>136.045825794984</c:v>
                </c:pt>
                <c:pt idx="295">
                  <c:v>136.427404763344</c:v>
                </c:pt>
                <c:pt idx="296">
                  <c:v>136.804960110431</c:v>
                </c:pt>
                <c:pt idx="297">
                  <c:v>137.178478877735</c:v>
                </c:pt>
                <c:pt idx="298">
                  <c:v>137.541942524297</c:v>
                </c:pt>
                <c:pt idx="299">
                  <c:v>137.889310000721</c:v>
                </c:pt>
                <c:pt idx="300">
                  <c:v>138.22054370737</c:v>
                </c:pt>
                <c:pt idx="301">
                  <c:v>138.535609524348</c:v>
                </c:pt>
                <c:pt idx="302">
                  <c:v>138.834476790394</c:v>
                </c:pt>
                <c:pt idx="303">
                  <c:v>139.117118281427</c:v>
                </c:pt>
                <c:pt idx="304">
                  <c:v>139.383510188757</c:v>
                </c:pt>
                <c:pt idx="305">
                  <c:v>139.633632096992</c:v>
                </c:pt>
                <c:pt idx="306">
                  <c:v>139.867466961622</c:v>
                </c:pt>
                <c:pt idx="307">
                  <c:v>140.085001086321</c:v>
                </c:pt>
                <c:pt idx="308">
                  <c:v>140.286224099969</c:v>
                </c:pt>
                <c:pt idx="309">
                  <c:v>140.4711289334</c:v>
                </c:pt>
                <c:pt idx="310">
                  <c:v>140.639711795897</c:v>
                </c:pt>
                <c:pt idx="311">
                  <c:v>140.791972151452</c:v>
                </c:pt>
                <c:pt idx="312">
                  <c:v>140.927912694779</c:v>
                </c:pt>
                <c:pt idx="313">
                  <c:v>141.047539327122</c:v>
                </c:pt>
                <c:pt idx="314">
                  <c:v>141.150861131849</c:v>
                </c:pt>
                <c:pt idx="315">
                  <c:v>141.237890349854</c:v>
                </c:pt>
                <c:pt idx="316">
                  <c:v>141.308642354771</c:v>
                </c:pt>
                <c:pt idx="317">
                  <c:v>141.363135628022</c:v>
                </c:pt>
                <c:pt idx="318">
                  <c:v>141.401391733697</c:v>
                </c:pt>
                <c:pt idx="319">
                  <c:v>141.423435293294</c:v>
                </c:pt>
                <c:pt idx="320">
                  <c:v>141.429293960312</c:v>
                </c:pt>
                <c:pt idx="321">
                  <c:v>141.421415228422</c:v>
                </c:pt>
                <c:pt idx="322">
                  <c:v>141.402244090253</c:v>
                </c:pt>
                <c:pt idx="323">
                  <c:v>141.371805210207</c:v>
                </c:pt>
                <c:pt idx="324">
                  <c:v>141.330124676775</c:v>
                </c:pt>
                <c:pt idx="325">
                  <c:v>141.277229989939</c:v>
                </c:pt>
                <c:pt idx="326">
                  <c:v>141.213150048564</c:v>
                </c:pt>
                <c:pt idx="327">
                  <c:v>141.137915137791</c:v>
                </c:pt>
                <c:pt idx="328">
                  <c:v>141.051556916433</c:v>
                </c:pt>
                <c:pt idx="329">
                  <c:v>140.954108404377</c:v>
                </c:pt>
                <c:pt idx="330">
                  <c:v>140.845603969998</c:v>
                </c:pt>
                <c:pt idx="331">
                  <c:v>140.726079317577</c:v>
                </c:pt>
                <c:pt idx="332">
                  <c:v>140.595571474744</c:v>
                </c:pt>
                <c:pt idx="333">
                  <c:v>140.454118779934</c:v>
                </c:pt>
                <c:pt idx="334">
                  <c:v>140.301760869867</c:v>
                </c:pt>
                <c:pt idx="335">
                  <c:v>140.138538667051</c:v>
                </c:pt>
                <c:pt idx="336">
                  <c:v>139.964494367313</c:v>
                </c:pt>
                <c:pt idx="337">
                  <c:v>139.779671427361</c:v>
                </c:pt>
                <c:pt idx="338">
                  <c:v>139.58411455238</c:v>
                </c:pt>
                <c:pt idx="339">
                  <c:v>139.377869683664</c:v>
                </c:pt>
                <c:pt idx="340">
                  <c:v>139.160983986282</c:v>
                </c:pt>
                <c:pt idx="341">
                  <c:v>138.933505836793</c:v>
                </c:pt>
                <c:pt idx="342">
                  <c:v>138.695484811001</c:v>
                </c:pt>
                <c:pt idx="343">
                  <c:v>138.446971671757</c:v>
                </c:pt>
                <c:pt idx="344">
                  <c:v>138.188018356808</c:v>
                </c:pt>
                <c:pt idx="345">
                  <c:v>137.918677966707</c:v>
                </c:pt>
                <c:pt idx="346">
                  <c:v>137.639004752761</c:v>
                </c:pt>
                <c:pt idx="347">
                  <c:v>137.349054105054</c:v>
                </c:pt>
                <c:pt idx="348">
                  <c:v>137.049138465254</c:v>
                </c:pt>
                <c:pt idx="349">
                  <c:v>136.739569637353</c:v>
                </c:pt>
                <c:pt idx="350">
                  <c:v>136.420403372998</c:v>
                </c:pt>
                <c:pt idx="351">
                  <c:v>136.09169640187</c:v>
                </c:pt>
                <c:pt idx="352">
                  <c:v>135.7535064212</c:v>
                </c:pt>
                <c:pt idx="353">
                  <c:v>135.405892085337</c:v>
                </c:pt>
                <c:pt idx="354">
                  <c:v>135.048912995391</c:v>
                </c:pt>
                <c:pt idx="355">
                  <c:v>134.682629688944</c:v>
                </c:pt>
                <c:pt idx="356">
                  <c:v>134.30710362983</c:v>
                </c:pt>
                <c:pt idx="357">
                  <c:v>133.922397197987</c:v>
                </c:pt>
                <c:pt idx="358">
                  <c:v>133.528573679383</c:v>
                </c:pt>
                <c:pt idx="359">
                  <c:v>133.125697256021</c:v>
                </c:pt>
                <c:pt idx="360">
                  <c:v>132.719064745206</c:v>
                </c:pt>
                <c:pt idx="361">
                  <c:v>132.313928475437</c:v>
                </c:pt>
                <c:pt idx="362">
                  <c:v>131.910281187581</c:v>
                </c:pt>
                <c:pt idx="363">
                  <c:v>131.508115667017</c:v>
                </c:pt>
                <c:pt idx="364">
                  <c:v>131.107424743307</c:v>
                </c:pt>
                <c:pt idx="365">
                  <c:v>130.708201289878</c:v>
                </c:pt>
                <c:pt idx="366">
                  <c:v>130.310438223689</c:v>
                </c:pt>
                <c:pt idx="367">
                  <c:v>129.91412850492</c:v>
                </c:pt>
                <c:pt idx="368">
                  <c:v>129.519265136651</c:v>
                </c:pt>
                <c:pt idx="369">
                  <c:v>129.125841164548</c:v>
                </c:pt>
                <c:pt idx="370">
                  <c:v>128.733849676549</c:v>
                </c:pt>
                <c:pt idx="371">
                  <c:v>128.343283802562</c:v>
                </c:pt>
                <c:pt idx="372">
                  <c:v>127.954136714151</c:v>
                </c:pt>
                <c:pt idx="373">
                  <c:v>127.566401624235</c:v>
                </c:pt>
                <c:pt idx="374">
                  <c:v>127.18007178679</c:v>
                </c:pt>
                <c:pt idx="375">
                  <c:v>126.795140496545</c:v>
                </c:pt>
                <c:pt idx="376">
                  <c:v>126.41160108869</c:v>
                </c:pt>
                <c:pt idx="377">
                  <c:v>126.02944693858</c:v>
                </c:pt>
                <c:pt idx="378">
                  <c:v>125.648671461447</c:v>
                </c:pt>
                <c:pt idx="379">
                  <c:v>125.269268112106</c:v>
                </c:pt>
                <c:pt idx="380">
                  <c:v>124.891230384676</c:v>
                </c:pt>
                <c:pt idx="381">
                  <c:v>124.514551812291</c:v>
                </c:pt>
                <c:pt idx="382">
                  <c:v>124.139225966819</c:v>
                </c:pt>
                <c:pt idx="383">
                  <c:v>123.765246458587</c:v>
                </c:pt>
                <c:pt idx="384">
                  <c:v>123.392606936099</c:v>
                </c:pt>
                <c:pt idx="385">
                  <c:v>123.021301085766</c:v>
                </c:pt>
                <c:pt idx="386">
                  <c:v>122.651322631632</c:v>
                </c:pt>
                <c:pt idx="387">
                  <c:v>122.282665335106</c:v>
                </c:pt>
                <c:pt idx="388">
                  <c:v>121.91532299469</c:v>
                </c:pt>
                <c:pt idx="389">
                  <c:v>121.549289445722</c:v>
                </c:pt>
                <c:pt idx="390">
                  <c:v>121.184558560103</c:v>
                </c:pt>
                <c:pt idx="391">
                  <c:v>120.821124246046</c:v>
                </c:pt>
                <c:pt idx="392">
                  <c:v>120.458980447809</c:v>
                </c:pt>
                <c:pt idx="393">
                  <c:v>120.098121145445</c:v>
                </c:pt>
                <c:pt idx="394">
                  <c:v>119.738540354544</c:v>
                </c:pt>
                <c:pt idx="395">
                  <c:v>119.380232125982</c:v>
                </c:pt>
                <c:pt idx="396">
                  <c:v>119.02319054567</c:v>
                </c:pt>
                <c:pt idx="397">
                  <c:v>118.667409734308</c:v>
                </c:pt>
                <c:pt idx="398">
                  <c:v>118.312883847136</c:v>
                </c:pt>
                <c:pt idx="399">
                  <c:v>117.959607073693</c:v>
                </c:pt>
                <c:pt idx="400">
                  <c:v>117.607573637574</c:v>
                </c:pt>
                <c:pt idx="401">
                  <c:v>114.127322532717</c:v>
                </c:pt>
                <c:pt idx="402">
                  <c:v>110.767538854062</c:v>
                </c:pt>
                <c:pt idx="403">
                  <c:v>107.522800920474</c:v>
                </c:pt>
                <c:pt idx="404">
                  <c:v>104.387993422682</c:v>
                </c:pt>
                <c:pt idx="405">
                  <c:v>101.358286800551</c:v>
                </c:pt>
                <c:pt idx="406">
                  <c:v>98.4291182292463</c:v>
                </c:pt>
                <c:pt idx="407">
                  <c:v>95.5961740719625</c:v>
                </c:pt>
                <c:pt idx="408">
                  <c:v>92.8553736709725</c:v>
                </c:pt>
                <c:pt idx="409">
                  <c:v>90.2028543612567</c:v>
                </c:pt>
                <c:pt idx="410">
                  <c:v>87.6349576021319</c:v>
                </c:pt>
                <c:pt idx="411">
                  <c:v>85.1482161322916</c:v>
                </c:pt>
                <c:pt idx="412">
                  <c:v>82.7393420625964</c:v>
                </c:pt>
                <c:pt idx="413">
                  <c:v>80.4052158289576</c:v>
                </c:pt>
                <c:pt idx="414">
                  <c:v>78.1428759348351</c:v>
                </c:pt>
                <c:pt idx="415">
                  <c:v>75.9495094193201</c:v>
                </c:pt>
                <c:pt idx="416">
                  <c:v>73.8224429925666</c:v>
                </c:pt>
                <c:pt idx="417">
                  <c:v>71.7591347855602</c:v>
                </c:pt>
                <c:pt idx="418">
                  <c:v>69.7571666659114</c:v>
                </c:pt>
                <c:pt idx="419">
                  <c:v>67.8142370756046</c:v>
                </c:pt>
                <c:pt idx="420">
                  <c:v>65.9281543504694</c:v>
                </c:pt>
                <c:pt idx="421">
                  <c:v>64.0968304846017</c:v>
                </c:pt>
                <c:pt idx="422">
                  <c:v>62.3182753061007</c:v>
                </c:pt>
                <c:pt idx="423">
                  <c:v>60.5905910333267</c:v>
                </c:pt>
                <c:pt idx="424">
                  <c:v>58.911967183464</c:v>
                </c:pt>
                <c:pt idx="425">
                  <c:v>57.2806758075067</c:v>
                </c:pt>
                <c:pt idx="426">
                  <c:v>55.6950670279166</c:v>
                </c:pt>
                <c:pt idx="427">
                  <c:v>54.1535648571276</c:v>
                </c:pt>
                <c:pt idx="428">
                  <c:v>52.6546632768356</c:v>
                </c:pt>
                <c:pt idx="429">
                  <c:v>51.1969225596123</c:v>
                </c:pt>
                <c:pt idx="430">
                  <c:v>49.7789658158429</c:v>
                </c:pt>
                <c:pt idx="431">
                  <c:v>48.3994757503231</c:v>
                </c:pt>
                <c:pt idx="432">
                  <c:v>47.0571916140659</c:v>
                </c:pt>
                <c:pt idx="433">
                  <c:v>45.750906337985</c:v>
                </c:pt>
                <c:pt idx="434">
                  <c:v>44.4794638361399</c:v>
                </c:pt>
                <c:pt idx="435">
                  <c:v>43.2417564671586</c:v>
                </c:pt>
                <c:pt idx="436">
                  <c:v>42.0367226433127</c:v>
                </c:pt>
                <c:pt idx="437">
                  <c:v>40.8633445774996</c:v>
                </c:pt>
                <c:pt idx="438">
                  <c:v>39.7206461591091</c:v>
                </c:pt>
                <c:pt idx="439">
                  <c:v>38.6076909504114</c:v>
                </c:pt>
                <c:pt idx="440">
                  <c:v>37.5235802957098</c:v>
                </c:pt>
                <c:pt idx="441">
                  <c:v>36.4674515360636</c:v>
                </c:pt>
                <c:pt idx="442">
                  <c:v>35.4384763228972</c:v>
                </c:pt>
                <c:pt idx="443">
                  <c:v>34.4358590242861</c:v>
                </c:pt>
                <c:pt idx="444">
                  <c:v>33.4588352181505</c:v>
                </c:pt>
                <c:pt idx="445">
                  <c:v>32.5066702669836</c:v>
                </c:pt>
                <c:pt idx="446">
                  <c:v>31.5786579691198</c:v>
                </c:pt>
                <c:pt idx="447">
                  <c:v>30.6741192818863</c:v>
                </c:pt>
                <c:pt idx="448">
                  <c:v>29.7924011123026</c:v>
                </c:pt>
                <c:pt idx="449">
                  <c:v>28.9328751712827</c:v>
                </c:pt>
                <c:pt idx="450">
                  <c:v>28.0949368875677</c:v>
                </c:pt>
                <c:pt idx="451">
                  <c:v>27.2780043778684</c:v>
                </c:pt>
                <c:pt idx="452">
                  <c:v>26.4815174699289</c:v>
                </c:pt>
                <c:pt idx="453">
                  <c:v>25.7049367754378</c:v>
                </c:pt>
                <c:pt idx="454">
                  <c:v>24.9477428099164</c:v>
                </c:pt>
                <c:pt idx="455">
                  <c:v>24.2094351568951</c:v>
                </c:pt>
                <c:pt idx="456">
                  <c:v>23.4895316738641</c:v>
                </c:pt>
                <c:pt idx="457">
                  <c:v>22.7875677376456</c:v>
                </c:pt>
                <c:pt idx="458">
                  <c:v>22.1030955269796</c:v>
                </c:pt>
                <c:pt idx="459">
                  <c:v>21.4356833402589</c:v>
                </c:pt>
                <c:pt idx="460">
                  <c:v>20.7849149464728</c:v>
                </c:pt>
                <c:pt idx="461">
                  <c:v>20.150388967544</c:v>
                </c:pt>
                <c:pt idx="462">
                  <c:v>19.5317182903498</c:v>
                </c:pt>
                <c:pt idx="463">
                  <c:v>18.9285295068263</c:v>
                </c:pt>
                <c:pt idx="464">
                  <c:v>18.3404623806504</c:v>
                </c:pt>
                <c:pt idx="465">
                  <c:v>17.7671693390835</c:v>
                </c:pt>
                <c:pt idx="466">
                  <c:v>17.2083149886476</c:v>
                </c:pt>
                <c:pt idx="467">
                  <c:v>16.6635756533814</c:v>
                </c:pt>
                <c:pt idx="468">
                  <c:v>16.1326389344971</c:v>
                </c:pt>
                <c:pt idx="469">
                  <c:v>15.6152032903303</c:v>
                </c:pt>
                <c:pt idx="470">
                  <c:v>15.1109776355355</c:v>
                </c:pt>
                <c:pt idx="471">
                  <c:v>14.6196809585431</c:v>
                </c:pt>
                <c:pt idx="472">
                  <c:v>14.1410419563468</c:v>
                </c:pt>
                <c:pt idx="473">
                  <c:v>13.6747986857463</c:v>
                </c:pt>
                <c:pt idx="474">
                  <c:v>13.220698230215</c:v>
                </c:pt>
                <c:pt idx="475">
                  <c:v>12.7784963816111</c:v>
                </c:pt>
                <c:pt idx="476">
                  <c:v>12.3479573359931</c:v>
                </c:pt>
                <c:pt idx="477">
                  <c:v>11.928853402838</c:v>
                </c:pt>
                <c:pt idx="478">
                  <c:v>11.5209647270027</c:v>
                </c:pt>
                <c:pt idx="479">
                  <c:v>11.1240790227974</c:v>
                </c:pt>
                <c:pt idx="480">
                  <c:v>10.7379913195797</c:v>
                </c:pt>
                <c:pt idx="481">
                  <c:v>10.3625037183026</c:v>
                </c:pt>
                <c:pt idx="482">
                  <c:v>9.99742515847989</c:v>
                </c:pt>
                <c:pt idx="483">
                  <c:v>9.64257119506082</c:v>
                </c:pt>
                <c:pt idx="484">
                  <c:v>9.29776378472616</c:v>
                </c:pt>
                <c:pt idx="485">
                  <c:v>8.96283108114432</c:v>
                </c:pt>
                <c:pt idx="486">
                  <c:v>8.6376072387446</c:v>
                </c:pt>
                <c:pt idx="487">
                  <c:v>8.32193222458509</c:v>
                </c:pt>
                <c:pt idx="488">
                  <c:v>8.01565163791</c:v>
                </c:pt>
                <c:pt idx="489">
                  <c:v>7.71861653700726</c:v>
                </c:pt>
                <c:pt idx="490">
                  <c:v>7.43068327299211</c:v>
                </c:pt>
                <c:pt idx="491">
                  <c:v>7.15171333015515</c:v>
                </c:pt>
                <c:pt idx="492">
                  <c:v>6.88157317252514</c:v>
                </c:pt>
                <c:pt idx="493">
                  <c:v>6.62013409630712</c:v>
                </c:pt>
                <c:pt idx="494">
                  <c:v>6.3672720878649</c:v>
                </c:pt>
                <c:pt idx="495">
                  <c:v>6.12286768692452</c:v>
                </c:pt>
                <c:pt idx="496">
                  <c:v>5.88680585468109</c:v>
                </c:pt>
                <c:pt idx="497">
                  <c:v>5.65897584649586</c:v>
                </c:pt>
                <c:pt idx="498">
                  <c:v>5.4392710888733</c:v>
                </c:pt>
                <c:pt idx="499">
                  <c:v>5.22758906040979</c:v>
                </c:pt>
                <c:pt idx="500">
                  <c:v>5.02383117640553</c:v>
                </c:pt>
                <c:pt idx="501">
                  <c:v>4.82790267683001</c:v>
                </c:pt>
                <c:pt idx="502">
                  <c:v>4.63971251732894</c:v>
                </c:pt>
                <c:pt idx="503">
                  <c:v>4.45917326295689</c:v>
                </c:pt>
                <c:pt idx="504">
                  <c:v>4.28620098431431</c:v>
                </c:pt>
                <c:pt idx="505">
                  <c:v>4.12071515576236</c:v>
                </c:pt>
                <c:pt idx="506">
                  <c:v>3.96263855538153</c:v>
                </c:pt>
                <c:pt idx="507">
                  <c:v>3.81189716633306</c:v>
                </c:pt>
                <c:pt idx="508">
                  <c:v>3.6684200792745</c:v>
                </c:pt>
                <c:pt idx="509">
                  <c:v>3.5321393954738</c:v>
                </c:pt>
                <c:pt idx="510">
                  <c:v>3.40299013025965</c:v>
                </c:pt>
                <c:pt idx="511">
                  <c:v>3.28091011644161</c:v>
                </c:pt>
                <c:pt idx="512">
                  <c:v>3.16583990733103</c:v>
                </c:pt>
                <c:pt idx="513">
                  <c:v>3.05772267899507</c:v>
                </c:pt>
                <c:pt idx="514">
                  <c:v>2.95650413138202</c:v>
                </c:pt>
                <c:pt idx="515">
                  <c:v>2.86213238796756</c:v>
                </c:pt>
                <c:pt idx="516">
                  <c:v>2.77455789359024</c:v>
                </c:pt>
                <c:pt idx="517">
                  <c:v>2.69373331017127</c:v>
                </c:pt>
                <c:pt idx="518">
                  <c:v>2.61961341005023</c:v>
                </c:pt>
                <c:pt idx="519">
                  <c:v>2.55215496671487</c:v>
                </c:pt>
                <c:pt idx="520">
                  <c:v>2.49131664276139</c:v>
                </c:pt>
                <c:pt idx="521">
                  <c:v>2.43705887499046</c:v>
                </c:pt>
                <c:pt idx="522">
                  <c:v>2.38934375662453</c:v>
                </c:pt>
                <c:pt idx="523">
                  <c:v>2.34813491672146</c:v>
                </c:pt>
                <c:pt idx="524">
                  <c:v>2.31339739695678</c:v>
                </c:pt>
                <c:pt idx="525">
                  <c:v>2.28509752604897</c:v>
                </c:pt>
                <c:pt idx="526">
                  <c:v>2.2632027922052</c:v>
                </c:pt>
                <c:pt idx="527">
                  <c:v>2.24768171406501</c:v>
                </c:pt>
                <c:pt idx="528">
                  <c:v>2.23850371071129</c:v>
                </c:pt>
                <c:pt idx="529">
                  <c:v>2.23563897139786</c:v>
                </c:pt>
                <c:pt idx="530">
                  <c:v>2.23905832570529</c:v>
                </c:pt>
                <c:pt idx="531">
                  <c:v>2.24873311487908</c:v>
                </c:pt>
                <c:pt idx="532">
                  <c:v>2.26463506512369</c:v>
                </c:pt>
                <c:pt idx="533">
                  <c:v>2.28673616362089</c:v>
                </c:pt>
                <c:pt idx="534">
                  <c:v>2.31500853801284</c:v>
                </c:pt>
                <c:pt idx="535">
                  <c:v>2.3494243400396</c:v>
                </c:pt>
                <c:pt idx="536">
                  <c:v>2.3899556339517</c:v>
                </c:pt>
                <c:pt idx="537">
                  <c:v>2.43657429023415</c:v>
                </c:pt>
                <c:pt idx="538">
                  <c:v>2.48925188508408</c:v>
                </c:pt>
                <c:pt idx="539">
                  <c:v>2.54795960598417</c:v>
                </c:pt>
                <c:pt idx="540">
                  <c:v>2.6126681636134</c:v>
                </c:pt>
                <c:pt idx="541">
                  <c:v>2.68334771023894</c:v>
                </c:pt>
                <c:pt idx="542">
                  <c:v>2.75996776464214</c:v>
                </c:pt>
                <c:pt idx="543">
                  <c:v>2.84249714354924</c:v>
                </c:pt>
                <c:pt idx="544">
                  <c:v>2.9309038994664</c:v>
                </c:pt>
                <c:pt idx="545">
                  <c:v>3.02515526475848</c:v>
                </c:pt>
                <c:pt idx="546">
                  <c:v>3.12521760176302</c:v>
                </c:pt>
                <c:pt idx="547">
                  <c:v>3.23105635869377</c:v>
                </c:pt>
                <c:pt idx="548">
                  <c:v>3.34263603106147</c:v>
                </c:pt>
                <c:pt idx="549">
                  <c:v>3.45992012832239</c:v>
                </c:pt>
                <c:pt idx="550">
                  <c:v>3.5828711454555</c:v>
                </c:pt>
                <c:pt idx="551">
                  <c:v>3.71145053916678</c:v>
                </c:pt>
                <c:pt idx="552">
                  <c:v>3.84561870842162</c:v>
                </c:pt>
                <c:pt idx="553">
                  <c:v>3.98533497901366</c:v>
                </c:pt>
                <c:pt idx="554">
                  <c:v>4.13055759188807</c:v>
                </c:pt>
                <c:pt idx="555">
                  <c:v>4.28124369495033</c:v>
                </c:pt>
                <c:pt idx="556">
                  <c:v>4.43734933810496</c:v>
                </c:pt>
                <c:pt idx="557">
                  <c:v>4.598829471284</c:v>
                </c:pt>
                <c:pt idx="558">
                  <c:v>4.7656379452396</c:v>
                </c:pt>
                <c:pt idx="559">
                  <c:v>4.93772751489079</c:v>
                </c:pt>
                <c:pt idx="560">
                  <c:v>5.11504984502876</c:v>
                </c:pt>
                <c:pt idx="561">
                  <c:v>5.29755551819955</c:v>
                </c:pt>
                <c:pt idx="562">
                  <c:v>5.48519404459632</c:v>
                </c:pt>
                <c:pt idx="563">
                  <c:v>5.67791387380607</c:v>
                </c:pt>
                <c:pt idx="564">
                  <c:v>5.87566240826779</c:v>
                </c:pt>
                <c:pt idx="565">
                  <c:v>6.07838601830946</c:v>
                </c:pt>
                <c:pt idx="566">
                  <c:v>6.28603005864207</c:v>
                </c:pt>
                <c:pt idx="567">
                  <c:v>6.49853888619749</c:v>
                </c:pt>
                <c:pt idx="568">
                  <c:v>6.71585587920604</c:v>
                </c:pt>
                <c:pt idx="569">
                  <c:v>6.93792345741676</c:v>
                </c:pt>
                <c:pt idx="570">
                  <c:v>7.16468310337091</c:v>
                </c:pt>
                <c:pt idx="571">
                  <c:v>7.39607538464529</c:v>
                </c:pt>
                <c:pt idx="572">
                  <c:v>7.63203997698769</c:v>
                </c:pt>
                <c:pt idx="573">
                  <c:v>7.87251568827224</c:v>
                </c:pt>
                <c:pt idx="574">
                  <c:v>8.11744048320683</c:v>
                </c:pt>
                <c:pt idx="575">
                  <c:v>8.36675150872935</c:v>
                </c:pt>
                <c:pt idx="576">
                  <c:v>8.620385120033</c:v>
                </c:pt>
                <c:pt idx="577">
                  <c:v>8.87827690716472</c:v>
                </c:pt>
                <c:pt idx="578">
                  <c:v>9.14036172214378</c:v>
                </c:pt>
                <c:pt idx="579">
                  <c:v>9.40657370655038</c:v>
                </c:pt>
                <c:pt idx="580">
                  <c:v>9.67684631953691</c:v>
                </c:pt>
                <c:pt idx="581">
                  <c:v>9.95111236621676</c:v>
                </c:pt>
                <c:pt idx="582">
                  <c:v>10.2293040263876</c:v>
                </c:pt>
                <c:pt idx="583">
                  <c:v>10.5113528835485</c:v>
                </c:pt>
                <c:pt idx="584">
                  <c:v>10.797189954171</c:v>
                </c:pt>
                <c:pt idx="585">
                  <c:v>11.0867457171881</c:v>
                </c:pt>
                <c:pt idx="586">
                  <c:v>11.3799501436632</c:v>
                </c:pt>
                <c:pt idx="587">
                  <c:v>11.6767327266065</c:v>
                </c:pt>
                <c:pt idx="588">
                  <c:v>11.9770225109045</c:v>
                </c:pt>
                <c:pt idx="589">
                  <c:v>12.2807481233305</c:v>
                </c:pt>
                <c:pt idx="590">
                  <c:v>12.5878378026066</c:v>
                </c:pt>
                <c:pt idx="591">
                  <c:v>12.8982194294863</c:v>
                </c:pt>
                <c:pt idx="592">
                  <c:v>13.2118205568294</c:v>
                </c:pt>
                <c:pt idx="593">
                  <c:v>13.5285684396422</c:v>
                </c:pt>
                <c:pt idx="594">
                  <c:v>13.8483900650551</c:v>
                </c:pt>
                <c:pt idx="595">
                  <c:v>14.1712121822134</c:v>
                </c:pt>
                <c:pt idx="596">
                  <c:v>14.496961332055</c:v>
                </c:pt>
                <c:pt idx="597">
                  <c:v>14.8255638769516</c:v>
                </c:pt>
                <c:pt idx="598">
                  <c:v>15.1569460301902</c:v>
                </c:pt>
                <c:pt idx="599">
                  <c:v>15.4910338852722</c:v>
                </c:pt>
                <c:pt idx="600">
                  <c:v>15.8277534450087</c:v>
                </c:pt>
                <c:pt idx="601">
                  <c:v>16.1670306503907</c:v>
                </c:pt>
                <c:pt idx="602">
                  <c:v>16.5087914092146</c:v>
                </c:pt>
                <c:pt idx="603">
                  <c:v>16.8529616244428</c:v>
                </c:pt>
                <c:pt idx="604">
                  <c:v>17.1994672222816</c:v>
                </c:pt>
                <c:pt idx="605">
                  <c:v>17.5482341799573</c:v>
                </c:pt>
                <c:pt idx="606">
                  <c:v>17.8991885531744</c:v>
                </c:pt>
                <c:pt idx="607">
                  <c:v>18.2522565032383</c:v>
                </c:pt>
                <c:pt idx="608">
                  <c:v>18.6073643238263</c:v>
                </c:pt>
                <c:pt idx="609">
                  <c:v>18.9644384673936</c:v>
                </c:pt>
                <c:pt idx="610">
                  <c:v>19.3234055711968</c:v>
                </c:pt>
                <c:pt idx="611">
                  <c:v>19.6841924829235</c:v>
                </c:pt>
                <c:pt idx="612">
                  <c:v>20.0467262859128</c:v>
                </c:pt>
                <c:pt idx="613">
                  <c:v>20.4109343239558</c:v>
                </c:pt>
                <c:pt idx="614">
                  <c:v>20.7767442256624</c:v>
                </c:pt>
                <c:pt idx="615">
                  <c:v>21.1440839283846</c:v>
                </c:pt>
                <c:pt idx="616">
                  <c:v>21.5128817016836</c:v>
                </c:pt>
                <c:pt idx="617">
                  <c:v>21.8830661703338</c:v>
                </c:pt>
                <c:pt idx="618">
                  <c:v>22.2545663368502</c:v>
                </c:pt>
                <c:pt idx="619">
                  <c:v>22.6273116035335</c:v>
                </c:pt>
                <c:pt idx="620">
                  <c:v>23.0012317940238</c:v>
                </c:pt>
                <c:pt idx="621">
                  <c:v>23.3762571743539</c:v>
                </c:pt>
                <c:pt idx="622">
                  <c:v>23.7523184734973</c:v>
                </c:pt>
                <c:pt idx="623">
                  <c:v>24.1293469034028</c:v>
                </c:pt>
                <c:pt idx="624">
                  <c:v>24.5072741785108</c:v>
                </c:pt>
                <c:pt idx="625">
                  <c:v>24.8860325347449</c:v>
                </c:pt>
                <c:pt idx="626">
                  <c:v>25.2655547479758</c:v>
                </c:pt>
                <c:pt idx="627">
                  <c:v>25.6457741519511</c:v>
                </c:pt>
                <c:pt idx="628">
                  <c:v>26.0266246556893</c:v>
                </c:pt>
                <c:pt idx="629">
                  <c:v>26.4080407603338</c:v>
                </c:pt>
                <c:pt idx="630">
                  <c:v>26.789957575465</c:v>
                </c:pt>
                <c:pt idx="631">
                  <c:v>27.1723108348674</c:v>
                </c:pt>
                <c:pt idx="632">
                  <c:v>27.5550369117516</c:v>
                </c:pt>
                <c:pt idx="633">
                  <c:v>27.9380728334285</c:v>
                </c:pt>
                <c:pt idx="634">
                  <c:v>28.3213562954375</c:v>
                </c:pt>
                <c:pt idx="635">
                  <c:v>28.7048256751255</c:v>
                </c:pt>
                <c:pt idx="636">
                  <c:v>29.0884200446799</c:v>
                </c:pt>
                <c:pt idx="637">
                  <c:v>29.472079183615</c:v>
                </c:pt>
                <c:pt idx="638">
                  <c:v>29.8557435907134</c:v>
                </c:pt>
                <c:pt idx="639">
                  <c:v>30.239354495424</c:v>
                </c:pt>
                <c:pt idx="640">
                  <c:v>30.6228538687192</c:v>
                </c:pt>
                <c:pt idx="641">
                  <c:v>31.0061844334136</c:v>
                </c:pt>
                <c:pt idx="642">
                  <c:v>31.3892896739464</c:v>
                </c:pt>
                <c:pt idx="643">
                  <c:v>31.7721138456326</c:v>
                </c:pt>
                <c:pt idx="644">
                  <c:v>32.1546019833851</c:v>
                </c:pt>
                <c:pt idx="645">
                  <c:v>32.5366999099119</c:v>
                </c:pt>
                <c:pt idx="646">
                  <c:v>32.9183542433945</c:v>
                </c:pt>
                <c:pt idx="647">
                  <c:v>33.2995124046498</c:v>
                </c:pt>
                <c:pt idx="648">
                  <c:v>33.6801226237824</c:v>
                </c:pt>
                <c:pt idx="649">
                  <c:v>34.060133946332</c:v>
                </c:pt>
                <c:pt idx="650">
                  <c:v>34.4394962389218</c:v>
                </c:pt>
                <c:pt idx="651">
                  <c:v>34.8181601944135</c:v>
                </c:pt>
                <c:pt idx="652">
                  <c:v>35.1960773365752</c:v>
                </c:pt>
                <c:pt idx="653">
                  <c:v>35.5732000242696</c:v>
                </c:pt>
                <c:pt idx="654">
                  <c:v>35.949481455168</c:v>
                </c:pt>
                <c:pt idx="655">
                  <c:v>36.3248756689971</c:v>
                </c:pt>
                <c:pt idx="656">
                  <c:v>36.6993375503277</c:v>
                </c:pt>
                <c:pt idx="657">
                  <c:v>37.0728228309097</c:v>
                </c:pt>
                <c:pt idx="658">
                  <c:v>37.4452880915636</c:v>
                </c:pt>
                <c:pt idx="659">
                  <c:v>37.8166907636348</c:v>
                </c:pt>
                <c:pt idx="660">
                  <c:v>38.1869891300195</c:v>
                </c:pt>
                <c:pt idx="661">
                  <c:v>38.5561423257695</c:v>
                </c:pt>
                <c:pt idx="662">
                  <c:v>38.9241103382845</c:v>
                </c:pt>
                <c:pt idx="663">
                  <c:v>39.2908540071009</c:v>
                </c:pt>
                <c:pt idx="664">
                  <c:v>39.6563350232846</c:v>
                </c:pt>
                <c:pt idx="665">
                  <c:v>40.0205159284371</c:v>
                </c:pt>
                <c:pt idx="666">
                  <c:v>40.3833601133232</c:v>
                </c:pt>
                <c:pt idx="667">
                  <c:v>40.7448318161295</c:v>
                </c:pt>
                <c:pt idx="668">
                  <c:v>41.1048961203622</c:v>
                </c:pt>
                <c:pt idx="669">
                  <c:v>41.4635189523941</c:v>
                </c:pt>
                <c:pt idx="670">
                  <c:v>41.8206670786678</c:v>
                </c:pt>
                <c:pt idx="671">
                  <c:v>42.1763081025668</c:v>
                </c:pt>
                <c:pt idx="672">
                  <c:v>42.5304104609612</c:v>
                </c:pt>
                <c:pt idx="673">
                  <c:v>42.8829434204391</c:v>
                </c:pt>
                <c:pt idx="674">
                  <c:v>43.2338770732312</c:v>
                </c:pt>
                <c:pt idx="675">
                  <c:v>43.5831823328389</c:v>
                </c:pt>
                <c:pt idx="676">
                  <c:v>43.9308309293748</c:v>
                </c:pt>
                <c:pt idx="677">
                  <c:v>44.2767954046243</c:v>
                </c:pt>
                <c:pt idx="678">
                  <c:v>44.6210491068378</c:v>
                </c:pt>
                <c:pt idx="679">
                  <c:v>44.963566185263</c:v>
                </c:pt>
                <c:pt idx="680">
                  <c:v>45.3043215844256</c:v>
                </c:pt>
                <c:pt idx="681">
                  <c:v>45.6432910381676</c:v>
                </c:pt>
                <c:pt idx="682">
                  <c:v>45.9804510634533</c:v>
                </c:pt>
                <c:pt idx="683">
                  <c:v>46.31577895395</c:v>
                </c:pt>
                <c:pt idx="684">
                  <c:v>46.6492527733941</c:v>
                </c:pt>
                <c:pt idx="685">
                  <c:v>46.9808513487505</c:v>
                </c:pt>
                <c:pt idx="686">
                  <c:v>47.3105542631736</c:v>
                </c:pt>
                <c:pt idx="687">
                  <c:v>47.6383418487805</c:v>
                </c:pt>
                <c:pt idx="688">
                  <c:v>47.9641951792424</c:v>
                </c:pt>
                <c:pt idx="689">
                  <c:v>48.2880960622043</c:v>
                </c:pt>
                <c:pt idx="690">
                  <c:v>48.6100270315416</c:v>
                </c:pt>
                <c:pt idx="691">
                  <c:v>48.9299713394606</c:v>
                </c:pt>
                <c:pt idx="692">
                  <c:v>49.2479129484524</c:v>
                </c:pt>
                <c:pt idx="693">
                  <c:v>49.5638365231074</c:v>
                </c:pt>
                <c:pt idx="694">
                  <c:v>49.8777274217987</c:v>
                </c:pt>
                <c:pt idx="695">
                  <c:v>50.1895716882426</c:v>
                </c:pt>
                <c:pt idx="696">
                  <c:v>50.4993560429433</c:v>
                </c:pt>
                <c:pt idx="697">
                  <c:v>50.8070678745297</c:v>
                </c:pt>
                <c:pt idx="698">
                  <c:v>51.1126952309919</c:v>
                </c:pt>
                <c:pt idx="699">
                  <c:v>51.4162268108245</c:v>
                </c:pt>
                <c:pt idx="700">
                  <c:v>51.7176519540844</c:v>
                </c:pt>
                <c:pt idx="701">
                  <c:v>52.0169606333694</c:v>
                </c:pt>
                <c:pt idx="702">
                  <c:v>52.3141434447257</c:v>
                </c:pt>
                <c:pt idx="703">
                  <c:v>52.6091915984893</c:v>
                </c:pt>
                <c:pt idx="704">
                  <c:v>52.9020969100704</c:v>
                </c:pt>
                <c:pt idx="705">
                  <c:v>53.1928517906849</c:v>
                </c:pt>
                <c:pt idx="706">
                  <c:v>53.4814492380417</c:v>
                </c:pt>
                <c:pt idx="707">
                  <c:v>53.7678828269895</c:v>
                </c:pt>
                <c:pt idx="708">
                  <c:v>54.0521467001318</c:v>
                </c:pt>
                <c:pt idx="709">
                  <c:v>54.3342355584141</c:v>
                </c:pt>
                <c:pt idx="710">
                  <c:v>54.6141446516898</c:v>
                </c:pt>
                <c:pt idx="711">
                  <c:v>54.8918697692713</c:v>
                </c:pt>
                <c:pt idx="712">
                  <c:v>55.1674072304696</c:v>
                </c:pt>
                <c:pt idx="713">
                  <c:v>55.4407538751308</c:v>
                </c:pt>
                <c:pt idx="714">
                  <c:v>55.7119070541714</c:v>
                </c:pt>
                <c:pt idx="715">
                  <c:v>55.9808646201205</c:v>
                </c:pt>
                <c:pt idx="716">
                  <c:v>56.2476249176717</c:v>
                </c:pt>
                <c:pt idx="717">
                  <c:v>56.5121867742507</c:v>
                </c:pt>
                <c:pt idx="718">
                  <c:v>56.774549490602</c:v>
                </c:pt>
                <c:pt idx="719">
                  <c:v>57.0347128314008</c:v>
                </c:pt>
                <c:pt idx="720">
                  <c:v>57.2926770158935</c:v>
                </c:pt>
                <c:pt idx="721">
                  <c:v>57.54844270857</c:v>
                </c:pt>
                <c:pt idx="722">
                  <c:v>57.8020110098746</c:v>
                </c:pt>
                <c:pt idx="723">
                  <c:v>58.0533834469562</c:v>
                </c:pt>
                <c:pt idx="724">
                  <c:v>58.05363213341</c:v>
                </c:pt>
                <c:pt idx="725">
                  <c:v>58.0538808176938</c:v>
                </c:pt>
                <c:pt idx="726">
                  <c:v>58.0541294998078</c:v>
                </c:pt>
                <c:pt idx="727">
                  <c:v>58.0543781797517</c:v>
                </c:pt>
                <c:pt idx="728">
                  <c:v>58.0546268575258</c:v>
                </c:pt>
                <c:pt idx="729">
                  <c:v>58.0548755331299</c:v>
                </c:pt>
                <c:pt idx="730">
                  <c:v>58.0551242065642</c:v>
                </c:pt>
                <c:pt idx="731">
                  <c:v>58.0553728778285</c:v>
                </c:pt>
                <c:pt idx="732">
                  <c:v>58.0556215469229</c:v>
                </c:pt>
                <c:pt idx="733">
                  <c:v>58.0558702138473</c:v>
                </c:pt>
                <c:pt idx="734">
                  <c:v>58.0561188786019</c:v>
                </c:pt>
                <c:pt idx="735">
                  <c:v>58.0563675411865</c:v>
                </c:pt>
                <c:pt idx="736">
                  <c:v>58.0566162016013</c:v>
                </c:pt>
                <c:pt idx="737">
                  <c:v>58.0568648598461</c:v>
                </c:pt>
                <c:pt idx="738">
                  <c:v>58.057113515921</c:v>
                </c:pt>
                <c:pt idx="739">
                  <c:v>58.0573621698261</c:v>
                </c:pt>
                <c:pt idx="740">
                  <c:v>58.0576108215612</c:v>
                </c:pt>
                <c:pt idx="741">
                  <c:v>58.0578594711264</c:v>
                </c:pt>
                <c:pt idx="742">
                  <c:v>58.0581081185217</c:v>
                </c:pt>
                <c:pt idx="743">
                  <c:v>58.0583567637472</c:v>
                </c:pt>
                <c:pt idx="744">
                  <c:v>58.0586054068027</c:v>
                </c:pt>
                <c:pt idx="745">
                  <c:v>58.0588540476884</c:v>
                </c:pt>
                <c:pt idx="746">
                  <c:v>58.0591026864042</c:v>
                </c:pt>
                <c:pt idx="747">
                  <c:v>58.0593513229501</c:v>
                </c:pt>
                <c:pt idx="748">
                  <c:v>58.0595999573261</c:v>
                </c:pt>
                <c:pt idx="749">
                  <c:v>58.0598485895323</c:v>
                </c:pt>
                <c:pt idx="750">
                  <c:v>58.0600972195685</c:v>
                </c:pt>
                <c:pt idx="751">
                  <c:v>58.0603458474349</c:v>
                </c:pt>
                <c:pt idx="752">
                  <c:v>58.0605944731314</c:v>
                </c:pt>
                <c:pt idx="753">
                  <c:v>58.0608430966581</c:v>
                </c:pt>
                <c:pt idx="754">
                  <c:v>58.0610917180148</c:v>
                </c:pt>
                <c:pt idx="755">
                  <c:v>58.0613403372017</c:v>
                </c:pt>
                <c:pt idx="756">
                  <c:v>58.0615889542188</c:v>
                </c:pt>
                <c:pt idx="757">
                  <c:v>58.061837569066</c:v>
                </c:pt>
                <c:pt idx="758">
                  <c:v>58.0620861817433</c:v>
                </c:pt>
                <c:pt idx="759">
                  <c:v>58.0623347922508</c:v>
                </c:pt>
                <c:pt idx="760">
                  <c:v>58.0625834005884</c:v>
                </c:pt>
                <c:pt idx="761">
                  <c:v>58.0628320067561</c:v>
                </c:pt>
                <c:pt idx="762">
                  <c:v>58.0630806107541</c:v>
                </c:pt>
                <c:pt idx="763">
                  <c:v>58.0633292125821</c:v>
                </c:pt>
                <c:pt idx="764">
                  <c:v>58.0635778122403</c:v>
                </c:pt>
                <c:pt idx="765">
                  <c:v>58.0638264097287</c:v>
                </c:pt>
                <c:pt idx="766">
                  <c:v>58.0640750050473</c:v>
                </c:pt>
                <c:pt idx="767">
                  <c:v>58.0643235981959</c:v>
                </c:pt>
                <c:pt idx="768">
                  <c:v>58.0645721891748</c:v>
                </c:pt>
                <c:pt idx="769">
                  <c:v>58.0648207779838</c:v>
                </c:pt>
                <c:pt idx="770">
                  <c:v>58.065069364623</c:v>
                </c:pt>
                <c:pt idx="771">
                  <c:v>58.0653179490924</c:v>
                </c:pt>
                <c:pt idx="772">
                  <c:v>58.0655665313919</c:v>
                </c:pt>
                <c:pt idx="773">
                  <c:v>58.0658151115216</c:v>
                </c:pt>
                <c:pt idx="774">
                  <c:v>58.0660636894815</c:v>
                </c:pt>
                <c:pt idx="775">
                  <c:v>58.0663122652716</c:v>
                </c:pt>
                <c:pt idx="776">
                  <c:v>58.0665608388918</c:v>
                </c:pt>
                <c:pt idx="777">
                  <c:v>58.0668094103423</c:v>
                </c:pt>
                <c:pt idx="778">
                  <c:v>58.0670579796229</c:v>
                </c:pt>
                <c:pt idx="779">
                  <c:v>58.0673065467337</c:v>
                </c:pt>
                <c:pt idx="780">
                  <c:v>58.0675551116747</c:v>
                </c:pt>
                <c:pt idx="781">
                  <c:v>58.0678036744459</c:v>
                </c:pt>
                <c:pt idx="782">
                  <c:v>58.0680522350473</c:v>
                </c:pt>
                <c:pt idx="783">
                  <c:v>58.0683007934789</c:v>
                </c:pt>
                <c:pt idx="784">
                  <c:v>58.0685493497407</c:v>
                </c:pt>
                <c:pt idx="785">
                  <c:v>58.0687979038327</c:v>
                </c:pt>
                <c:pt idx="786">
                  <c:v>58.0690464557548</c:v>
                </c:pt>
                <c:pt idx="787">
                  <c:v>58.0692950055072</c:v>
                </c:pt>
                <c:pt idx="788">
                  <c:v>58.0695435530898</c:v>
                </c:pt>
                <c:pt idx="789">
                  <c:v>58.0697920985026</c:v>
                </c:pt>
                <c:pt idx="790">
                  <c:v>58.0700406417457</c:v>
                </c:pt>
                <c:pt idx="791">
                  <c:v>58.0702891828189</c:v>
                </c:pt>
                <c:pt idx="792">
                  <c:v>58.0705377217224</c:v>
                </c:pt>
                <c:pt idx="793">
                  <c:v>58.0707862584561</c:v>
                </c:pt>
                <c:pt idx="794">
                  <c:v>58.07103479302</c:v>
                </c:pt>
                <c:pt idx="795">
                  <c:v>58.0712833254141</c:v>
                </c:pt>
                <c:pt idx="796">
                  <c:v>58.0715318556385</c:v>
                </c:pt>
                <c:pt idx="797">
                  <c:v>58.071780383693</c:v>
                </c:pt>
                <c:pt idx="798">
                  <c:v>58.0720289095778</c:v>
                </c:pt>
                <c:pt idx="799">
                  <c:v>58.0722774332929</c:v>
                </c:pt>
                <c:pt idx="800">
                  <c:v>58.0725259548382</c:v>
                </c:pt>
                <c:pt idx="801">
                  <c:v>58.0727744742137</c:v>
                </c:pt>
                <c:pt idx="802">
                  <c:v>58.0730229914194</c:v>
                </c:pt>
                <c:pt idx="803">
                  <c:v>58.0732715064554</c:v>
                </c:pt>
                <c:pt idx="804">
                  <c:v>58.0735200193217</c:v>
                </c:pt>
                <c:pt idx="805">
                  <c:v>58.0737685300182</c:v>
                </c:pt>
                <c:pt idx="806">
                  <c:v>58.0740170385449</c:v>
                </c:pt>
                <c:pt idx="807">
                  <c:v>58.0742655449019</c:v>
                </c:pt>
                <c:pt idx="808">
                  <c:v>58.0745140490891</c:v>
                </c:pt>
                <c:pt idx="809">
                  <c:v>58.0747625511066</c:v>
                </c:pt>
                <c:pt idx="810">
                  <c:v>58.0750110509544</c:v>
                </c:pt>
                <c:pt idx="811">
                  <c:v>58.0752595486324</c:v>
                </c:pt>
                <c:pt idx="812">
                  <c:v>58.0755080441407</c:v>
                </c:pt>
                <c:pt idx="813">
                  <c:v>58.0757565374792</c:v>
                </c:pt>
                <c:pt idx="814">
                  <c:v>58.076005028648</c:v>
                </c:pt>
                <c:pt idx="815">
                  <c:v>58.0762535176471</c:v>
                </c:pt>
                <c:pt idx="816">
                  <c:v>58.0765020044765</c:v>
                </c:pt>
                <c:pt idx="817">
                  <c:v>58.0767504891361</c:v>
                </c:pt>
                <c:pt idx="818">
                  <c:v>58.076998971626</c:v>
                </c:pt>
                <c:pt idx="819">
                  <c:v>58.0772474519462</c:v>
                </c:pt>
                <c:pt idx="820">
                  <c:v>58.0774959300966</c:v>
                </c:pt>
                <c:pt idx="821">
                  <c:v>58.0777444060774</c:v>
                </c:pt>
                <c:pt idx="822">
                  <c:v>58.0779928798884</c:v>
                </c:pt>
                <c:pt idx="823">
                  <c:v>58.0782413515297</c:v>
                </c:pt>
                <c:pt idx="824">
                  <c:v>58.0784898210013</c:v>
                </c:pt>
                <c:pt idx="825">
                  <c:v>58.0787382883032</c:v>
                </c:pt>
                <c:pt idx="826">
                  <c:v>58.0789867534354</c:v>
                </c:pt>
                <c:pt idx="827">
                  <c:v>58.0792352163979</c:v>
                </c:pt>
                <c:pt idx="828">
                  <c:v>58.0794836771907</c:v>
                </c:pt>
                <c:pt idx="829">
                  <c:v>58.0797321358137</c:v>
                </c:pt>
                <c:pt idx="830">
                  <c:v>58.0799805922671</c:v>
                </c:pt>
                <c:pt idx="831">
                  <c:v>58.0802290465508</c:v>
                </c:pt>
                <c:pt idx="832">
                  <c:v>58.0804774986648</c:v>
                </c:pt>
                <c:pt idx="833">
                  <c:v>58.0807259486091</c:v>
                </c:pt>
                <c:pt idx="834">
                  <c:v>58.0809743963838</c:v>
                </c:pt>
                <c:pt idx="835">
                  <c:v>58.0812228419887</c:v>
                </c:pt>
                <c:pt idx="836">
                  <c:v>58.081471285424</c:v>
                </c:pt>
                <c:pt idx="837">
                  <c:v>58.0817197266896</c:v>
                </c:pt>
                <c:pt idx="838">
                  <c:v>58.0819681657854</c:v>
                </c:pt>
                <c:pt idx="839">
                  <c:v>58.0822166027117</c:v>
                </c:pt>
                <c:pt idx="840">
                  <c:v>58.0824650374682</c:v>
                </c:pt>
                <c:pt idx="841">
                  <c:v>58.0827134700551</c:v>
                </c:pt>
                <c:pt idx="842">
                  <c:v>58.0829619004723</c:v>
                </c:pt>
                <c:pt idx="843">
                  <c:v>58.0832103287198</c:v>
                </c:pt>
                <c:pt idx="844">
                  <c:v>58.0834587547977</c:v>
                </c:pt>
                <c:pt idx="845">
                  <c:v>58.0837071787059</c:v>
                </c:pt>
                <c:pt idx="846">
                  <c:v>58.0839556004445</c:v>
                </c:pt>
                <c:pt idx="847">
                  <c:v>58.0842040200134</c:v>
                </c:pt>
                <c:pt idx="848">
                  <c:v>58.0844524374126</c:v>
                </c:pt>
                <c:pt idx="849">
                  <c:v>58.0847008526422</c:v>
                </c:pt>
                <c:pt idx="850">
                  <c:v>58.0849492657021</c:v>
                </c:pt>
                <c:pt idx="851">
                  <c:v>58.0851976765924</c:v>
                </c:pt>
                <c:pt idx="852">
                  <c:v>58.085446085313</c:v>
                </c:pt>
                <c:pt idx="853">
                  <c:v>58.085694491864</c:v>
                </c:pt>
                <c:pt idx="854">
                  <c:v>58.0859428962454</c:v>
                </c:pt>
                <c:pt idx="855">
                  <c:v>58.0861912984571</c:v>
                </c:pt>
                <c:pt idx="856">
                  <c:v>58.0864396984991</c:v>
                </c:pt>
                <c:pt idx="857">
                  <c:v>58.0866880963715</c:v>
                </c:pt>
                <c:pt idx="858">
                  <c:v>58.0869364920743</c:v>
                </c:pt>
                <c:pt idx="859">
                  <c:v>58.0871848856075</c:v>
                </c:pt>
                <c:pt idx="860">
                  <c:v>58.0874332769711</c:v>
                </c:pt>
                <c:pt idx="861">
                  <c:v>58.087681666165</c:v>
                </c:pt>
                <c:pt idx="862">
                  <c:v>58.0879300531893</c:v>
                </c:pt>
                <c:pt idx="863">
                  <c:v>58.0881784380439</c:v>
                </c:pt>
                <c:pt idx="864">
                  <c:v>58.088426820729</c:v>
                </c:pt>
                <c:pt idx="865">
                  <c:v>58.0886752012444</c:v>
                </c:pt>
                <c:pt idx="866">
                  <c:v>58.0889235795902</c:v>
                </c:pt>
                <c:pt idx="867">
                  <c:v>58.0891719557664</c:v>
                </c:pt>
                <c:pt idx="868">
                  <c:v>58.089420329773</c:v>
                </c:pt>
                <c:pt idx="869">
                  <c:v>58.08966870161</c:v>
                </c:pt>
                <c:pt idx="870">
                  <c:v>58.0899170712774</c:v>
                </c:pt>
                <c:pt idx="871">
                  <c:v>58.0901654387751</c:v>
                </c:pt>
                <c:pt idx="872">
                  <c:v>58.0904138041033</c:v>
                </c:pt>
                <c:pt idx="873">
                  <c:v>58.0906621672619</c:v>
                </c:pt>
                <c:pt idx="874">
                  <c:v>58.0909105282509</c:v>
                </c:pt>
                <c:pt idx="875">
                  <c:v>58.0911588870702</c:v>
                </c:pt>
                <c:pt idx="876">
                  <c:v>58.09140724372</c:v>
                </c:pt>
                <c:pt idx="877">
                  <c:v>58.0916555982002</c:v>
                </c:pt>
                <c:pt idx="878">
                  <c:v>58.0919039505109</c:v>
                </c:pt>
                <c:pt idx="879">
                  <c:v>58.0921523006519</c:v>
                </c:pt>
                <c:pt idx="880">
                  <c:v>58.0924006486233</c:v>
                </c:pt>
                <c:pt idx="881">
                  <c:v>58.0926489944252</c:v>
                </c:pt>
                <c:pt idx="882">
                  <c:v>58.0928973380575</c:v>
                </c:pt>
                <c:pt idx="883">
                  <c:v>58.0931456795202</c:v>
                </c:pt>
                <c:pt idx="884">
                  <c:v>58.0933940188133</c:v>
                </c:pt>
                <c:pt idx="885">
                  <c:v>58.0936423559368</c:v>
                </c:pt>
                <c:pt idx="886">
                  <c:v>58.0938906908909</c:v>
                </c:pt>
                <c:pt idx="887">
                  <c:v>58.0941390236753</c:v>
                </c:pt>
                <c:pt idx="888">
                  <c:v>58.0943873542902</c:v>
                </c:pt>
                <c:pt idx="889">
                  <c:v>58.0946356827354</c:v>
                </c:pt>
                <c:pt idx="890">
                  <c:v>58.0948840090112</c:v>
                </c:pt>
                <c:pt idx="891">
                  <c:v>58.0951323331174</c:v>
                </c:pt>
                <c:pt idx="892">
                  <c:v>58.095380655054</c:v>
                </c:pt>
                <c:pt idx="893">
                  <c:v>58.0956289748211</c:v>
                </c:pt>
                <c:pt idx="894">
                  <c:v>58.0958772924186</c:v>
                </c:pt>
                <c:pt idx="895">
                  <c:v>58.0961256078465</c:v>
                </c:pt>
                <c:pt idx="896">
                  <c:v>58.096373921105</c:v>
                </c:pt>
                <c:pt idx="897">
                  <c:v>58.0966222321938</c:v>
                </c:pt>
                <c:pt idx="898">
                  <c:v>58.0968705411132</c:v>
                </c:pt>
                <c:pt idx="899">
                  <c:v>58.097118847863</c:v>
                </c:pt>
                <c:pt idx="900">
                  <c:v>58.0973671524433</c:v>
                </c:pt>
                <c:pt idx="901">
                  <c:v>58.097615454854</c:v>
                </c:pt>
                <c:pt idx="902">
                  <c:v>58.0978637550952</c:v>
                </c:pt>
                <c:pt idx="903">
                  <c:v>58.0981120531669</c:v>
                </c:pt>
                <c:pt idx="904">
                  <c:v>58.098360349069</c:v>
                </c:pt>
                <c:pt idx="905">
                  <c:v>58.0986086428016</c:v>
                </c:pt>
                <c:pt idx="906">
                  <c:v>58.0988569343647</c:v>
                </c:pt>
                <c:pt idx="907">
                  <c:v>58.0991052237583</c:v>
                </c:pt>
                <c:pt idx="908">
                  <c:v>58.0993535109823</c:v>
                </c:pt>
                <c:pt idx="909">
                  <c:v>58.0996017960368</c:v>
                </c:pt>
                <c:pt idx="910">
                  <c:v>58.0998500789218</c:v>
                </c:pt>
                <c:pt idx="911">
                  <c:v>58.1000983596373</c:v>
                </c:pt>
                <c:pt idx="912">
                  <c:v>58.1003466381833</c:v>
                </c:pt>
                <c:pt idx="913">
                  <c:v>58.1005949145598</c:v>
                </c:pt>
                <c:pt idx="914">
                  <c:v>58.1008431887668</c:v>
                </c:pt>
                <c:pt idx="915">
                  <c:v>58.1010914608043</c:v>
                </c:pt>
                <c:pt idx="916">
                  <c:v>58.1013397306722</c:v>
                </c:pt>
                <c:pt idx="917">
                  <c:v>58.1015879983707</c:v>
                </c:pt>
                <c:pt idx="918">
                  <c:v>58.1018362638997</c:v>
                </c:pt>
                <c:pt idx="919">
                  <c:v>58.1020845272592</c:v>
                </c:pt>
                <c:pt idx="920">
                  <c:v>58.1023327884492</c:v>
                </c:pt>
                <c:pt idx="921">
                  <c:v>58.1025810474697</c:v>
                </c:pt>
                <c:pt idx="922">
                  <c:v>58.1028293043207</c:v>
                </c:pt>
                <c:pt idx="923">
                  <c:v>58.1030775590022</c:v>
                </c:pt>
                <c:pt idx="924">
                  <c:v>58.1033258115143</c:v>
                </c:pt>
                <c:pt idx="925">
                  <c:v>58.1035740618568</c:v>
                </c:pt>
                <c:pt idx="926">
                  <c:v>58.10382231003</c:v>
                </c:pt>
                <c:pt idx="927">
                  <c:v>58.1040705560336</c:v>
                </c:pt>
                <c:pt idx="928">
                  <c:v>58.1043187998677</c:v>
                </c:pt>
                <c:pt idx="929">
                  <c:v>58.1045670415324</c:v>
                </c:pt>
                <c:pt idx="930">
                  <c:v>58.1048152810276</c:v>
                </c:pt>
                <c:pt idx="931">
                  <c:v>58.1050635183533</c:v>
                </c:pt>
                <c:pt idx="932">
                  <c:v>58.1053117535097</c:v>
                </c:pt>
                <c:pt idx="933">
                  <c:v>58.1055599864964</c:v>
                </c:pt>
                <c:pt idx="934">
                  <c:v>58.1058082173138</c:v>
                </c:pt>
                <c:pt idx="935">
                  <c:v>58.1060564459617</c:v>
                </c:pt>
                <c:pt idx="936">
                  <c:v>58.1063046724402</c:v>
                </c:pt>
                <c:pt idx="937">
                  <c:v>58.1065528967492</c:v>
                </c:pt>
                <c:pt idx="938">
                  <c:v>58.1068011188887</c:v>
                </c:pt>
                <c:pt idx="939">
                  <c:v>58.1070493388588</c:v>
                </c:pt>
                <c:pt idx="940">
                  <c:v>58.1072975566595</c:v>
                </c:pt>
                <c:pt idx="941">
                  <c:v>58.1075457722907</c:v>
                </c:pt>
                <c:pt idx="942">
                  <c:v>58.1077939857524</c:v>
                </c:pt>
                <c:pt idx="943">
                  <c:v>58.1080421970448</c:v>
                </c:pt>
                <c:pt idx="944">
                  <c:v>58.1082904061677</c:v>
                </c:pt>
                <c:pt idx="945">
                  <c:v>58.1085386131211</c:v>
                </c:pt>
                <c:pt idx="946">
                  <c:v>58.1087868179051</c:v>
                </c:pt>
                <c:pt idx="947">
                  <c:v>58.1090350205198</c:v>
                </c:pt>
                <c:pt idx="948">
                  <c:v>58.1092832209649</c:v>
                </c:pt>
                <c:pt idx="949">
                  <c:v>58.1095314192407</c:v>
                </c:pt>
                <c:pt idx="950">
                  <c:v>58.109779615347</c:v>
                </c:pt>
                <c:pt idx="951">
                  <c:v>58.1100278092839</c:v>
                </c:pt>
                <c:pt idx="952">
                  <c:v>58.1102760010514</c:v>
                </c:pt>
                <c:pt idx="953">
                  <c:v>58.1105241906495</c:v>
                </c:pt>
                <c:pt idx="954">
                  <c:v>58.1107723780781</c:v>
                </c:pt>
                <c:pt idx="955">
                  <c:v>58.1110205633374</c:v>
                </c:pt>
                <c:pt idx="956">
                  <c:v>58.1112687464272</c:v>
                </c:pt>
                <c:pt idx="957">
                  <c:v>58.1115169273476</c:v>
                </c:pt>
                <c:pt idx="958">
                  <c:v>58.1117651060987</c:v>
                </c:pt>
                <c:pt idx="959">
                  <c:v>58.1120132826803</c:v>
                </c:pt>
                <c:pt idx="960">
                  <c:v>58.1122614570925</c:v>
                </c:pt>
                <c:pt idx="961">
                  <c:v>58.1125096293353</c:v>
                </c:pt>
                <c:pt idx="962">
                  <c:v>58.1127577994088</c:v>
                </c:pt>
                <c:pt idx="963">
                  <c:v>58.1130059673129</c:v>
                </c:pt>
                <c:pt idx="964">
                  <c:v>58.1132541330475</c:v>
                </c:pt>
                <c:pt idx="965">
                  <c:v>58.1135022966127</c:v>
                </c:pt>
                <c:pt idx="966">
                  <c:v>58.1137504580086</c:v>
                </c:pt>
                <c:pt idx="967">
                  <c:v>58.1139986172351</c:v>
                </c:pt>
                <c:pt idx="968">
                  <c:v>58.1142467742922</c:v>
                </c:pt>
                <c:pt idx="969">
                  <c:v>58.11449492918</c:v>
                </c:pt>
                <c:pt idx="970">
                  <c:v>58.1147430818983</c:v>
                </c:pt>
                <c:pt idx="971">
                  <c:v>58.1149912324473</c:v>
                </c:pt>
                <c:pt idx="972">
                  <c:v>58.1152393808269</c:v>
                </c:pt>
                <c:pt idx="973">
                  <c:v>58.1154875270372</c:v>
                </c:pt>
                <c:pt idx="974">
                  <c:v>58.1157356710781</c:v>
                </c:pt>
                <c:pt idx="975">
                  <c:v>58.1159838129496</c:v>
                </c:pt>
                <c:pt idx="976">
                  <c:v>58.1162319526518</c:v>
                </c:pt>
                <c:pt idx="977">
                  <c:v>58.1164800901846</c:v>
                </c:pt>
                <c:pt idx="978">
                  <c:v>58.116728225548</c:v>
                </c:pt>
                <c:pt idx="979">
                  <c:v>58.1169763587421</c:v>
                </c:pt>
                <c:pt idx="980">
                  <c:v>58.1172244897668</c:v>
                </c:pt>
                <c:pt idx="981">
                  <c:v>58.1174726186222</c:v>
                </c:pt>
                <c:pt idx="982">
                  <c:v>58.1177207453082</c:v>
                </c:pt>
                <c:pt idx="983">
                  <c:v>58.1179688698249</c:v>
                </c:pt>
                <c:pt idx="984">
                  <c:v>58.1182169921723</c:v>
                </c:pt>
                <c:pt idx="985">
                  <c:v>58.1184651123503</c:v>
                </c:pt>
                <c:pt idx="986">
                  <c:v>58.118713230359</c:v>
                </c:pt>
                <c:pt idx="987">
                  <c:v>58.1189613461983</c:v>
                </c:pt>
                <c:pt idx="988">
                  <c:v>58.1192094598683</c:v>
                </c:pt>
                <c:pt idx="989">
                  <c:v>58.119457571369</c:v>
                </c:pt>
                <c:pt idx="990">
                  <c:v>58.1197056807003</c:v>
                </c:pt>
                <c:pt idx="991">
                  <c:v>58.1199537878623</c:v>
                </c:pt>
                <c:pt idx="992">
                  <c:v>58.120201892855</c:v>
                </c:pt>
                <c:pt idx="993">
                  <c:v>58.1204499956783</c:v>
                </c:pt>
                <c:pt idx="994">
                  <c:v>58.1206980963324</c:v>
                </c:pt>
                <c:pt idx="995">
                  <c:v>58.1209461948171</c:v>
                </c:pt>
                <c:pt idx="996">
                  <c:v>58.1211942911325</c:v>
                </c:pt>
                <c:pt idx="997">
                  <c:v>58.1214423852786</c:v>
                </c:pt>
                <c:pt idx="998">
                  <c:v>58.1216904772554</c:v>
                </c:pt>
                <c:pt idx="999">
                  <c:v>58.1219385670629</c:v>
                </c:pt>
                <c:pt idx="1000">
                  <c:v>58.122186654701</c:v>
                </c:pt>
              </c:numCache>
            </c:numRef>
          </c:yVal>
          <c:smooth val="0"/>
        </c:ser>
        <c:axId val="11577364"/>
        <c:axId val="74046363"/>
      </c:scatterChart>
      <c:valAx>
        <c:axId val="11577364"/>
        <c:scaling>
          <c:orientation val="minMax"/>
        </c:scaling>
        <c:delete val="0"/>
        <c:axPos val="b"/>
        <c:majorGridlines>
          <c:spPr>
            <a:ln w="3240">
              <a:solidFill>
                <a:srgbClr val="000000"/>
              </a:solidFill>
              <a:prstDash val="sysDash"/>
              <a:round/>
            </a:ln>
          </c:spPr>
        </c:majorGridlines>
        <c:title>
          <c:tx>
            <c:rich>
              <a:bodyPr rot="0"/>
              <a:lstStyle/>
              <a:p>
                <a:pPr>
                  <a:defRPr b="1" sz="1000" spc="-1" strike="noStrike">
                    <a:solidFill>
                      <a:srgbClr val="000000"/>
                    </a:solidFill>
                    <a:latin typeface="Arial"/>
                    <a:ea typeface="Arial"/>
                  </a:defRPr>
                </a:pPr>
                <a:r>
                  <a:rPr b="1"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200" spc="-1" strike="noStrike">
                <a:solidFill>
                  <a:srgbClr val="000000"/>
                </a:solidFill>
                <a:latin typeface="Arial"/>
                <a:ea typeface="Arial"/>
              </a:defRPr>
            </a:pPr>
          </a:p>
        </c:txPr>
        <c:crossAx val="74046363"/>
        <c:crosses val="autoZero"/>
        <c:crossBetween val="midCat"/>
      </c:valAx>
      <c:valAx>
        <c:axId val="74046363"/>
        <c:scaling>
          <c:orientation val="minMax"/>
        </c:scaling>
        <c:delete val="0"/>
        <c:axPos val="l"/>
        <c:majorGridlines>
          <c:spPr>
            <a:ln w="3240">
              <a:solidFill>
                <a:srgbClr val="000000"/>
              </a:solidFill>
              <a:prstDash val="sysDash"/>
              <a:round/>
            </a:ln>
          </c:spPr>
        </c:majorGridlines>
        <c:title>
          <c:tx>
            <c:rich>
              <a:bodyPr rot="-540000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Forces [N]</a:t>
                </a:r>
              </a:p>
            </c:rich>
          </c:tx>
          <c:layout>
            <c:manualLayout>
              <c:xMode val="edge"/>
              <c:yMode val="edge"/>
              <c:x val="0.0199810563348518"/>
              <c:y val="0.33298333114582"/>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200" spc="-1" strike="noStrike">
                <a:solidFill>
                  <a:srgbClr val="000000"/>
                </a:solidFill>
                <a:latin typeface="Arial"/>
                <a:ea typeface="Arial"/>
              </a:defRPr>
            </a:pPr>
          </a:p>
        </c:txPr>
        <c:crossAx val="11577364"/>
        <c:crosses val="autoZero"/>
        <c:crossBetween val="midCat"/>
      </c:valAx>
      <c:spPr>
        <a:noFill/>
        <a:ln w="12600">
          <a:solidFill>
            <a:srgbClr val="808080"/>
          </a:solidFill>
          <a:round/>
        </a:ln>
      </c:spPr>
    </c:plotArea>
    <c:legend>
      <c:legendPos val="r"/>
      <c:layout>
        <c:manualLayout>
          <c:xMode val="edge"/>
          <c:yMode val="edge"/>
          <c:x val="0.830189298271678"/>
          <c:y val="0.3444447944007"/>
          <c:w val="0.130503268459367"/>
          <c:h val="0.228888888888889"/>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latin typeface="Arial"/>
                <a:ea typeface="Arial"/>
              </a:defRPr>
            </a:pPr>
            <a:r>
              <a:rPr b="1" sz="1200" spc="-1" strike="noStrike">
                <a:solidFill>
                  <a:srgbClr val="000000"/>
                </a:solidFill>
                <a:latin typeface="Arial"/>
                <a:ea typeface="Arial"/>
              </a:rPr>
              <a:t>Vitesse</a:t>
            </a:r>
          </a:p>
        </c:rich>
      </c:tx>
      <c:overlay val="0"/>
      <c:spPr>
        <a:noFill/>
        <a:ln w="0">
          <a:noFill/>
        </a:ln>
      </c:spPr>
    </c:title>
    <c:autoTitleDeleted val="0"/>
    <c:plotArea>
      <c:layout>
        <c:manualLayout>
          <c:layoutTarget val="inner"/>
          <c:xMode val="edge"/>
          <c:yMode val="edge"/>
          <c:x val="0.10495692571377"/>
          <c:y val="0.0947630922693267"/>
          <c:w val="0.876099409138063"/>
          <c:h val="0.74169838561491"/>
        </c:manualLayout>
      </c:layout>
      <c:scatterChart>
        <c:scatterStyle val="line"/>
        <c:varyColors val="0"/>
        <c:ser>
          <c:idx val="0"/>
          <c:order val="0"/>
          <c:tx>
            <c:strRef>
              <c:f>Courbes!$B$140</c:f>
              <c:strCache>
                <c:ptCount val="1"/>
                <c:pt idx="0">
                  <c:v>Vitesse</c:v>
                </c:pt>
              </c:strCache>
            </c:strRef>
          </c:tx>
          <c:spPr>
            <a:solidFill>
              <a:srgbClr val="800000"/>
            </a:solidFill>
            <a:ln w="25560">
              <a:solidFill>
                <a:srgbClr val="80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34.8000000000002</c:v>
                </c:pt>
                <c:pt idx="709">
                  <c:v>34.9000000000002</c:v>
                </c:pt>
                <c:pt idx="710">
                  <c:v>35.0000000000002</c:v>
                </c:pt>
                <c:pt idx="711">
                  <c:v>35.1000000000002</c:v>
                </c:pt>
                <c:pt idx="712">
                  <c:v>35.2000000000002</c:v>
                </c:pt>
                <c:pt idx="713">
                  <c:v>35.3000000000002</c:v>
                </c:pt>
                <c:pt idx="714">
                  <c:v>35.4000000000002</c:v>
                </c:pt>
                <c:pt idx="715">
                  <c:v>35.5000000000002</c:v>
                </c:pt>
                <c:pt idx="716">
                  <c:v>35.6000000000002</c:v>
                </c:pt>
                <c:pt idx="717">
                  <c:v>35.7000000000002</c:v>
                </c:pt>
                <c:pt idx="718">
                  <c:v>35.8000000000002</c:v>
                </c:pt>
                <c:pt idx="719">
                  <c:v>35.9000000000002</c:v>
                </c:pt>
                <c:pt idx="720">
                  <c:v>36.0000000000002</c:v>
                </c:pt>
                <c:pt idx="721">
                  <c:v>36.1000000000002</c:v>
                </c:pt>
                <c:pt idx="722">
                  <c:v>36.2000000000002</c:v>
                </c:pt>
                <c:pt idx="723">
                  <c:v>36.3000000000002</c:v>
                </c:pt>
                <c:pt idx="724">
                  <c:v>36.3001000000002</c:v>
                </c:pt>
                <c:pt idx="725">
                  <c:v>36.3002000000002</c:v>
                </c:pt>
                <c:pt idx="726">
                  <c:v>36.3003000000002</c:v>
                </c:pt>
                <c:pt idx="727">
                  <c:v>36.3004000000002</c:v>
                </c:pt>
                <c:pt idx="728">
                  <c:v>36.3005000000002</c:v>
                </c:pt>
                <c:pt idx="729">
                  <c:v>36.3006000000002</c:v>
                </c:pt>
                <c:pt idx="730">
                  <c:v>36.3007000000002</c:v>
                </c:pt>
                <c:pt idx="731">
                  <c:v>36.3008000000002</c:v>
                </c:pt>
                <c:pt idx="732">
                  <c:v>36.3009000000002</c:v>
                </c:pt>
                <c:pt idx="733">
                  <c:v>36.3010000000002</c:v>
                </c:pt>
                <c:pt idx="734">
                  <c:v>36.3011000000002</c:v>
                </c:pt>
                <c:pt idx="735">
                  <c:v>36.3012000000002</c:v>
                </c:pt>
                <c:pt idx="736">
                  <c:v>36.3013000000002</c:v>
                </c:pt>
                <c:pt idx="737">
                  <c:v>36.3014000000003</c:v>
                </c:pt>
                <c:pt idx="738">
                  <c:v>36.3015000000003</c:v>
                </c:pt>
                <c:pt idx="739">
                  <c:v>36.3016000000003</c:v>
                </c:pt>
                <c:pt idx="740">
                  <c:v>36.3017000000003</c:v>
                </c:pt>
                <c:pt idx="741">
                  <c:v>36.3018000000003</c:v>
                </c:pt>
                <c:pt idx="742">
                  <c:v>36.3019000000003</c:v>
                </c:pt>
                <c:pt idx="743">
                  <c:v>36.3020000000003</c:v>
                </c:pt>
                <c:pt idx="744">
                  <c:v>36.3021000000003</c:v>
                </c:pt>
                <c:pt idx="745">
                  <c:v>36.3022000000003</c:v>
                </c:pt>
                <c:pt idx="746">
                  <c:v>36.3023000000003</c:v>
                </c:pt>
                <c:pt idx="747">
                  <c:v>36.3024000000003</c:v>
                </c:pt>
                <c:pt idx="748">
                  <c:v>36.3025000000003</c:v>
                </c:pt>
                <c:pt idx="749">
                  <c:v>36.3026000000003</c:v>
                </c:pt>
                <c:pt idx="750">
                  <c:v>36.3027000000003</c:v>
                </c:pt>
                <c:pt idx="751">
                  <c:v>36.3028000000003</c:v>
                </c:pt>
                <c:pt idx="752">
                  <c:v>36.3029000000003</c:v>
                </c:pt>
                <c:pt idx="753">
                  <c:v>36.3030000000003</c:v>
                </c:pt>
                <c:pt idx="754">
                  <c:v>36.3031000000003</c:v>
                </c:pt>
                <c:pt idx="755">
                  <c:v>36.3032000000003</c:v>
                </c:pt>
                <c:pt idx="756">
                  <c:v>36.3033000000003</c:v>
                </c:pt>
                <c:pt idx="757">
                  <c:v>36.3034000000003</c:v>
                </c:pt>
                <c:pt idx="758">
                  <c:v>36.3035000000003</c:v>
                </c:pt>
                <c:pt idx="759">
                  <c:v>36.3036000000003</c:v>
                </c:pt>
                <c:pt idx="760">
                  <c:v>36.3037000000003</c:v>
                </c:pt>
                <c:pt idx="761">
                  <c:v>36.3038000000003</c:v>
                </c:pt>
                <c:pt idx="762">
                  <c:v>36.3039000000003</c:v>
                </c:pt>
                <c:pt idx="763">
                  <c:v>36.3040000000003</c:v>
                </c:pt>
                <c:pt idx="764">
                  <c:v>36.3041000000003</c:v>
                </c:pt>
                <c:pt idx="765">
                  <c:v>36.3042000000003</c:v>
                </c:pt>
                <c:pt idx="766">
                  <c:v>36.3043000000003</c:v>
                </c:pt>
                <c:pt idx="767">
                  <c:v>36.3044000000004</c:v>
                </c:pt>
                <c:pt idx="768">
                  <c:v>36.3045000000004</c:v>
                </c:pt>
                <c:pt idx="769">
                  <c:v>36.3046000000004</c:v>
                </c:pt>
                <c:pt idx="770">
                  <c:v>36.3047000000004</c:v>
                </c:pt>
                <c:pt idx="771">
                  <c:v>36.3048000000004</c:v>
                </c:pt>
                <c:pt idx="772">
                  <c:v>36.3049000000004</c:v>
                </c:pt>
                <c:pt idx="773">
                  <c:v>36.3050000000004</c:v>
                </c:pt>
                <c:pt idx="774">
                  <c:v>36.3051000000004</c:v>
                </c:pt>
                <c:pt idx="775">
                  <c:v>36.3052000000004</c:v>
                </c:pt>
                <c:pt idx="776">
                  <c:v>36.3053000000004</c:v>
                </c:pt>
                <c:pt idx="777">
                  <c:v>36.3054000000004</c:v>
                </c:pt>
                <c:pt idx="778">
                  <c:v>36.3055000000004</c:v>
                </c:pt>
                <c:pt idx="779">
                  <c:v>36.3056000000004</c:v>
                </c:pt>
                <c:pt idx="780">
                  <c:v>36.3057000000004</c:v>
                </c:pt>
                <c:pt idx="781">
                  <c:v>36.3058000000004</c:v>
                </c:pt>
                <c:pt idx="782">
                  <c:v>36.3059000000004</c:v>
                </c:pt>
                <c:pt idx="783">
                  <c:v>36.3060000000004</c:v>
                </c:pt>
                <c:pt idx="784">
                  <c:v>36.3061000000004</c:v>
                </c:pt>
                <c:pt idx="785">
                  <c:v>36.3062000000004</c:v>
                </c:pt>
                <c:pt idx="786">
                  <c:v>36.3063000000004</c:v>
                </c:pt>
                <c:pt idx="787">
                  <c:v>36.3064000000004</c:v>
                </c:pt>
                <c:pt idx="788">
                  <c:v>36.3065000000004</c:v>
                </c:pt>
                <c:pt idx="789">
                  <c:v>36.3066000000004</c:v>
                </c:pt>
                <c:pt idx="790">
                  <c:v>36.3067000000004</c:v>
                </c:pt>
                <c:pt idx="791">
                  <c:v>36.3068000000004</c:v>
                </c:pt>
                <c:pt idx="792">
                  <c:v>36.3069000000004</c:v>
                </c:pt>
                <c:pt idx="793">
                  <c:v>36.3070000000004</c:v>
                </c:pt>
                <c:pt idx="794">
                  <c:v>36.3071000000004</c:v>
                </c:pt>
                <c:pt idx="795">
                  <c:v>36.3072000000004</c:v>
                </c:pt>
                <c:pt idx="796">
                  <c:v>36.3073000000004</c:v>
                </c:pt>
                <c:pt idx="797">
                  <c:v>36.3074000000005</c:v>
                </c:pt>
                <c:pt idx="798">
                  <c:v>36.3075000000005</c:v>
                </c:pt>
                <c:pt idx="799">
                  <c:v>36.3076000000005</c:v>
                </c:pt>
                <c:pt idx="800">
                  <c:v>36.3077000000005</c:v>
                </c:pt>
                <c:pt idx="801">
                  <c:v>36.3078000000005</c:v>
                </c:pt>
                <c:pt idx="802">
                  <c:v>36.3079000000005</c:v>
                </c:pt>
                <c:pt idx="803">
                  <c:v>36.3080000000005</c:v>
                </c:pt>
                <c:pt idx="804">
                  <c:v>36.3081000000005</c:v>
                </c:pt>
                <c:pt idx="805">
                  <c:v>36.3082000000005</c:v>
                </c:pt>
                <c:pt idx="806">
                  <c:v>36.3083000000005</c:v>
                </c:pt>
                <c:pt idx="807">
                  <c:v>36.3084000000005</c:v>
                </c:pt>
                <c:pt idx="808">
                  <c:v>36.3085000000005</c:v>
                </c:pt>
                <c:pt idx="809">
                  <c:v>36.3086000000005</c:v>
                </c:pt>
                <c:pt idx="810">
                  <c:v>36.3087000000005</c:v>
                </c:pt>
                <c:pt idx="811">
                  <c:v>36.3088000000005</c:v>
                </c:pt>
                <c:pt idx="812">
                  <c:v>36.3089000000005</c:v>
                </c:pt>
                <c:pt idx="813">
                  <c:v>36.3090000000005</c:v>
                </c:pt>
                <c:pt idx="814">
                  <c:v>36.3091000000005</c:v>
                </c:pt>
                <c:pt idx="815">
                  <c:v>36.3092000000005</c:v>
                </c:pt>
                <c:pt idx="816">
                  <c:v>36.3093000000005</c:v>
                </c:pt>
                <c:pt idx="817">
                  <c:v>36.3094000000005</c:v>
                </c:pt>
                <c:pt idx="818">
                  <c:v>36.3095000000005</c:v>
                </c:pt>
                <c:pt idx="819">
                  <c:v>36.3096000000005</c:v>
                </c:pt>
                <c:pt idx="820">
                  <c:v>36.3097000000005</c:v>
                </c:pt>
                <c:pt idx="821">
                  <c:v>36.3098000000005</c:v>
                </c:pt>
                <c:pt idx="822">
                  <c:v>36.3099000000005</c:v>
                </c:pt>
                <c:pt idx="823">
                  <c:v>36.3100000000005</c:v>
                </c:pt>
                <c:pt idx="824">
                  <c:v>36.3101000000005</c:v>
                </c:pt>
                <c:pt idx="825">
                  <c:v>36.3102000000005</c:v>
                </c:pt>
                <c:pt idx="826">
                  <c:v>36.3103000000005</c:v>
                </c:pt>
                <c:pt idx="827">
                  <c:v>36.3104000000006</c:v>
                </c:pt>
                <c:pt idx="828">
                  <c:v>36.3105000000006</c:v>
                </c:pt>
                <c:pt idx="829">
                  <c:v>36.3106000000006</c:v>
                </c:pt>
                <c:pt idx="830">
                  <c:v>36.3107000000006</c:v>
                </c:pt>
                <c:pt idx="831">
                  <c:v>36.3108000000006</c:v>
                </c:pt>
                <c:pt idx="832">
                  <c:v>36.3109000000006</c:v>
                </c:pt>
                <c:pt idx="833">
                  <c:v>36.3110000000006</c:v>
                </c:pt>
                <c:pt idx="834">
                  <c:v>36.3111000000006</c:v>
                </c:pt>
                <c:pt idx="835">
                  <c:v>36.3112000000006</c:v>
                </c:pt>
                <c:pt idx="836">
                  <c:v>36.3113000000006</c:v>
                </c:pt>
                <c:pt idx="837">
                  <c:v>36.3114000000006</c:v>
                </c:pt>
                <c:pt idx="838">
                  <c:v>36.3115000000006</c:v>
                </c:pt>
                <c:pt idx="839">
                  <c:v>36.3116000000006</c:v>
                </c:pt>
                <c:pt idx="840">
                  <c:v>36.3117000000006</c:v>
                </c:pt>
                <c:pt idx="841">
                  <c:v>36.3118000000006</c:v>
                </c:pt>
                <c:pt idx="842">
                  <c:v>36.3119000000006</c:v>
                </c:pt>
                <c:pt idx="843">
                  <c:v>36.3120000000006</c:v>
                </c:pt>
                <c:pt idx="844">
                  <c:v>36.3121000000006</c:v>
                </c:pt>
                <c:pt idx="845">
                  <c:v>36.3122000000006</c:v>
                </c:pt>
                <c:pt idx="846">
                  <c:v>36.3123000000006</c:v>
                </c:pt>
                <c:pt idx="847">
                  <c:v>36.3124000000006</c:v>
                </c:pt>
                <c:pt idx="848">
                  <c:v>36.3125000000006</c:v>
                </c:pt>
                <c:pt idx="849">
                  <c:v>36.3126000000006</c:v>
                </c:pt>
                <c:pt idx="850">
                  <c:v>36.3127000000006</c:v>
                </c:pt>
                <c:pt idx="851">
                  <c:v>36.3128000000006</c:v>
                </c:pt>
                <c:pt idx="852">
                  <c:v>36.3129000000006</c:v>
                </c:pt>
                <c:pt idx="853">
                  <c:v>36.3130000000006</c:v>
                </c:pt>
                <c:pt idx="854">
                  <c:v>36.3131000000006</c:v>
                </c:pt>
                <c:pt idx="855">
                  <c:v>36.3132000000006</c:v>
                </c:pt>
                <c:pt idx="856">
                  <c:v>36.3133000000006</c:v>
                </c:pt>
                <c:pt idx="857">
                  <c:v>36.3134000000007</c:v>
                </c:pt>
                <c:pt idx="858">
                  <c:v>36.3135000000007</c:v>
                </c:pt>
                <c:pt idx="859">
                  <c:v>36.3136000000007</c:v>
                </c:pt>
                <c:pt idx="860">
                  <c:v>36.3137000000007</c:v>
                </c:pt>
                <c:pt idx="861">
                  <c:v>36.3138000000007</c:v>
                </c:pt>
                <c:pt idx="862">
                  <c:v>36.3139000000007</c:v>
                </c:pt>
                <c:pt idx="863">
                  <c:v>36.3140000000007</c:v>
                </c:pt>
                <c:pt idx="864">
                  <c:v>36.3141000000007</c:v>
                </c:pt>
                <c:pt idx="865">
                  <c:v>36.3142000000007</c:v>
                </c:pt>
                <c:pt idx="866">
                  <c:v>36.3143000000007</c:v>
                </c:pt>
                <c:pt idx="867">
                  <c:v>36.3144000000007</c:v>
                </c:pt>
                <c:pt idx="868">
                  <c:v>36.3145000000007</c:v>
                </c:pt>
                <c:pt idx="869">
                  <c:v>36.3146000000007</c:v>
                </c:pt>
                <c:pt idx="870">
                  <c:v>36.3147000000007</c:v>
                </c:pt>
                <c:pt idx="871">
                  <c:v>36.3148000000007</c:v>
                </c:pt>
                <c:pt idx="872">
                  <c:v>36.3149000000007</c:v>
                </c:pt>
                <c:pt idx="873">
                  <c:v>36.3150000000007</c:v>
                </c:pt>
                <c:pt idx="874">
                  <c:v>36.3151000000007</c:v>
                </c:pt>
                <c:pt idx="875">
                  <c:v>36.3152000000007</c:v>
                </c:pt>
                <c:pt idx="876">
                  <c:v>36.3153000000007</c:v>
                </c:pt>
                <c:pt idx="877">
                  <c:v>36.3154000000007</c:v>
                </c:pt>
                <c:pt idx="878">
                  <c:v>36.3155000000007</c:v>
                </c:pt>
                <c:pt idx="879">
                  <c:v>36.3156000000007</c:v>
                </c:pt>
                <c:pt idx="880">
                  <c:v>36.3157000000007</c:v>
                </c:pt>
                <c:pt idx="881">
                  <c:v>36.3158000000007</c:v>
                </c:pt>
                <c:pt idx="882">
                  <c:v>36.3159000000007</c:v>
                </c:pt>
                <c:pt idx="883">
                  <c:v>36.3160000000007</c:v>
                </c:pt>
                <c:pt idx="884">
                  <c:v>36.3161000000007</c:v>
                </c:pt>
                <c:pt idx="885">
                  <c:v>36.3162000000007</c:v>
                </c:pt>
                <c:pt idx="886">
                  <c:v>36.3163000000007</c:v>
                </c:pt>
                <c:pt idx="887">
                  <c:v>36.3164000000008</c:v>
                </c:pt>
                <c:pt idx="888">
                  <c:v>36.3165000000008</c:v>
                </c:pt>
                <c:pt idx="889">
                  <c:v>36.3166000000008</c:v>
                </c:pt>
                <c:pt idx="890">
                  <c:v>36.3167000000008</c:v>
                </c:pt>
                <c:pt idx="891">
                  <c:v>36.3168000000008</c:v>
                </c:pt>
                <c:pt idx="892">
                  <c:v>36.3169000000008</c:v>
                </c:pt>
                <c:pt idx="893">
                  <c:v>36.3170000000008</c:v>
                </c:pt>
                <c:pt idx="894">
                  <c:v>36.3171000000008</c:v>
                </c:pt>
                <c:pt idx="895">
                  <c:v>36.3172000000008</c:v>
                </c:pt>
                <c:pt idx="896">
                  <c:v>36.3173000000008</c:v>
                </c:pt>
                <c:pt idx="897">
                  <c:v>36.3174000000008</c:v>
                </c:pt>
                <c:pt idx="898">
                  <c:v>36.3175000000008</c:v>
                </c:pt>
                <c:pt idx="899">
                  <c:v>36.3176000000008</c:v>
                </c:pt>
                <c:pt idx="900">
                  <c:v>36.3177000000008</c:v>
                </c:pt>
                <c:pt idx="901">
                  <c:v>36.3178000000008</c:v>
                </c:pt>
                <c:pt idx="902">
                  <c:v>36.3179000000008</c:v>
                </c:pt>
                <c:pt idx="903">
                  <c:v>36.3180000000008</c:v>
                </c:pt>
                <c:pt idx="904">
                  <c:v>36.3181000000008</c:v>
                </c:pt>
                <c:pt idx="905">
                  <c:v>36.3182000000008</c:v>
                </c:pt>
                <c:pt idx="906">
                  <c:v>36.3183000000008</c:v>
                </c:pt>
                <c:pt idx="907">
                  <c:v>36.3184000000008</c:v>
                </c:pt>
                <c:pt idx="908">
                  <c:v>36.3185000000008</c:v>
                </c:pt>
                <c:pt idx="909">
                  <c:v>36.3186000000008</c:v>
                </c:pt>
                <c:pt idx="910">
                  <c:v>36.3187000000008</c:v>
                </c:pt>
                <c:pt idx="911">
                  <c:v>36.3188000000008</c:v>
                </c:pt>
                <c:pt idx="912">
                  <c:v>36.3189000000008</c:v>
                </c:pt>
                <c:pt idx="913">
                  <c:v>36.3190000000008</c:v>
                </c:pt>
                <c:pt idx="914">
                  <c:v>36.3191000000008</c:v>
                </c:pt>
                <c:pt idx="915">
                  <c:v>36.3192000000008</c:v>
                </c:pt>
                <c:pt idx="916">
                  <c:v>36.3193000000008</c:v>
                </c:pt>
                <c:pt idx="917">
                  <c:v>36.3194000000009</c:v>
                </c:pt>
                <c:pt idx="918">
                  <c:v>36.3195000000009</c:v>
                </c:pt>
                <c:pt idx="919">
                  <c:v>36.3196000000009</c:v>
                </c:pt>
                <c:pt idx="920">
                  <c:v>36.3197000000009</c:v>
                </c:pt>
                <c:pt idx="921">
                  <c:v>36.3198000000009</c:v>
                </c:pt>
                <c:pt idx="922">
                  <c:v>36.3199000000009</c:v>
                </c:pt>
                <c:pt idx="923">
                  <c:v>36.3200000000009</c:v>
                </c:pt>
                <c:pt idx="924">
                  <c:v>36.3201000000009</c:v>
                </c:pt>
                <c:pt idx="925">
                  <c:v>36.3202000000009</c:v>
                </c:pt>
                <c:pt idx="926">
                  <c:v>36.3203000000009</c:v>
                </c:pt>
                <c:pt idx="927">
                  <c:v>36.3204000000009</c:v>
                </c:pt>
                <c:pt idx="928">
                  <c:v>36.3205000000009</c:v>
                </c:pt>
                <c:pt idx="929">
                  <c:v>36.3206000000009</c:v>
                </c:pt>
                <c:pt idx="930">
                  <c:v>36.3207000000009</c:v>
                </c:pt>
                <c:pt idx="931">
                  <c:v>36.3208000000009</c:v>
                </c:pt>
                <c:pt idx="932">
                  <c:v>36.3209000000009</c:v>
                </c:pt>
                <c:pt idx="933">
                  <c:v>36.3210000000009</c:v>
                </c:pt>
                <c:pt idx="934">
                  <c:v>36.3211000000009</c:v>
                </c:pt>
                <c:pt idx="935">
                  <c:v>36.3212000000009</c:v>
                </c:pt>
                <c:pt idx="936">
                  <c:v>36.3213000000009</c:v>
                </c:pt>
                <c:pt idx="937">
                  <c:v>36.3214000000009</c:v>
                </c:pt>
                <c:pt idx="938">
                  <c:v>36.3215000000009</c:v>
                </c:pt>
                <c:pt idx="939">
                  <c:v>36.3216000000009</c:v>
                </c:pt>
                <c:pt idx="940">
                  <c:v>36.3217000000009</c:v>
                </c:pt>
                <c:pt idx="941">
                  <c:v>36.3218000000009</c:v>
                </c:pt>
                <c:pt idx="942">
                  <c:v>36.3219000000009</c:v>
                </c:pt>
                <c:pt idx="943">
                  <c:v>36.3220000000009</c:v>
                </c:pt>
                <c:pt idx="944">
                  <c:v>36.3221000000009</c:v>
                </c:pt>
                <c:pt idx="945">
                  <c:v>36.3222000000009</c:v>
                </c:pt>
                <c:pt idx="946">
                  <c:v>36.3223000000009</c:v>
                </c:pt>
                <c:pt idx="947">
                  <c:v>36.322400000001</c:v>
                </c:pt>
                <c:pt idx="948">
                  <c:v>36.322500000001</c:v>
                </c:pt>
                <c:pt idx="949">
                  <c:v>36.322600000001</c:v>
                </c:pt>
                <c:pt idx="950">
                  <c:v>36.322700000001</c:v>
                </c:pt>
                <c:pt idx="951">
                  <c:v>36.322800000001</c:v>
                </c:pt>
                <c:pt idx="952">
                  <c:v>36.322900000001</c:v>
                </c:pt>
                <c:pt idx="953">
                  <c:v>36.323000000001</c:v>
                </c:pt>
                <c:pt idx="954">
                  <c:v>36.323100000001</c:v>
                </c:pt>
                <c:pt idx="955">
                  <c:v>36.323200000001</c:v>
                </c:pt>
                <c:pt idx="956">
                  <c:v>36.323300000001</c:v>
                </c:pt>
                <c:pt idx="957">
                  <c:v>36.323400000001</c:v>
                </c:pt>
                <c:pt idx="958">
                  <c:v>36.323500000001</c:v>
                </c:pt>
                <c:pt idx="959">
                  <c:v>36.323600000001</c:v>
                </c:pt>
                <c:pt idx="960">
                  <c:v>36.323700000001</c:v>
                </c:pt>
                <c:pt idx="961">
                  <c:v>36.323800000001</c:v>
                </c:pt>
                <c:pt idx="962">
                  <c:v>36.323900000001</c:v>
                </c:pt>
                <c:pt idx="963">
                  <c:v>36.324000000001</c:v>
                </c:pt>
                <c:pt idx="964">
                  <c:v>36.324100000001</c:v>
                </c:pt>
                <c:pt idx="965">
                  <c:v>36.324200000001</c:v>
                </c:pt>
                <c:pt idx="966">
                  <c:v>36.324300000001</c:v>
                </c:pt>
                <c:pt idx="967">
                  <c:v>36.324400000001</c:v>
                </c:pt>
                <c:pt idx="968">
                  <c:v>36.324500000001</c:v>
                </c:pt>
                <c:pt idx="969">
                  <c:v>36.324600000001</c:v>
                </c:pt>
                <c:pt idx="970">
                  <c:v>36.324700000001</c:v>
                </c:pt>
                <c:pt idx="971">
                  <c:v>36.324800000001</c:v>
                </c:pt>
                <c:pt idx="972">
                  <c:v>36.324900000001</c:v>
                </c:pt>
                <c:pt idx="973">
                  <c:v>36.325000000001</c:v>
                </c:pt>
                <c:pt idx="974">
                  <c:v>36.325100000001</c:v>
                </c:pt>
                <c:pt idx="975">
                  <c:v>36.325200000001</c:v>
                </c:pt>
                <c:pt idx="976">
                  <c:v>36.325300000001</c:v>
                </c:pt>
                <c:pt idx="977">
                  <c:v>36.325400000001</c:v>
                </c:pt>
                <c:pt idx="978">
                  <c:v>36.3255000000011</c:v>
                </c:pt>
                <c:pt idx="979">
                  <c:v>36.3256000000011</c:v>
                </c:pt>
                <c:pt idx="980">
                  <c:v>36.3257000000011</c:v>
                </c:pt>
                <c:pt idx="981">
                  <c:v>36.3258000000011</c:v>
                </c:pt>
                <c:pt idx="982">
                  <c:v>36.3259000000011</c:v>
                </c:pt>
                <c:pt idx="983">
                  <c:v>36.3260000000011</c:v>
                </c:pt>
                <c:pt idx="984">
                  <c:v>36.3261000000011</c:v>
                </c:pt>
                <c:pt idx="985">
                  <c:v>36.3262000000011</c:v>
                </c:pt>
                <c:pt idx="986">
                  <c:v>36.3263000000011</c:v>
                </c:pt>
                <c:pt idx="987">
                  <c:v>36.3264000000011</c:v>
                </c:pt>
                <c:pt idx="988">
                  <c:v>36.3265000000011</c:v>
                </c:pt>
                <c:pt idx="989">
                  <c:v>36.3266000000011</c:v>
                </c:pt>
                <c:pt idx="990">
                  <c:v>36.3267000000011</c:v>
                </c:pt>
                <c:pt idx="991">
                  <c:v>36.3268000000011</c:v>
                </c:pt>
                <c:pt idx="992">
                  <c:v>36.3269000000011</c:v>
                </c:pt>
                <c:pt idx="993">
                  <c:v>36.3270000000011</c:v>
                </c:pt>
                <c:pt idx="994">
                  <c:v>36.3271000000011</c:v>
                </c:pt>
                <c:pt idx="995">
                  <c:v>36.3272000000011</c:v>
                </c:pt>
                <c:pt idx="996">
                  <c:v>36.3273000000011</c:v>
                </c:pt>
                <c:pt idx="997">
                  <c:v>36.3274000000011</c:v>
                </c:pt>
                <c:pt idx="998">
                  <c:v>36.3275000000011</c:v>
                </c:pt>
                <c:pt idx="999">
                  <c:v>36.3276000000011</c:v>
                </c:pt>
                <c:pt idx="1000">
                  <c:v>36.3277000000011</c:v>
                </c:pt>
              </c:numCache>
            </c:numRef>
          </c:xVal>
          <c:yVal>
            <c:numRef>
              <c:f>Calculs!$I$4:$I$1004</c:f>
              <c:numCache>
                <c:formatCode>General</c:formatCode>
                <c:ptCount val="1001"/>
                <c:pt idx="0">
                  <c:v>0</c:v>
                </c:pt>
                <c:pt idx="1">
                  <c:v>0.00956650777617727</c:v>
                </c:pt>
                <c:pt idx="2">
                  <c:v>0.231536238065398</c:v>
                </c:pt>
                <c:pt idx="3">
                  <c:v>0.666033498601508</c:v>
                </c:pt>
                <c:pt idx="4">
                  <c:v>1.31324942909741</c:v>
                </c:pt>
                <c:pt idx="5">
                  <c:v>2.17344099179836</c:v>
                </c:pt>
                <c:pt idx="6">
                  <c:v>3.13924072299397</c:v>
                </c:pt>
                <c:pt idx="7">
                  <c:v>4.10306687380311</c:v>
                </c:pt>
                <c:pt idx="8">
                  <c:v>5.0649076990996</c:v>
                </c:pt>
                <c:pt idx="9">
                  <c:v>6.02475149455966</c:v>
                </c:pt>
                <c:pt idx="10">
                  <c:v>6.98258659718147</c:v>
                </c:pt>
                <c:pt idx="11">
                  <c:v>7.93840138580106</c:v>
                </c:pt>
                <c:pt idx="12">
                  <c:v>8.89218428160449</c:v>
                </c:pt>
                <c:pt idx="13">
                  <c:v>9.84392374863615</c:v>
                </c:pt>
                <c:pt idx="14">
                  <c:v>10.7936082943033</c:v>
                </c:pt>
                <c:pt idx="15">
                  <c:v>11.7412264698765</c:v>
                </c:pt>
                <c:pt idx="16">
                  <c:v>12.6867668709865</c:v>
                </c:pt>
                <c:pt idx="17">
                  <c:v>13.6302181381164</c:v>
                </c:pt>
                <c:pt idx="18">
                  <c:v>14.5715689570907</c:v>
                </c:pt>
                <c:pt idx="19">
                  <c:v>15.5108080595591</c:v>
                </c:pt>
                <c:pt idx="20">
                  <c:v>16.4479242234774</c:v>
                </c:pt>
                <c:pt idx="21">
                  <c:v>17.3829062735829</c:v>
                </c:pt>
                <c:pt idx="22">
                  <c:v>18.3157430818668</c:v>
                </c:pt>
                <c:pt idx="23">
                  <c:v>19.2464235680412</c:v>
                </c:pt>
                <c:pt idx="24">
                  <c:v>20.1749367000025</c:v>
                </c:pt>
                <c:pt idx="25">
                  <c:v>21.10127149429</c:v>
                </c:pt>
                <c:pt idx="26">
                  <c:v>22.0254170165406</c:v>
                </c:pt>
                <c:pt idx="27">
                  <c:v>22.947362381938</c:v>
                </c:pt>
                <c:pt idx="28">
                  <c:v>23.8670967556585</c:v>
                </c:pt>
                <c:pt idx="29">
                  <c:v>24.7846093533117</c:v>
                </c:pt>
                <c:pt idx="30">
                  <c:v>25.6998894413764</c:v>
                </c:pt>
                <c:pt idx="31">
                  <c:v>26.6129263376326</c:v>
                </c:pt>
                <c:pt idx="32">
                  <c:v>27.5237094115877</c:v>
                </c:pt>
                <c:pt idx="33">
                  <c:v>28.4322330309808</c:v>
                </c:pt>
                <c:pt idx="34">
                  <c:v>29.3384918213114</c:v>
                </c:pt>
                <c:pt idx="35">
                  <c:v>30.2424750650821</c:v>
                </c:pt>
                <c:pt idx="36">
                  <c:v>31.144172111522</c:v>
                </c:pt>
                <c:pt idx="37">
                  <c:v>32.0435723758282</c:v>
                </c:pt>
                <c:pt idx="38">
                  <c:v>32.9406653385693</c:v>
                </c:pt>
                <c:pt idx="39">
                  <c:v>33.8354405451904</c:v>
                </c:pt>
                <c:pt idx="40">
                  <c:v>34.7278876056054</c:v>
                </c:pt>
                <c:pt idx="41">
                  <c:v>35.6179961938653</c:v>
                </c:pt>
                <c:pt idx="42">
                  <c:v>36.5057560478912</c:v>
                </c:pt>
                <c:pt idx="43">
                  <c:v>37.391156969265</c:v>
                </c:pt>
                <c:pt idx="44">
                  <c:v>38.2741888230697</c:v>
                </c:pt>
                <c:pt idx="45">
                  <c:v>39.1548415377722</c:v>
                </c:pt>
                <c:pt idx="46">
                  <c:v>40.0331051051448</c:v>
                </c:pt>
                <c:pt idx="47">
                  <c:v>40.9089695802189</c:v>
                </c:pt>
                <c:pt idx="48">
                  <c:v>41.7824250812685</c:v>
                </c:pt>
                <c:pt idx="49">
                  <c:v>42.653461789818</c:v>
                </c:pt>
                <c:pt idx="50">
                  <c:v>43.5220699506727</c:v>
                </c:pt>
                <c:pt idx="51">
                  <c:v>44.388807560998</c:v>
                </c:pt>
                <c:pt idx="52">
                  <c:v>45.2542335512685</c:v>
                </c:pt>
                <c:pt idx="53">
                  <c:v>46.1183395226346</c:v>
                </c:pt>
                <c:pt idx="54">
                  <c:v>46.9811171072549</c:v>
                </c:pt>
                <c:pt idx="55">
                  <c:v>47.8425579684203</c:v>
                </c:pt>
                <c:pt idx="56">
                  <c:v>48.7026538006907</c:v>
                </c:pt>
                <c:pt idx="57">
                  <c:v>49.5613963300404</c:v>
                </c:pt>
                <c:pt idx="58">
                  <c:v>50.4187773140135</c:v>
                </c:pt>
                <c:pt idx="59">
                  <c:v>51.2747885418877</c:v>
                </c:pt>
                <c:pt idx="60">
                  <c:v>52.1294218348445</c:v>
                </c:pt>
                <c:pt idx="61">
                  <c:v>52.9826690461464</c:v>
                </c:pt>
                <c:pt idx="62">
                  <c:v>53.83452206132</c:v>
                </c:pt>
                <c:pt idx="63">
                  <c:v>54.6849727983437</c:v>
                </c:pt>
                <c:pt idx="64">
                  <c:v>55.5340132078402</c:v>
                </c:pt>
                <c:pt idx="65">
                  <c:v>56.3816352732731</c:v>
                </c:pt>
                <c:pt idx="66">
                  <c:v>57.2278310111464</c:v>
                </c:pt>
                <c:pt idx="67">
                  <c:v>58.0725924712077</c:v>
                </c:pt>
                <c:pt idx="68">
                  <c:v>58.9159117366532</c:v>
                </c:pt>
                <c:pt idx="69">
                  <c:v>59.7577809243359</c:v>
                </c:pt>
                <c:pt idx="70">
                  <c:v>60.5981921849744</c:v>
                </c:pt>
                <c:pt idx="71">
                  <c:v>61.4371377033646</c:v>
                </c:pt>
                <c:pt idx="72">
                  <c:v>62.2746096985913</c:v>
                </c:pt>
                <c:pt idx="73">
                  <c:v>63.110600424242</c:v>
                </c:pt>
                <c:pt idx="74">
                  <c:v>63.9451021686202</c:v>
                </c:pt>
                <c:pt idx="75">
                  <c:v>64.7781072549604</c:v>
                </c:pt>
                <c:pt idx="76">
                  <c:v>65.609608041642</c:v>
                </c:pt>
                <c:pt idx="77">
                  <c:v>66.4395969224048</c:v>
                </c:pt>
                <c:pt idx="78">
                  <c:v>67.2680663265626</c:v>
                </c:pt>
                <c:pt idx="79">
                  <c:v>68.0950087192183</c:v>
                </c:pt>
                <c:pt idx="80">
                  <c:v>68.9204166014771</c:v>
                </c:pt>
                <c:pt idx="81">
                  <c:v>69.7442825106597</c:v>
                </c:pt>
                <c:pt idx="82">
                  <c:v>70.5665990205146</c:v>
                </c:pt>
                <c:pt idx="83">
                  <c:v>71.3873587414299</c:v>
                </c:pt>
                <c:pt idx="84">
                  <c:v>72.2065543206431</c:v>
                </c:pt>
                <c:pt idx="85">
                  <c:v>73.024178442451</c:v>
                </c:pt>
                <c:pt idx="86">
                  <c:v>73.8402238284172</c:v>
                </c:pt>
                <c:pt idx="87">
                  <c:v>74.654683237579</c:v>
                </c:pt>
                <c:pt idx="88">
                  <c:v>75.4675494666524</c:v>
                </c:pt>
                <c:pt idx="89">
                  <c:v>76.2788153502364</c:v>
                </c:pt>
                <c:pt idx="90">
                  <c:v>77.088473761014</c:v>
                </c:pt>
                <c:pt idx="91">
                  <c:v>77.8965176099533</c:v>
                </c:pt>
                <c:pt idx="92">
                  <c:v>78.702939846506</c:v>
                </c:pt>
                <c:pt idx="93">
                  <c:v>79.5077334588036</c:v>
                </c:pt>
                <c:pt idx="94">
                  <c:v>80.3108914738528</c:v>
                </c:pt>
                <c:pt idx="95">
                  <c:v>81.1124069577276</c:v>
                </c:pt>
                <c:pt idx="96">
                  <c:v>81.9122730157608</c:v>
                </c:pt>
                <c:pt idx="97">
                  <c:v>82.7104827927319</c:v>
                </c:pt>
                <c:pt idx="98">
                  <c:v>83.5070294730541</c:v>
                </c:pt>
                <c:pt idx="99">
                  <c:v>84.3019062809584</c:v>
                </c:pt>
                <c:pt idx="100">
                  <c:v>85.0951064806754</c:v>
                </c:pt>
                <c:pt idx="101">
                  <c:v>85.8863611632135</c:v>
                </c:pt>
                <c:pt idx="102">
                  <c:v>86.6754011918694</c:v>
                </c:pt>
                <c:pt idx="103">
                  <c:v>87.4622196671669</c:v>
                </c:pt>
                <c:pt idx="104">
                  <c:v>88.24680974461</c:v>
                </c:pt>
                <c:pt idx="105">
                  <c:v>89.0291646348216</c:v>
                </c:pt>
                <c:pt idx="106">
                  <c:v>89.8092776036773</c:v>
                </c:pt>
                <c:pt idx="107">
                  <c:v>90.587141972437</c:v>
                </c:pt>
                <c:pt idx="108">
                  <c:v>91.3627511178712</c:v>
                </c:pt>
                <c:pt idx="109">
                  <c:v>92.1360984723849</c:v>
                </c:pt>
                <c:pt idx="110">
                  <c:v>92.9071775241368</c:v>
                </c:pt>
                <c:pt idx="111">
                  <c:v>93.6759818171545</c:v>
                </c:pt>
                <c:pt idx="112">
                  <c:v>94.4425049514469</c:v>
                </c:pt>
                <c:pt idx="113">
                  <c:v>95.2067405831118</c:v>
                </c:pt>
                <c:pt idx="114">
                  <c:v>95.9686824244399</c:v>
                </c:pt>
                <c:pt idx="115">
                  <c:v>96.7283242440147</c:v>
                </c:pt>
                <c:pt idx="116">
                  <c:v>97.4856598668092</c:v>
                </c:pt>
                <c:pt idx="117">
                  <c:v>98.2406831742778</c:v>
                </c:pt>
                <c:pt idx="118">
                  <c:v>98.9933881044448</c:v>
                </c:pt>
                <c:pt idx="119">
                  <c:v>99.7437686519887</c:v>
                </c:pt>
                <c:pt idx="120">
                  <c:v>100.491818868323</c:v>
                </c:pt>
                <c:pt idx="121">
                  <c:v>101.237532861672</c:v>
                </c:pt>
                <c:pt idx="122">
                  <c:v>101.980904797144</c:v>
                </c:pt>
                <c:pt idx="123">
                  <c:v>102.721928896801</c:v>
                </c:pt>
                <c:pt idx="124">
                  <c:v>103.460599439721</c:v>
                </c:pt>
                <c:pt idx="125">
                  <c:v>104.196910762059</c:v>
                </c:pt>
                <c:pt idx="126">
                  <c:v>104.930857257106</c:v>
                </c:pt>
                <c:pt idx="127">
                  <c:v>105.662433375342</c:v>
                </c:pt>
                <c:pt idx="128">
                  <c:v>106.391633624479</c:v>
                </c:pt>
                <c:pt idx="129">
                  <c:v>107.118452569513</c:v>
                </c:pt>
                <c:pt idx="130">
                  <c:v>107.842884832763</c:v>
                </c:pt>
                <c:pt idx="131">
                  <c:v>108.564925093905</c:v>
                </c:pt>
                <c:pt idx="132">
                  <c:v>109.284568090007</c:v>
                </c:pt>
                <c:pt idx="133">
                  <c:v>110.00180861556</c:v>
                </c:pt>
                <c:pt idx="134">
                  <c:v>110.7166415225</c:v>
                </c:pt>
                <c:pt idx="135">
                  <c:v>111.429061720232</c:v>
                </c:pt>
                <c:pt idx="136">
                  <c:v>112.139064175645</c:v>
                </c:pt>
                <c:pt idx="137">
                  <c:v>112.846643913126</c:v>
                </c:pt>
                <c:pt idx="138">
                  <c:v>113.551796014572</c:v>
                </c:pt>
                <c:pt idx="139">
                  <c:v>114.254515619392</c:v>
                </c:pt>
                <c:pt idx="140">
                  <c:v>114.954797924512</c:v>
                </c:pt>
                <c:pt idx="141">
                  <c:v>115.65263818437</c:v>
                </c:pt>
                <c:pt idx="142">
                  <c:v>116.348031710914</c:v>
                </c:pt>
                <c:pt idx="143">
                  <c:v>117.040973873588</c:v>
                </c:pt>
                <c:pt idx="144">
                  <c:v>117.731460099321</c:v>
                </c:pt>
                <c:pt idx="145">
                  <c:v>118.419485872509</c:v>
                </c:pt>
                <c:pt idx="146">
                  <c:v>119.105046734996</c:v>
                </c:pt>
                <c:pt idx="147">
                  <c:v>119.788138286044</c:v>
                </c:pt>
                <c:pt idx="148">
                  <c:v>120.468756182309</c:v>
                </c:pt>
                <c:pt idx="149">
                  <c:v>121.146896137809</c:v>
                </c:pt>
                <c:pt idx="150">
                  <c:v>121.822553923882</c:v>
                </c:pt>
                <c:pt idx="151">
                  <c:v>122.495814719934</c:v>
                </c:pt>
                <c:pt idx="152">
                  <c:v>123.166763805167</c:v>
                </c:pt>
                <c:pt idx="153">
                  <c:v>123.835397129691</c:v>
                </c:pt>
                <c:pt idx="154">
                  <c:v>124.501710696252</c:v>
                </c:pt>
                <c:pt idx="155">
                  <c:v>125.165700560209</c:v>
                </c:pt>
                <c:pt idx="156">
                  <c:v>125.827362829495</c:v>
                </c:pt>
                <c:pt idx="157">
                  <c:v>126.486693664582</c:v>
                </c:pt>
                <c:pt idx="158">
                  <c:v>127.143689278437</c:v>
                </c:pt>
                <c:pt idx="159">
                  <c:v>127.798345936481</c:v>
                </c:pt>
                <c:pt idx="160">
                  <c:v>128.450659956541</c:v>
                </c:pt>
                <c:pt idx="161">
                  <c:v>129.100627708797</c:v>
                </c:pt>
                <c:pt idx="162">
                  <c:v>129.74824561573</c:v>
                </c:pt>
                <c:pt idx="163">
                  <c:v>130.393510152065</c:v>
                </c:pt>
                <c:pt idx="164">
                  <c:v>131.036417844713</c:v>
                </c:pt>
                <c:pt idx="165">
                  <c:v>131.676965272701</c:v>
                </c:pt>
                <c:pt idx="166">
                  <c:v>132.315149067115</c:v>
                </c:pt>
                <c:pt idx="167">
                  <c:v>132.950965911023</c:v>
                </c:pt>
                <c:pt idx="168">
                  <c:v>133.584412539407</c:v>
                </c:pt>
                <c:pt idx="169">
                  <c:v>134.215485739083</c:v>
                </c:pt>
                <c:pt idx="170">
                  <c:v>134.844182348629</c:v>
                </c:pt>
                <c:pt idx="171">
                  <c:v>135.470499258296</c:v>
                </c:pt>
                <c:pt idx="172">
                  <c:v>136.09443340993</c:v>
                </c:pt>
                <c:pt idx="173">
                  <c:v>136.715981796879</c:v>
                </c:pt>
                <c:pt idx="174">
                  <c:v>137.335141463909</c:v>
                </c:pt>
                <c:pt idx="175">
                  <c:v>137.951909507102</c:v>
                </c:pt>
                <c:pt idx="176">
                  <c:v>138.566283073769</c:v>
                </c:pt>
                <c:pt idx="177">
                  <c:v>139.178259362342</c:v>
                </c:pt>
                <c:pt idx="178">
                  <c:v>139.78783562228</c:v>
                </c:pt>
                <c:pt idx="179">
                  <c:v>140.39500915396</c:v>
                </c:pt>
                <c:pt idx="180">
                  <c:v>140.999777308567</c:v>
                </c:pt>
                <c:pt idx="181">
                  <c:v>141.60213748799</c:v>
                </c:pt>
                <c:pt idx="182">
                  <c:v>142.202087144704</c:v>
                </c:pt>
                <c:pt idx="183">
                  <c:v>142.799623781657</c:v>
                </c:pt>
                <c:pt idx="184">
                  <c:v>143.394744952147</c:v>
                </c:pt>
                <c:pt idx="185">
                  <c:v>143.987448259706</c:v>
                </c:pt>
                <c:pt idx="186">
                  <c:v>144.577731357974</c:v>
                </c:pt>
                <c:pt idx="187">
                  <c:v>145.165591950571</c:v>
                </c:pt>
                <c:pt idx="188">
                  <c:v>145.75102779097</c:v>
                </c:pt>
                <c:pt idx="189">
                  <c:v>146.334036682363</c:v>
                </c:pt>
                <c:pt idx="190">
                  <c:v>146.914616477531</c:v>
                </c:pt>
                <c:pt idx="191">
                  <c:v>147.4927650787</c:v>
                </c:pt>
                <c:pt idx="192">
                  <c:v>148.06848043741</c:v>
                </c:pt>
                <c:pt idx="193">
                  <c:v>148.641760554367</c:v>
                </c:pt>
                <c:pt idx="194">
                  <c:v>149.2126034793</c:v>
                </c:pt>
                <c:pt idx="195">
                  <c:v>149.781007310818</c:v>
                </c:pt>
                <c:pt idx="196">
                  <c:v>150.346970196256</c:v>
                </c:pt>
                <c:pt idx="197">
                  <c:v>150.910490331526</c:v>
                </c:pt>
                <c:pt idx="198">
                  <c:v>151.471565960963</c:v>
                </c:pt>
                <c:pt idx="199">
                  <c:v>152.030195377169</c:v>
                </c:pt>
                <c:pt idx="200">
                  <c:v>152.586376920854</c:v>
                </c:pt>
                <c:pt idx="201">
                  <c:v>153.140108980675</c:v>
                </c:pt>
                <c:pt idx="202">
                  <c:v>153.691389993076</c:v>
                </c:pt>
                <c:pt idx="203">
                  <c:v>154.240218442117</c:v>
                </c:pt>
                <c:pt idx="204">
                  <c:v>154.786592859315</c:v>
                </c:pt>
                <c:pt idx="205">
                  <c:v>155.330511823466</c:v>
                </c:pt>
                <c:pt idx="206">
                  <c:v>155.871973960478</c:v>
                </c:pt>
                <c:pt idx="207">
                  <c:v>156.410977943198</c:v>
                </c:pt>
                <c:pt idx="208">
                  <c:v>156.947522491234</c:v>
                </c:pt>
                <c:pt idx="209">
                  <c:v>157.481606370777</c:v>
                </c:pt>
                <c:pt idx="210">
                  <c:v>158.013228394425</c:v>
                </c:pt>
                <c:pt idx="211">
                  <c:v>158.542387420996</c:v>
                </c:pt>
                <c:pt idx="212">
                  <c:v>159.069082355346</c:v>
                </c:pt>
                <c:pt idx="213">
                  <c:v>159.593312148187</c:v>
                </c:pt>
                <c:pt idx="214">
                  <c:v>160.115075795894</c:v>
                </c:pt>
                <c:pt idx="215">
                  <c:v>160.634372340318</c:v>
                </c:pt>
                <c:pt idx="216">
                  <c:v>161.151200868594</c:v>
                </c:pt>
                <c:pt idx="217">
                  <c:v>161.66556051295</c:v>
                </c:pt>
                <c:pt idx="218">
                  <c:v>162.177450450509</c:v>
                </c:pt>
                <c:pt idx="219">
                  <c:v>162.686869903095</c:v>
                </c:pt>
                <c:pt idx="220">
                  <c:v>163.193818137031</c:v>
                </c:pt>
                <c:pt idx="221">
                  <c:v>163.698294462943</c:v>
                </c:pt>
                <c:pt idx="222">
                  <c:v>164.200298235554</c:v>
                </c:pt>
                <c:pt idx="223">
                  <c:v>164.699828853486</c:v>
                </c:pt>
                <c:pt idx="224">
                  <c:v>165.196885759047</c:v>
                </c:pt>
                <c:pt idx="225">
                  <c:v>165.691468438034</c:v>
                </c:pt>
                <c:pt idx="226">
                  <c:v>166.183576419515</c:v>
                </c:pt>
                <c:pt idx="227">
                  <c:v>166.673209275626</c:v>
                </c:pt>
                <c:pt idx="228">
                  <c:v>167.160366621357</c:v>
                </c:pt>
                <c:pt idx="229">
                  <c:v>167.645048114339</c:v>
                </c:pt>
                <c:pt idx="230">
                  <c:v>168.127253454631</c:v>
                </c:pt>
                <c:pt idx="231">
                  <c:v>168.606982384501</c:v>
                </c:pt>
                <c:pt idx="232">
                  <c:v>169.084234688216</c:v>
                </c:pt>
                <c:pt idx="233">
                  <c:v>169.559010191814</c:v>
                </c:pt>
                <c:pt idx="234">
                  <c:v>170.031308762893</c:v>
                </c:pt>
                <c:pt idx="235">
                  <c:v>170.501130310383</c:v>
                </c:pt>
                <c:pt idx="236">
                  <c:v>170.968474784327</c:v>
                </c:pt>
                <c:pt idx="237">
                  <c:v>171.433342175658</c:v>
                </c:pt>
                <c:pt idx="238">
                  <c:v>171.895732515972</c:v>
                </c:pt>
                <c:pt idx="239">
                  <c:v>172.355645877303</c:v>
                </c:pt>
                <c:pt idx="240">
                  <c:v>172.813082371894</c:v>
                </c:pt>
                <c:pt idx="241">
                  <c:v>173.268042151971</c:v>
                </c:pt>
                <c:pt idx="242">
                  <c:v>173.720525409513</c:v>
                </c:pt>
                <c:pt idx="243">
                  <c:v>174.170532376018</c:v>
                </c:pt>
                <c:pt idx="244">
                  <c:v>174.618063322275</c:v>
                </c:pt>
                <c:pt idx="245">
                  <c:v>175.063118558132</c:v>
                </c:pt>
                <c:pt idx="246">
                  <c:v>175.505698432256</c:v>
                </c:pt>
                <c:pt idx="247">
                  <c:v>175.945803331906</c:v>
                </c:pt>
                <c:pt idx="248">
                  <c:v>176.38343368269</c:v>
                </c:pt>
                <c:pt idx="249">
                  <c:v>176.818589948336</c:v>
                </c:pt>
                <c:pt idx="250">
                  <c:v>177.251272630445</c:v>
                </c:pt>
                <c:pt idx="251">
                  <c:v>177.681096060815</c:v>
                </c:pt>
                <c:pt idx="252">
                  <c:v>178.107674784497</c:v>
                </c:pt>
                <c:pt idx="253">
                  <c:v>178.531010038643</c:v>
                </c:pt>
                <c:pt idx="254">
                  <c:v>178.95110311164</c:v>
                </c:pt>
                <c:pt idx="255">
                  <c:v>179.367955342708</c:v>
                </c:pt>
                <c:pt idx="256">
                  <c:v>179.781568121495</c:v>
                </c:pt>
                <c:pt idx="257">
                  <c:v>180.191942887667</c:v>
                </c:pt>
                <c:pt idx="258">
                  <c:v>180.599081130503</c:v>
                </c:pt>
                <c:pt idx="259">
                  <c:v>181.002984388488</c:v>
                </c:pt>
                <c:pt idx="260">
                  <c:v>181.403654248901</c:v>
                </c:pt>
                <c:pt idx="261">
                  <c:v>181.801092347406</c:v>
                </c:pt>
                <c:pt idx="262">
                  <c:v>182.195300367642</c:v>
                </c:pt>
                <c:pt idx="263">
                  <c:v>182.586280040815</c:v>
                </c:pt>
                <c:pt idx="264">
                  <c:v>182.974033145281</c:v>
                </c:pt>
                <c:pt idx="265">
                  <c:v>183.358561506137</c:v>
                </c:pt>
                <c:pt idx="266">
                  <c:v>183.739866994809</c:v>
                </c:pt>
                <c:pt idx="267">
                  <c:v>184.117951528638</c:v>
                </c:pt>
                <c:pt idx="268">
                  <c:v>184.492817070466</c:v>
                </c:pt>
                <c:pt idx="269">
                  <c:v>184.864465628223</c:v>
                </c:pt>
                <c:pt idx="270">
                  <c:v>185.232899254516</c:v>
                </c:pt>
                <c:pt idx="271">
                  <c:v>185.598120046206</c:v>
                </c:pt>
                <c:pt idx="272">
                  <c:v>185.960130144005</c:v>
                </c:pt>
                <c:pt idx="273">
                  <c:v>186.318931732052</c:v>
                </c:pt>
                <c:pt idx="274">
                  <c:v>186.674527037503</c:v>
                </c:pt>
                <c:pt idx="275">
                  <c:v>187.026918330115</c:v>
                </c:pt>
                <c:pt idx="276">
                  <c:v>187.376107921828</c:v>
                </c:pt>
                <c:pt idx="277">
                  <c:v>187.722098166356</c:v>
                </c:pt>
                <c:pt idx="278">
                  <c:v>188.064891458767</c:v>
                </c:pt>
                <c:pt idx="279">
                  <c:v>188.404490235069</c:v>
                </c:pt>
                <c:pt idx="280">
                  <c:v>188.740896971799</c:v>
                </c:pt>
                <c:pt idx="281">
                  <c:v>189.0741141856</c:v>
                </c:pt>
                <c:pt idx="282">
                  <c:v>189.404144432815</c:v>
                </c:pt>
                <c:pt idx="283">
                  <c:v>189.730990309068</c:v>
                </c:pt>
                <c:pt idx="284">
                  <c:v>190.054654448851</c:v>
                </c:pt>
                <c:pt idx="285">
                  <c:v>190.375139525109</c:v>
                </c:pt>
                <c:pt idx="286">
                  <c:v>190.692448248831</c:v>
                </c:pt>
                <c:pt idx="287">
                  <c:v>191.006583368628</c:v>
                </c:pt>
                <c:pt idx="288">
                  <c:v>191.317547670329</c:v>
                </c:pt>
                <c:pt idx="289">
                  <c:v>191.625343976565</c:v>
                </c:pt>
                <c:pt idx="290">
                  <c:v>191.929975146356</c:v>
                </c:pt>
                <c:pt idx="291">
                  <c:v>192.231444074701</c:v>
                </c:pt>
                <c:pt idx="292">
                  <c:v>192.529753692167</c:v>
                </c:pt>
                <c:pt idx="293">
                  <c:v>192.824906964478</c:v>
                </c:pt>
                <c:pt idx="294">
                  <c:v>193.116906892108</c:v>
                </c:pt>
                <c:pt idx="295">
                  <c:v>193.405756509865</c:v>
                </c:pt>
                <c:pt idx="296">
                  <c:v>193.69145888649</c:v>
                </c:pt>
                <c:pt idx="297">
                  <c:v>193.974017124247</c:v>
                </c:pt>
                <c:pt idx="298">
                  <c:v>194.24919317116</c:v>
                </c:pt>
                <c:pt idx="299">
                  <c:v>194.512752842055</c:v>
                </c:pt>
                <c:pt idx="300">
                  <c:v>194.764709490395</c:v>
                </c:pt>
                <c:pt idx="301">
                  <c:v>195.005076727474</c:v>
                </c:pt>
                <c:pt idx="302">
                  <c:v>195.23386841754</c:v>
                </c:pt>
                <c:pt idx="303">
                  <c:v>195.451098672929</c:v>
                </c:pt>
                <c:pt idx="304">
                  <c:v>195.65678184921</c:v>
                </c:pt>
                <c:pt idx="305">
                  <c:v>195.850932540338</c:v>
                </c:pt>
                <c:pt idx="306">
                  <c:v>196.033565573814</c:v>
                </c:pt>
                <c:pt idx="307">
                  <c:v>196.204696005858</c:v>
                </c:pt>
                <c:pt idx="308">
                  <c:v>196.364339116602</c:v>
                </c:pt>
                <c:pt idx="309">
                  <c:v>196.512510405282</c:v>
                </c:pt>
                <c:pt idx="310">
                  <c:v>196.649225585453</c:v>
                </c:pt>
                <c:pt idx="311">
                  <c:v>196.774500580219</c:v>
                </c:pt>
                <c:pt idx="312">
                  <c:v>196.888351517472</c:v>
                </c:pt>
                <c:pt idx="313">
                  <c:v>196.990794725152</c:v>
                </c:pt>
                <c:pt idx="314">
                  <c:v>197.08184672652</c:v>
                </c:pt>
                <c:pt idx="315">
                  <c:v>197.161524235453</c:v>
                </c:pt>
                <c:pt idx="316">
                  <c:v>197.229844151755</c:v>
                </c:pt>
                <c:pt idx="317">
                  <c:v>197.286823556483</c:v>
                </c:pt>
                <c:pt idx="318">
                  <c:v>197.332479707298</c:v>
                </c:pt>
                <c:pt idx="319">
                  <c:v>197.366830033831</c:v>
                </c:pt>
                <c:pt idx="320">
                  <c:v>197.389892133074</c:v>
                </c:pt>
                <c:pt idx="321">
                  <c:v>197.40337062421</c:v>
                </c:pt>
                <c:pt idx="322">
                  <c:v>197.408967812589</c:v>
                </c:pt>
                <c:pt idx="323">
                  <c:v>197.406696284391</c:v>
                </c:pt>
                <c:pt idx="324">
                  <c:v>197.396568691709</c:v>
                </c:pt>
                <c:pt idx="325">
                  <c:v>197.378597750358</c:v>
                </c:pt>
                <c:pt idx="326">
                  <c:v>197.352796237699</c:v>
                </c:pt>
                <c:pt idx="327">
                  <c:v>197.319176990476</c:v>
                </c:pt>
                <c:pt idx="328">
                  <c:v>197.277752902662</c:v>
                </c:pt>
                <c:pt idx="329">
                  <c:v>197.228536923325</c:v>
                </c:pt>
                <c:pt idx="330">
                  <c:v>197.171542054505</c:v>
                </c:pt>
                <c:pt idx="331">
                  <c:v>197.106781349101</c:v>
                </c:pt>
                <c:pt idx="332">
                  <c:v>197.034267908779</c:v>
                </c:pt>
                <c:pt idx="333">
                  <c:v>196.954014881886</c:v>
                </c:pt>
                <c:pt idx="334">
                  <c:v>196.866035461385</c:v>
                </c:pt>
                <c:pt idx="335">
                  <c:v>196.770342882801</c:v>
                </c:pt>
                <c:pt idx="336">
                  <c:v>196.666950422178</c:v>
                </c:pt>
                <c:pt idx="337">
                  <c:v>196.555871394058</c:v>
                </c:pt>
                <c:pt idx="338">
                  <c:v>196.437119149467</c:v>
                </c:pt>
                <c:pt idx="339">
                  <c:v>196.310707073921</c:v>
                </c:pt>
                <c:pt idx="340">
                  <c:v>196.176648585444</c:v>
                </c:pt>
                <c:pt idx="341">
                  <c:v>196.034957132596</c:v>
                </c:pt>
                <c:pt idx="342">
                  <c:v>195.88564619253</c:v>
                </c:pt>
                <c:pt idx="343">
                  <c:v>195.728729269043</c:v>
                </c:pt>
                <c:pt idx="344">
                  <c:v>195.564219890664</c:v>
                </c:pt>
                <c:pt idx="345">
                  <c:v>195.392131608738</c:v>
                </c:pt>
                <c:pt idx="346">
                  <c:v>195.212477995537</c:v>
                </c:pt>
                <c:pt idx="347">
                  <c:v>195.025272642383</c:v>
                </c:pt>
                <c:pt idx="348">
                  <c:v>194.830711079343</c:v>
                </c:pt>
                <c:pt idx="349">
                  <c:v>194.628988514954</c:v>
                </c:pt>
                <c:pt idx="350">
                  <c:v>194.420117895824</c:v>
                </c:pt>
                <c:pt idx="351">
                  <c:v>194.204112175983</c:v>
                </c:pt>
                <c:pt idx="352">
                  <c:v>193.98098431526</c:v>
                </c:pt>
                <c:pt idx="353">
                  <c:v>193.750747277683</c:v>
                </c:pt>
                <c:pt idx="354">
                  <c:v>193.513414029882</c:v>
                </c:pt>
                <c:pt idx="355">
                  <c:v>193.268997539517</c:v>
                </c:pt>
                <c:pt idx="356">
                  <c:v>193.017510773709</c:v>
                </c:pt>
                <c:pt idx="357">
                  <c:v>192.758966697498</c:v>
                </c:pt>
                <c:pt idx="358">
                  <c:v>192.493378272299</c:v>
                </c:pt>
                <c:pt idx="359">
                  <c:v>192.220758454385</c:v>
                </c:pt>
                <c:pt idx="360">
                  <c:v>191.944903615109</c:v>
                </c:pt>
                <c:pt idx="361">
                  <c:v>191.669602623539</c:v>
                </c:pt>
                <c:pt idx="362">
                  <c:v>191.39485345828</c:v>
                </c:pt>
                <c:pt idx="363">
                  <c:v>191.120654107796</c:v>
                </c:pt>
                <c:pt idx="364">
                  <c:v>190.847002570346</c:v>
                </c:pt>
                <c:pt idx="365">
                  <c:v>190.573896853925</c:v>
                </c:pt>
                <c:pt idx="366">
                  <c:v>190.301334976205</c:v>
                </c:pt>
                <c:pt idx="367">
                  <c:v>190.029314964478</c:v>
                </c:pt>
                <c:pt idx="368">
                  <c:v>189.757834855593</c:v>
                </c:pt>
                <c:pt idx="369">
                  <c:v>189.486892695903</c:v>
                </c:pt>
                <c:pt idx="370">
                  <c:v>189.216486541201</c:v>
                </c:pt>
                <c:pt idx="371">
                  <c:v>188.946614456671</c:v>
                </c:pt>
                <c:pt idx="372">
                  <c:v>188.677274516824</c:v>
                </c:pt>
                <c:pt idx="373">
                  <c:v>188.408464805446</c:v>
                </c:pt>
                <c:pt idx="374">
                  <c:v>188.140183415538</c:v>
                </c:pt>
                <c:pt idx="375">
                  <c:v>187.872428449266</c:v>
                </c:pt>
                <c:pt idx="376">
                  <c:v>187.6051980179</c:v>
                </c:pt>
                <c:pt idx="377">
                  <c:v>187.338490241764</c:v>
                </c:pt>
                <c:pt idx="378">
                  <c:v>187.072303250177</c:v>
                </c:pt>
                <c:pt idx="379">
                  <c:v>186.806635181404</c:v>
                </c:pt>
                <c:pt idx="380">
                  <c:v>186.541484182599</c:v>
                </c:pt>
                <c:pt idx="381">
                  <c:v>186.276848409752</c:v>
                </c:pt>
                <c:pt idx="382">
                  <c:v>186.012726027638</c:v>
                </c:pt>
                <c:pt idx="383">
                  <c:v>185.749115209763</c:v>
                </c:pt>
                <c:pt idx="384">
                  <c:v>185.486014138312</c:v>
                </c:pt>
                <c:pt idx="385">
                  <c:v>185.2234210041</c:v>
                </c:pt>
                <c:pt idx="386">
                  <c:v>184.961334006515</c:v>
                </c:pt>
                <c:pt idx="387">
                  <c:v>184.699751353473</c:v>
                </c:pt>
                <c:pt idx="388">
                  <c:v>184.438671261365</c:v>
                </c:pt>
                <c:pt idx="389">
                  <c:v>184.178091955004</c:v>
                </c:pt>
                <c:pt idx="390">
                  <c:v>183.918011667583</c:v>
                </c:pt>
                <c:pt idx="391">
                  <c:v>183.658428640614</c:v>
                </c:pt>
                <c:pt idx="392">
                  <c:v>183.399341123891</c:v>
                </c:pt>
                <c:pt idx="393">
                  <c:v>183.140747375432</c:v>
                </c:pt>
                <c:pt idx="394">
                  <c:v>182.882645661436</c:v>
                </c:pt>
                <c:pt idx="395">
                  <c:v>182.625034256231</c:v>
                </c:pt>
                <c:pt idx="396">
                  <c:v>182.367911442231</c:v>
                </c:pt>
                <c:pt idx="397">
                  <c:v>182.111275509882</c:v>
                </c:pt>
                <c:pt idx="398">
                  <c:v>181.855124757622</c:v>
                </c:pt>
                <c:pt idx="399">
                  <c:v>181.599457491829</c:v>
                </c:pt>
                <c:pt idx="400">
                  <c:v>181.344272026778</c:v>
                </c:pt>
                <c:pt idx="401">
                  <c:v>178.797354905654</c:v>
                </c:pt>
                <c:pt idx="402">
                  <c:v>176.297915496288</c:v>
                </c:pt>
                <c:pt idx="403">
                  <c:v>173.844328712355</c:v>
                </c:pt>
                <c:pt idx="404">
                  <c:v>171.435043173368</c:v>
                </c:pt>
                <c:pt idx="405">
                  <c:v>169.06857706072</c:v>
                </c:pt>
                <c:pt idx="406">
                  <c:v>166.743514253621</c:v>
                </c:pt>
                <c:pt idx="407">
                  <c:v>164.458500723149</c:v>
                </c:pt>
                <c:pt idx="408">
                  <c:v>162.212241164548</c:v>
                </c:pt>
                <c:pt idx="409">
                  <c:v>160.003495849669</c:v>
                </c:pt>
                <c:pt idx="410">
                  <c:v>157.83107768299</c:v>
                </c:pt>
                <c:pt idx="411">
                  <c:v>155.693849446106</c:v>
                </c:pt>
                <c:pt idx="412">
                  <c:v>153.590721216831</c:v>
                </c:pt>
                <c:pt idx="413">
                  <c:v>151.520647950233</c:v>
                </c:pt>
                <c:pt idx="414">
                  <c:v>149.482627209978</c:v>
                </c:pt>
                <c:pt idx="415">
                  <c:v>147.475697039314</c:v>
                </c:pt>
                <c:pt idx="416">
                  <c:v>145.498933961885</c:v>
                </c:pt>
                <c:pt idx="417">
                  <c:v>143.551451103372</c:v>
                </c:pt>
                <c:pt idx="418">
                  <c:v>141.63239642568</c:v>
                </c:pt>
                <c:pt idx="419">
                  <c:v>139.740951066024</c:v>
                </c:pt>
                <c:pt idx="420">
                  <c:v>137.876327773895</c:v>
                </c:pt>
                <c:pt idx="421">
                  <c:v>136.037769439418</c:v>
                </c:pt>
                <c:pt idx="422">
                  <c:v>134.224547707125</c:v>
                </c:pt>
                <c:pt idx="423">
                  <c:v>132.435961669607</c:v>
                </c:pt>
                <c:pt idx="424">
                  <c:v>130.671336635965</c:v>
                </c:pt>
                <c:pt idx="425">
                  <c:v>128.930022970323</c:v>
                </c:pt>
                <c:pt idx="426">
                  <c:v>127.211394996053</c:v>
                </c:pt>
                <c:pt idx="427">
                  <c:v>125.514849961678</c:v>
                </c:pt>
                <c:pt idx="428">
                  <c:v>123.839807064713</c:v>
                </c:pt>
                <c:pt idx="429">
                  <c:v>122.185706529986</c:v>
                </c:pt>
                <c:pt idx="430">
                  <c:v>120.552008739246</c:v>
                </c:pt>
                <c:pt idx="431">
                  <c:v>118.938193409079</c:v>
                </c:pt>
                <c:pt idx="432">
                  <c:v>117.343758814394</c:v>
                </c:pt>
                <c:pt idx="433">
                  <c:v>115.768221054929</c:v>
                </c:pt>
                <c:pt idx="434">
                  <c:v>114.211113362418</c:v>
                </c:pt>
                <c:pt idx="435">
                  <c:v>112.671985446243</c:v>
                </c:pt>
                <c:pt idx="436">
                  <c:v>111.150402875536</c:v>
                </c:pt>
                <c:pt idx="437">
                  <c:v>109.64594649588</c:v>
                </c:pt>
                <c:pt idx="438">
                  <c:v>108.158211878868</c:v>
                </c:pt>
                <c:pt idx="439">
                  <c:v>106.686808802923</c:v>
                </c:pt>
                <c:pt idx="440">
                  <c:v>105.231360763921</c:v>
                </c:pt>
                <c:pt idx="441">
                  <c:v>103.791504514254</c:v>
                </c:pt>
                <c:pt idx="442">
                  <c:v>102.36688962908</c:v>
                </c:pt>
                <c:pt idx="443">
                  <c:v>100.957178098648</c:v>
                </c:pt>
                <c:pt idx="444">
                  <c:v>99.5620439456241</c:v>
                </c:pt>
                <c:pt idx="445">
                  <c:v>98.1811728664983</c:v>
                </c:pt>
                <c:pt idx="446">
                  <c:v>96.814261896206</c:v>
                </c:pt>
                <c:pt idx="447">
                  <c:v>95.4610190951937</c:v>
                </c:pt>
                <c:pt idx="448">
                  <c:v>94.1211632582462</c:v>
                </c:pt>
                <c:pt idx="449">
                  <c:v>92.7944236444698</c:v>
                </c:pt>
                <c:pt idx="450">
                  <c:v>91.4805397279038</c:v>
                </c:pt>
                <c:pt idx="451">
                  <c:v>90.1792609683117</c:v>
                </c:pt>
                <c:pt idx="452">
                  <c:v>88.8903466017763</c:v>
                </c:pt>
                <c:pt idx="453">
                  <c:v>87.6135654508011</c:v>
                </c:pt>
                <c:pt idx="454">
                  <c:v>86.3486957536904</c:v>
                </c:pt>
                <c:pt idx="455">
                  <c:v>85.0955250130572</c:v>
                </c:pt>
                <c:pt idx="456">
                  <c:v>83.8538498633823</c:v>
                </c:pt>
                <c:pt idx="457">
                  <c:v>82.6234759576204</c:v>
                </c:pt>
                <c:pt idx="458">
                  <c:v>81.4042178729293</c:v>
                </c:pt>
                <c:pt idx="459">
                  <c:v>80.1958990356712</c:v>
                </c:pt>
                <c:pt idx="460">
                  <c:v>78.9983516659192</c:v>
                </c:pt>
                <c:pt idx="461">
                  <c:v>77.8114167417799</c:v>
                </c:pt>
                <c:pt idx="462">
                  <c:v>76.6349439839309</c:v>
                </c:pt>
                <c:pt idx="463">
                  <c:v>75.4687918608563</c:v>
                </c:pt>
                <c:pt idx="464">
                  <c:v>74.3128276153573</c:v>
                </c:pt>
                <c:pt idx="465">
                  <c:v>73.1669273130077</c:v>
                </c:pt>
                <c:pt idx="466">
                  <c:v>72.0309759133235</c:v>
                </c:pt>
                <c:pt idx="467">
                  <c:v>70.9048673645201</c:v>
                </c:pt>
                <c:pt idx="468">
                  <c:v>69.7885047228369</c:v>
                </c:pt>
                <c:pt idx="469">
                  <c:v>68.6818002975235</c:v>
                </c:pt>
                <c:pt idx="470">
                  <c:v>67.5846758226995</c:v>
                </c:pt>
                <c:pt idx="471">
                  <c:v>66.4970626574217</c:v>
                </c:pt>
                <c:pt idx="472">
                  <c:v>65.4189020154228</c:v>
                </c:pt>
                <c:pt idx="473">
                  <c:v>64.3501452261152</c:v>
                </c:pt>
                <c:pt idx="474">
                  <c:v>63.2907540285945</c:v>
                </c:pt>
                <c:pt idx="475">
                  <c:v>62.2407009005139</c:v>
                </c:pt>
                <c:pt idx="476">
                  <c:v>61.1999694238439</c:v>
                </c:pt>
                <c:pt idx="477">
                  <c:v>60.1685546896785</c:v>
                </c:pt>
                <c:pt idx="478">
                  <c:v>59.1464637443853</c:v>
                </c:pt>
                <c:pt idx="479">
                  <c:v>58.1337160795396</c:v>
                </c:pt>
                <c:pt idx="480">
                  <c:v>57.1303441682091</c:v>
                </c:pt>
                <c:pt idx="481">
                  <c:v>56.1363940502756</c:v>
                </c:pt>
                <c:pt idx="482">
                  <c:v>55.1519259695781</c:v>
                </c:pt>
                <c:pt idx="483">
                  <c:v>54.1770150657352</c:v>
                </c:pt>
                <c:pt idx="484">
                  <c:v>53.2117521235439</c:v>
                </c:pt>
                <c:pt idx="485">
                  <c:v>52.2562443828447</c:v>
                </c:pt>
                <c:pt idx="486">
                  <c:v>51.3106164116734</c:v>
                </c:pt>
                <c:pt idx="487">
                  <c:v>50.3750110453776</c:v>
                </c:pt>
                <c:pt idx="488">
                  <c:v>49.4495903941317</c:v>
                </c:pt>
                <c:pt idx="489">
                  <c:v>48.5345369209178</c:v>
                </c:pt>
                <c:pt idx="490">
                  <c:v>47.630054591524</c:v>
                </c:pt>
                <c:pt idx="491">
                  <c:v>46.7363700974028</c:v>
                </c:pt>
                <c:pt idx="492">
                  <c:v>45.8537341512989</c:v>
                </c:pt>
                <c:pt idx="493">
                  <c:v>44.9824228543393</c:v>
                </c:pt>
                <c:pt idx="494">
                  <c:v>44.122739131731</c:v>
                </c:pt>
                <c:pt idx="495">
                  <c:v>43.2750142322656</c:v>
                </c:pt>
                <c:pt idx="496">
                  <c:v>42.4396092844093</c:v>
                </c:pt>
                <c:pt idx="497">
                  <c:v>41.6169168987929</c:v>
                </c:pt>
                <c:pt idx="498">
                  <c:v>40.8073628033108</c:v>
                </c:pt>
                <c:pt idx="499">
                  <c:v>40.0114074927139</c:v>
                </c:pt>
                <c:pt idx="500">
                  <c:v>39.229547869438</c:v>
                </c:pt>
                <c:pt idx="501">
                  <c:v>38.4623188463782</c:v>
                </c:pt>
                <c:pt idx="502">
                  <c:v>37.7102948753161</c:v>
                </c:pt>
                <c:pt idx="503">
                  <c:v>36.9740913567075</c:v>
                </c:pt>
                <c:pt idx="504">
                  <c:v>36.2543658775269</c:v>
                </c:pt>
                <c:pt idx="505">
                  <c:v>35.5518192139186</c:v>
                </c:pt>
                <c:pt idx="506">
                  <c:v>34.86719602466</c:v>
                </c:pt>
                <c:pt idx="507">
                  <c:v>34.2012851501763</c:v>
                </c:pt>
                <c:pt idx="508">
                  <c:v>33.5549194204597</c:v>
                </c:pt>
                <c:pt idx="509">
                  <c:v>32.9289748643465</c:v>
                </c:pt>
                <c:pt idx="510">
                  <c:v>32.324369202991</c:v>
                </c:pt>
                <c:pt idx="511">
                  <c:v>31.7420595031101</c:v>
                </c:pt>
                <c:pt idx="512">
                  <c:v>31.183038861935</c:v>
                </c:pt>
                <c:pt idx="513">
                  <c:v>30.648331997345</c:v>
                </c:pt>
                <c:pt idx="514">
                  <c:v>30.1389896250602</c:v>
                </c:pt>
                <c:pt idx="515">
                  <c:v>29.656081521821</c:v>
                </c:pt>
                <c:pt idx="516">
                  <c:v>29.2006882008582</c:v>
                </c:pt>
                <c:pt idx="517">
                  <c:v>28.7738911650075</c:v>
                </c:pt>
                <c:pt idx="518">
                  <c:v>28.3767617542795</c:v>
                </c:pt>
                <c:pt idx="519">
                  <c:v>28.010348668328</c:v>
                </c:pt>
                <c:pt idx="520">
                  <c:v>27.6756643185525</c:v>
                </c:pt>
                <c:pt idx="521">
                  <c:v>27.3736702464291</c:v>
                </c:pt>
                <c:pt idx="522">
                  <c:v>27.1052619293112</c:v>
                </c:pt>
                <c:pt idx="523">
                  <c:v>26.8712533759561</c:v>
                </c:pt>
                <c:pt idx="524">
                  <c:v>26.6723619837696</c:v>
                </c:pt>
                <c:pt idx="525">
                  <c:v>26.5091941800134</c:v>
                </c:pt>
                <c:pt idx="526">
                  <c:v>26.3822323922024</c:v>
                </c:pt>
                <c:pt idx="527">
                  <c:v>26.2918238824685</c:v>
                </c:pt>
                <c:pt idx="528">
                  <c:v>26.2381719333286</c:v>
                </c:pt>
                <c:pt idx="529">
                  <c:v>26.22132978831</c:v>
                </c:pt>
                <c:pt idx="530">
                  <c:v>26.2411976345938</c:v>
                </c:pt>
                <c:pt idx="531">
                  <c:v>26.2975227745175</c:v>
                </c:pt>
                <c:pt idx="532">
                  <c:v>26.3899029798067</c:v>
                </c:pt>
                <c:pt idx="533">
                  <c:v>26.5177928698295</c:v>
                </c:pt>
                <c:pt idx="534">
                  <c:v>26.6805130160064</c:v>
                </c:pt>
                <c:pt idx="535">
                  <c:v>26.8772613600037</c:v>
                </c:pt>
                <c:pt idx="536">
                  <c:v>27.1071264515968</c:v>
                </c:pt>
                <c:pt idx="537">
                  <c:v>27.369101967245</c:v>
                </c:pt>
                <c:pt idx="538">
                  <c:v>27.6621019624662</c:v>
                </c:pt>
                <c:pt idx="539">
                  <c:v>27.984976336432</c:v>
                </c:pt>
                <c:pt idx="540">
                  <c:v>28.3365260394587</c:v>
                </c:pt>
                <c:pt idx="541">
                  <c:v>28.7155176253953</c:v>
                </c:pt>
                <c:pt idx="542">
                  <c:v>29.1206968330371</c:v>
                </c:pt>
                <c:pt idx="543">
                  <c:v>29.550800965987</c:v>
                </c:pt>
                <c:pt idx="544">
                  <c:v>30.0045699224684</c:v>
                </c:pt>
                <c:pt idx="545">
                  <c:v>30.4807558007517</c:v>
                </c:pt>
                <c:pt idx="546">
                  <c:v>30.9781310690863</c:v>
                </c:pt>
                <c:pt idx="547">
                  <c:v>31.4954953398859</c:v>
                </c:pt>
                <c:pt idx="548">
                  <c:v>32.0316808262648</c:v>
                </c:pt>
                <c:pt idx="549">
                  <c:v>32.5855565856402</c:v>
                </c:pt>
                <c:pt idx="550">
                  <c:v>33.1560316714241</c:v>
                </c:pt>
                <c:pt idx="551">
                  <c:v>33.7420573215303</c:v>
                </c:pt>
                <c:pt idx="552">
                  <c:v>34.3426283133246</c:v>
                </c:pt>
                <c:pt idx="553">
                  <c:v>34.9567836104666</c:v>
                </c:pt>
                <c:pt idx="554">
                  <c:v>35.5836064193594</c:v>
                </c:pt>
                <c:pt idx="555">
                  <c:v>36.2222237629402</c:v>
                </c:pt>
                <c:pt idx="556">
                  <c:v>36.8718056683459</c:v>
                </c:pt>
                <c:pt idx="557">
                  <c:v>37.5315640533815</c:v>
                </c:pt>
                <c:pt idx="558">
                  <c:v>38.2007513852894</c:v>
                </c:pt>
                <c:pt idx="559">
                  <c:v>38.8786591744634</c:v>
                </c:pt>
                <c:pt idx="560">
                  <c:v>39.564616355737</c:v>
                </c:pt>
                <c:pt idx="561">
                  <c:v>40.2579876008288</c:v>
                </c:pt>
                <c:pt idx="562">
                  <c:v>40.9581715975154</c:v>
                </c:pt>
                <c:pt idx="563">
                  <c:v>41.6645993241153</c:v>
                </c:pt>
                <c:pt idx="564">
                  <c:v>42.3767323418477</c:v>
                </c:pt>
                <c:pt idx="565">
                  <c:v>43.094061122528</c:v>
                </c:pt>
                <c:pt idx="566">
                  <c:v>43.8161034247674</c:v>
                </c:pt>
                <c:pt idx="567">
                  <c:v>44.5424027282836</c:v>
                </c:pt>
                <c:pt idx="568">
                  <c:v>45.2725267330013</c:v>
                </c:pt>
                <c:pt idx="569">
                  <c:v>46.0060659272437</c:v>
                </c:pt>
                <c:pt idx="570">
                  <c:v>46.742632227408</c:v>
                </c:pt>
                <c:pt idx="571">
                  <c:v>47.4818576900043</c:v>
                </c:pt>
                <c:pt idx="572">
                  <c:v>48.2233932957557</c:v>
                </c:pt>
                <c:pt idx="573">
                  <c:v>48.9669078045534</c:v>
                </c:pt>
                <c:pt idx="574">
                  <c:v>49.7120866793785</c:v>
                </c:pt>
                <c:pt idx="575">
                  <c:v>50.4586310768094</c:v>
                </c:pt>
                <c:pt idx="576">
                  <c:v>51.206256901388</c:v>
                </c:pt>
                <c:pt idx="577">
                  <c:v>51.954693920893</c:v>
                </c:pt>
                <c:pt idx="578">
                  <c:v>52.7036849394377</c:v>
                </c:pt>
                <c:pt idx="579">
                  <c:v>53.452985025255</c:v>
                </c:pt>
                <c:pt idx="580">
                  <c:v>54.2023607900339</c:v>
                </c:pt>
                <c:pt idx="581">
                  <c:v>54.9515897167192</c:v>
                </c:pt>
                <c:pt idx="582">
                  <c:v>55.7004595327624</c:v>
                </c:pt>
                <c:pt idx="583">
                  <c:v>56.4487676259185</c:v>
                </c:pt>
                <c:pt idx="584">
                  <c:v>57.196320499798</c:v>
                </c:pt>
                <c:pt idx="585">
                  <c:v>57.942933266518</c:v>
                </c:pt>
                <c:pt idx="586">
                  <c:v>58.6884291739281</c:v>
                </c:pt>
                <c:pt idx="587">
                  <c:v>59.4326391650292</c:v>
                </c:pt>
                <c:pt idx="588">
                  <c:v>60.1754014673405</c:v>
                </c:pt>
                <c:pt idx="589">
                  <c:v>60.9165612101063</c:v>
                </c:pt>
                <c:pt idx="590">
                  <c:v>61.65597006737</c:v>
                </c:pt>
                <c:pt idx="591">
                  <c:v>62.3934859250686</c:v>
                </c:pt>
                <c:pt idx="592">
                  <c:v>63.128972570426</c:v>
                </c:pt>
                <c:pt idx="593">
                  <c:v>63.8622994020412</c:v>
                </c:pt>
                <c:pt idx="594">
                  <c:v>64.5933411591765</c:v>
                </c:pt>
                <c:pt idx="595">
                  <c:v>65.3219776688593</c:v>
                </c:pt>
                <c:pt idx="596">
                  <c:v>66.0480936095067</c:v>
                </c:pt>
                <c:pt idx="597">
                  <c:v>66.7715782898767</c:v>
                </c:pt>
                <c:pt idx="598">
                  <c:v>67.4923254422367</c:v>
                </c:pt>
                <c:pt idx="599">
                  <c:v>68.2102330287177</c:v>
                </c:pt>
                <c:pt idx="600">
                  <c:v>68.9252030599042</c:v>
                </c:pt>
                <c:pt idx="601">
                  <c:v>69.6371414247723</c:v>
                </c:pt>
                <c:pt idx="602">
                  <c:v>70.3459577311602</c:v>
                </c:pt>
                <c:pt idx="603">
                  <c:v>71.0515651560125</c:v>
                </c:pt>
                <c:pt idx="604">
                  <c:v>71.7538803046959</c:v>
                </c:pt>
                <c:pt idx="605">
                  <c:v>72.4528230787371</c:v>
                </c:pt>
                <c:pt idx="606">
                  <c:v>73.1483165513816</c:v>
                </c:pt>
                <c:pt idx="607">
                  <c:v>73.8402868504153</c:v>
                </c:pt>
                <c:pt idx="608">
                  <c:v>74.528663047734</c:v>
                </c:pt>
                <c:pt idx="609">
                  <c:v>75.2133770551833</c:v>
                </c:pt>
                <c:pt idx="610">
                  <c:v>75.8943635262256</c:v>
                </c:pt>
                <c:pt idx="611">
                  <c:v>76.5715597630261</c:v>
                </c:pt>
                <c:pt idx="612">
                  <c:v>77.2449056285764</c:v>
                </c:pt>
                <c:pt idx="613">
                  <c:v>77.914343463506</c:v>
                </c:pt>
                <c:pt idx="614">
                  <c:v>78.5798180072548</c:v>
                </c:pt>
                <c:pt idx="615">
                  <c:v>79.2412763233049</c:v>
                </c:pt>
                <c:pt idx="616">
                  <c:v>79.8986677281922</c:v>
                </c:pt>
                <c:pt idx="617">
                  <c:v>80.5519437240376</c:v>
                </c:pt>
                <c:pt idx="618">
                  <c:v>81.2010579343587</c:v>
                </c:pt>
                <c:pt idx="619">
                  <c:v>81.8459660429367</c:v>
                </c:pt>
                <c:pt idx="620">
                  <c:v>82.4866257355336</c:v>
                </c:pt>
                <c:pt idx="621">
                  <c:v>83.1229966442666</c:v>
                </c:pt>
                <c:pt idx="622">
                  <c:v>83.7550402944619</c:v>
                </c:pt>
                <c:pt idx="623">
                  <c:v>84.382720053822</c:v>
                </c:pt>
                <c:pt idx="624">
                  <c:v>85.0060010837538</c:v>
                </c:pt>
                <c:pt idx="625">
                  <c:v>85.6248502927146</c:v>
                </c:pt>
                <c:pt idx="626">
                  <c:v>86.2392362914433</c:v>
                </c:pt>
                <c:pt idx="627">
                  <c:v>86.849129349955</c:v>
                </c:pt>
                <c:pt idx="628">
                  <c:v>87.4545013561838</c:v>
                </c:pt>
                <c:pt idx="629">
                  <c:v>88.0553257761679</c:v>
                </c:pt>
                <c:pt idx="630">
                  <c:v>88.6515776156797</c:v>
                </c:pt>
                <c:pt idx="631">
                  <c:v>89.2432333832078</c:v>
                </c:pt>
                <c:pt idx="632">
                  <c:v>89.830271054207</c:v>
                </c:pt>
                <c:pt idx="633">
                  <c:v>90.4126700365369</c:v>
                </c:pt>
                <c:pt idx="634">
                  <c:v>90.990411137016</c:v>
                </c:pt>
                <c:pt idx="635">
                  <c:v>91.5634765290227</c:v>
                </c:pt>
                <c:pt idx="636">
                  <c:v>92.1318497210801</c:v>
                </c:pt>
                <c:pt idx="637">
                  <c:v>92.6955155263657</c:v>
                </c:pt>
                <c:pt idx="638">
                  <c:v>93.2544600330911</c:v>
                </c:pt>
                <c:pt idx="639">
                  <c:v>93.8086705757013</c:v>
                </c:pt>
                <c:pt idx="640">
                  <c:v>94.3581357068458</c:v>
                </c:pt>
                <c:pt idx="641">
                  <c:v>94.9028451700779</c:v>
                </c:pt>
                <c:pt idx="642">
                  <c:v>95.4427898732414</c:v>
                </c:pt>
                <c:pt idx="643">
                  <c:v>95.9779618625068</c:v>
                </c:pt>
                <c:pt idx="644">
                  <c:v>96.5083542970219</c:v>
                </c:pt>
                <c:pt idx="645">
                  <c:v>97.033961424144</c:v>
                </c:pt>
                <c:pt idx="646">
                  <c:v>97.5547785552233</c:v>
                </c:pt>
                <c:pt idx="647">
                  <c:v>98.0708020419096</c:v>
                </c:pt>
                <c:pt idx="648">
                  <c:v>98.5820292529561</c:v>
                </c:pt>
                <c:pt idx="649">
                  <c:v>99.0884585514954</c:v>
                </c:pt>
                <c:pt idx="650">
                  <c:v>99.5900892727667</c:v>
                </c:pt>
                <c:pt idx="651">
                  <c:v>100.086921702271</c:v>
                </c:pt>
                <c:pt idx="652">
                  <c:v>100.578957054339</c:v>
                </c:pt>
                <c:pt idx="653">
                  <c:v>101.066197451087</c:v>
                </c:pt>
                <c:pt idx="654">
                  <c:v>101.54864590175</c:v>
                </c:pt>
                <c:pt idx="655">
                  <c:v>102.026306282381</c:v>
                </c:pt>
                <c:pt idx="656">
                  <c:v>102.499183315882</c:v>
                </c:pt>
                <c:pt idx="657">
                  <c:v>102.967282552382</c:v>
                </c:pt>
                <c:pt idx="658">
                  <c:v>103.430610349928</c:v>
                </c:pt>
                <c:pt idx="659">
                  <c:v>103.889173855486</c:v>
                </c:pt>
                <c:pt idx="660">
                  <c:v>104.34298098624</c:v>
                </c:pt>
                <c:pt idx="661">
                  <c:v>104.792040411182</c:v>
                </c:pt>
                <c:pt idx="662">
                  <c:v>105.236361532983</c:v>
                </c:pt>
                <c:pt idx="663">
                  <c:v>105.675954470129</c:v>
                </c:pt>
                <c:pt idx="664">
                  <c:v>106.11083003933</c:v>
                </c:pt>
                <c:pt idx="665">
                  <c:v>106.540999738179</c:v>
                </c:pt>
                <c:pt idx="666">
                  <c:v>106.966475728066</c:v>
                </c:pt>
                <c:pt idx="667">
                  <c:v>107.387270817336</c:v>
                </c:pt>
                <c:pt idx="668">
                  <c:v>107.803398444682</c:v>
                </c:pt>
                <c:pt idx="669">
                  <c:v>108.214872662778</c:v>
                </c:pt>
                <c:pt idx="670">
                  <c:v>108.621708122136</c:v>
                </c:pt>
                <c:pt idx="671">
                  <c:v>109.023920055192</c:v>
                </c:pt>
                <c:pt idx="672">
                  <c:v>109.421524260612</c:v>
                </c:pt>
                <c:pt idx="673">
                  <c:v>109.814537087813</c:v>
                </c:pt>
                <c:pt idx="674">
                  <c:v>110.202975421699</c:v>
                </c:pt>
                <c:pt idx="675">
                  <c:v>110.586856667609</c:v>
                </c:pt>
                <c:pt idx="676">
                  <c:v>110.966198736474</c:v>
                </c:pt>
                <c:pt idx="677">
                  <c:v>111.341020030173</c:v>
                </c:pt>
                <c:pt idx="678">
                  <c:v>111.7113394271</c:v>
                </c:pt>
                <c:pt idx="679">
                  <c:v>112.077176267926</c:v>
                </c:pt>
                <c:pt idx="680">
                  <c:v>112.43855034156</c:v>
                </c:pt>
                <c:pt idx="681">
                  <c:v>112.795481871308</c:v>
                </c:pt>
                <c:pt idx="682">
                  <c:v>113.147991501227</c:v>
                </c:pt>
                <c:pt idx="683">
                  <c:v>113.496100282667</c:v>
                </c:pt>
                <c:pt idx="684">
                  <c:v>113.839829661013</c:v>
                </c:pt>
                <c:pt idx="685">
                  <c:v>114.179201462607</c:v>
                </c:pt>
                <c:pt idx="686">
                  <c:v>114.514237881864</c:v>
                </c:pt>
                <c:pt idx="687">
                  <c:v>114.844961468579</c:v>
                </c:pt>
                <c:pt idx="688">
                  <c:v>115.171395115408</c:v>
                </c:pt>
                <c:pt idx="689">
                  <c:v>115.493562045544</c:v>
                </c:pt>
                <c:pt idx="690">
                  <c:v>115.811485800573</c:v>
                </c:pt>
                <c:pt idx="691">
                  <c:v>116.125190228515</c:v>
                </c:pt>
                <c:pt idx="692">
                  <c:v>116.434699472039</c:v>
                </c:pt>
                <c:pt idx="693">
                  <c:v>116.740037956866</c:v>
                </c:pt>
                <c:pt idx="694">
                  <c:v>117.041230380351</c:v>
                </c:pt>
                <c:pt idx="695">
                  <c:v>117.338301700237</c:v>
                </c:pt>
                <c:pt idx="696">
                  <c:v>117.631277123594</c:v>
                </c:pt>
                <c:pt idx="697">
                  <c:v>117.920182095931</c:v>
                </c:pt>
                <c:pt idx="698">
                  <c:v>118.20504229048</c:v>
                </c:pt>
                <c:pt idx="699">
                  <c:v>118.485883597666</c:v>
                </c:pt>
                <c:pt idx="700">
                  <c:v>118.762732114736</c:v>
                </c:pt>
                <c:pt idx="701">
                  <c:v>119.035614135575</c:v>
                </c:pt>
                <c:pt idx="702">
                  <c:v>119.304556140681</c:v>
                </c:pt>
                <c:pt idx="703">
                  <c:v>119.569584787322</c:v>
                </c:pt>
                <c:pt idx="704">
                  <c:v>119.830726899858</c:v>
                </c:pt>
                <c:pt idx="705">
                  <c:v>120.088009460231</c:v>
                </c:pt>
                <c:pt idx="706">
                  <c:v>120.341459598624</c:v>
                </c:pt>
                <c:pt idx="707">
                  <c:v>120.591104584291</c:v>
                </c:pt>
                <c:pt idx="708">
                  <c:v>120.836971816549</c:v>
                </c:pt>
                <c:pt idx="709">
                  <c:v>121.079088815935</c:v>
                </c:pt>
                <c:pt idx="710">
                  <c:v>121.317483215528</c:v>
                </c:pt>
                <c:pt idx="711">
                  <c:v>121.552182752438</c:v>
                </c:pt>
                <c:pt idx="712">
                  <c:v>121.78321525945</c:v>
                </c:pt>
                <c:pt idx="713">
                  <c:v>122.010608656835</c:v>
                </c:pt>
                <c:pt idx="714">
                  <c:v>122.234390944314</c:v>
                </c:pt>
                <c:pt idx="715">
                  <c:v>122.45459019319</c:v>
                </c:pt>
                <c:pt idx="716">
                  <c:v>122.671234538629</c:v>
                </c:pt>
                <c:pt idx="717">
                  <c:v>122.884352172101</c:v>
                </c:pt>
                <c:pt idx="718">
                  <c:v>123.093971333976</c:v>
                </c:pt>
                <c:pt idx="719">
                  <c:v>123.300120306272</c:v>
                </c:pt>
                <c:pt idx="720">
                  <c:v>123.502827405559</c:v>
                </c:pt>
                <c:pt idx="721">
                  <c:v>123.702120976011</c:v>
                </c:pt>
                <c:pt idx="722">
                  <c:v>123.898029382609</c:v>
                </c:pt>
                <c:pt idx="723">
                  <c:v>124.090581004494</c:v>
                </c:pt>
                <c:pt idx="724">
                  <c:v>124.090770188614</c:v>
                </c:pt>
                <c:pt idx="725">
                  <c:v>124.090959369442</c:v>
                </c:pt>
                <c:pt idx="726">
                  <c:v>124.091148546978</c:v>
                </c:pt>
                <c:pt idx="727">
                  <c:v>124.091337721222</c:v>
                </c:pt>
                <c:pt idx="728">
                  <c:v>124.091526892174</c:v>
                </c:pt>
                <c:pt idx="729">
                  <c:v>124.091716059833</c:v>
                </c:pt>
                <c:pt idx="730">
                  <c:v>124.0919052242</c:v>
                </c:pt>
                <c:pt idx="731">
                  <c:v>124.092094385276</c:v>
                </c:pt>
                <c:pt idx="732">
                  <c:v>124.092283543059</c:v>
                </c:pt>
                <c:pt idx="733">
                  <c:v>124.09247269755</c:v>
                </c:pt>
                <c:pt idx="734">
                  <c:v>124.092661848749</c:v>
                </c:pt>
                <c:pt idx="735">
                  <c:v>124.092850996657</c:v>
                </c:pt>
                <c:pt idx="736">
                  <c:v>124.093040141272</c:v>
                </c:pt>
                <c:pt idx="737">
                  <c:v>124.093229282595</c:v>
                </c:pt>
                <c:pt idx="738">
                  <c:v>124.093418420627</c:v>
                </c:pt>
                <c:pt idx="739">
                  <c:v>124.093607555367</c:v>
                </c:pt>
                <c:pt idx="740">
                  <c:v>124.093796686814</c:v>
                </c:pt>
                <c:pt idx="741">
                  <c:v>124.093985814971</c:v>
                </c:pt>
                <c:pt idx="742">
                  <c:v>124.094174939835</c:v>
                </c:pt>
                <c:pt idx="743">
                  <c:v>124.094364061407</c:v>
                </c:pt>
                <c:pt idx="744">
                  <c:v>124.094553179688</c:v>
                </c:pt>
                <c:pt idx="745">
                  <c:v>124.094742294677</c:v>
                </c:pt>
                <c:pt idx="746">
                  <c:v>124.094931406375</c:v>
                </c:pt>
                <c:pt idx="747">
                  <c:v>124.095120514781</c:v>
                </c:pt>
                <c:pt idx="748">
                  <c:v>124.095309619895</c:v>
                </c:pt>
                <c:pt idx="749">
                  <c:v>124.095498721718</c:v>
                </c:pt>
                <c:pt idx="750">
                  <c:v>124.095687820249</c:v>
                </c:pt>
                <c:pt idx="751">
                  <c:v>124.095876915489</c:v>
                </c:pt>
                <c:pt idx="752">
                  <c:v>124.096066007437</c:v>
                </c:pt>
                <c:pt idx="753">
                  <c:v>124.096255096093</c:v>
                </c:pt>
                <c:pt idx="754">
                  <c:v>124.096444181459</c:v>
                </c:pt>
                <c:pt idx="755">
                  <c:v>124.096633263533</c:v>
                </c:pt>
                <c:pt idx="756">
                  <c:v>124.096822342315</c:v>
                </c:pt>
                <c:pt idx="757">
                  <c:v>124.097011417806</c:v>
                </c:pt>
                <c:pt idx="758">
                  <c:v>124.097200490006</c:v>
                </c:pt>
                <c:pt idx="759">
                  <c:v>124.097389558915</c:v>
                </c:pt>
                <c:pt idx="760">
                  <c:v>124.097578624532</c:v>
                </c:pt>
                <c:pt idx="761">
                  <c:v>124.097767686858</c:v>
                </c:pt>
                <c:pt idx="762">
                  <c:v>124.097956745893</c:v>
                </c:pt>
                <c:pt idx="763">
                  <c:v>124.098145801636</c:v>
                </c:pt>
                <c:pt idx="764">
                  <c:v>124.098334854089</c:v>
                </c:pt>
                <c:pt idx="765">
                  <c:v>124.09852390325</c:v>
                </c:pt>
                <c:pt idx="766">
                  <c:v>124.098712949121</c:v>
                </c:pt>
                <c:pt idx="767">
                  <c:v>124.0989019917</c:v>
                </c:pt>
                <c:pt idx="768">
                  <c:v>124.099091030988</c:v>
                </c:pt>
                <c:pt idx="769">
                  <c:v>124.099280066985</c:v>
                </c:pt>
                <c:pt idx="770">
                  <c:v>124.099469099691</c:v>
                </c:pt>
                <c:pt idx="771">
                  <c:v>124.099658129107</c:v>
                </c:pt>
                <c:pt idx="772">
                  <c:v>124.099847155231</c:v>
                </c:pt>
                <c:pt idx="773">
                  <c:v>124.100036178064</c:v>
                </c:pt>
                <c:pt idx="774">
                  <c:v>124.100225197607</c:v>
                </c:pt>
                <c:pt idx="775">
                  <c:v>124.100414213858</c:v>
                </c:pt>
                <c:pt idx="776">
                  <c:v>124.100603226819</c:v>
                </c:pt>
                <c:pt idx="777">
                  <c:v>124.100792236489</c:v>
                </c:pt>
                <c:pt idx="778">
                  <c:v>124.100981242869</c:v>
                </c:pt>
                <c:pt idx="779">
                  <c:v>124.101170245957</c:v>
                </c:pt>
                <c:pt idx="780">
                  <c:v>124.101359245755</c:v>
                </c:pt>
                <c:pt idx="781">
                  <c:v>124.101548242263</c:v>
                </c:pt>
                <c:pt idx="782">
                  <c:v>124.101737235479</c:v>
                </c:pt>
                <c:pt idx="783">
                  <c:v>124.101926225405</c:v>
                </c:pt>
                <c:pt idx="784">
                  <c:v>124.102115212041</c:v>
                </c:pt>
                <c:pt idx="785">
                  <c:v>124.102304195385</c:v>
                </c:pt>
                <c:pt idx="786">
                  <c:v>124.10249317544</c:v>
                </c:pt>
                <c:pt idx="787">
                  <c:v>124.102682152203</c:v>
                </c:pt>
                <c:pt idx="788">
                  <c:v>124.102871125677</c:v>
                </c:pt>
                <c:pt idx="789">
                  <c:v>124.10306009586</c:v>
                </c:pt>
                <c:pt idx="790">
                  <c:v>124.103249062752</c:v>
                </c:pt>
                <c:pt idx="791">
                  <c:v>124.103438026354</c:v>
                </c:pt>
                <c:pt idx="792">
                  <c:v>124.103626986666</c:v>
                </c:pt>
                <c:pt idx="793">
                  <c:v>124.103815943687</c:v>
                </c:pt>
                <c:pt idx="794">
                  <c:v>124.104004897418</c:v>
                </c:pt>
                <c:pt idx="795">
                  <c:v>124.104193847859</c:v>
                </c:pt>
                <c:pt idx="796">
                  <c:v>124.104382795009</c:v>
                </c:pt>
                <c:pt idx="797">
                  <c:v>124.10457173887</c:v>
                </c:pt>
                <c:pt idx="798">
                  <c:v>124.10476067944</c:v>
                </c:pt>
                <c:pt idx="799">
                  <c:v>124.10494961672</c:v>
                </c:pt>
                <c:pt idx="800">
                  <c:v>124.105138550709</c:v>
                </c:pt>
                <c:pt idx="801">
                  <c:v>124.105327481409</c:v>
                </c:pt>
                <c:pt idx="802">
                  <c:v>124.105516408819</c:v>
                </c:pt>
                <c:pt idx="803">
                  <c:v>124.105705332938</c:v>
                </c:pt>
                <c:pt idx="804">
                  <c:v>124.105894253768</c:v>
                </c:pt>
                <c:pt idx="805">
                  <c:v>124.106083171307</c:v>
                </c:pt>
                <c:pt idx="806">
                  <c:v>124.106272085557</c:v>
                </c:pt>
                <c:pt idx="807">
                  <c:v>124.106460996516</c:v>
                </c:pt>
                <c:pt idx="808">
                  <c:v>124.106649904186</c:v>
                </c:pt>
                <c:pt idx="809">
                  <c:v>124.106838808566</c:v>
                </c:pt>
                <c:pt idx="810">
                  <c:v>124.107027709656</c:v>
                </c:pt>
                <c:pt idx="811">
                  <c:v>124.107216607456</c:v>
                </c:pt>
                <c:pt idx="812">
                  <c:v>124.107405501966</c:v>
                </c:pt>
                <c:pt idx="813">
                  <c:v>124.107594393186</c:v>
                </c:pt>
                <c:pt idx="814">
                  <c:v>124.107783281117</c:v>
                </c:pt>
                <c:pt idx="815">
                  <c:v>124.107972165758</c:v>
                </c:pt>
                <c:pt idx="816">
                  <c:v>124.10816104711</c:v>
                </c:pt>
                <c:pt idx="817">
                  <c:v>124.108349925171</c:v>
                </c:pt>
                <c:pt idx="818">
                  <c:v>124.108538799943</c:v>
                </c:pt>
                <c:pt idx="819">
                  <c:v>124.108727671426</c:v>
                </c:pt>
                <c:pt idx="820">
                  <c:v>124.108916539618</c:v>
                </c:pt>
                <c:pt idx="821">
                  <c:v>124.109105404522</c:v>
                </c:pt>
                <c:pt idx="822">
                  <c:v>124.109294266136</c:v>
                </c:pt>
                <c:pt idx="823">
                  <c:v>124.10948312446</c:v>
                </c:pt>
                <c:pt idx="824">
                  <c:v>124.109671979495</c:v>
                </c:pt>
                <c:pt idx="825">
                  <c:v>124.10986083124</c:v>
                </c:pt>
                <c:pt idx="826">
                  <c:v>124.110049679696</c:v>
                </c:pt>
                <c:pt idx="827">
                  <c:v>124.110238524863</c:v>
                </c:pt>
                <c:pt idx="828">
                  <c:v>124.11042736674</c:v>
                </c:pt>
                <c:pt idx="829">
                  <c:v>124.110616205328</c:v>
                </c:pt>
                <c:pt idx="830">
                  <c:v>124.110805040626</c:v>
                </c:pt>
                <c:pt idx="831">
                  <c:v>124.110993872636</c:v>
                </c:pt>
                <c:pt idx="832">
                  <c:v>124.111182701356</c:v>
                </c:pt>
                <c:pt idx="833">
                  <c:v>124.111371526787</c:v>
                </c:pt>
                <c:pt idx="834">
                  <c:v>124.111560348928</c:v>
                </c:pt>
                <c:pt idx="835">
                  <c:v>124.111749167781</c:v>
                </c:pt>
                <c:pt idx="836">
                  <c:v>124.111937983344</c:v>
                </c:pt>
                <c:pt idx="837">
                  <c:v>124.112126795619</c:v>
                </c:pt>
                <c:pt idx="838">
                  <c:v>124.112315604604</c:v>
                </c:pt>
                <c:pt idx="839">
                  <c:v>124.1125044103</c:v>
                </c:pt>
                <c:pt idx="840">
                  <c:v>124.112693212707</c:v>
                </c:pt>
                <c:pt idx="841">
                  <c:v>124.112882011825</c:v>
                </c:pt>
                <c:pt idx="842">
                  <c:v>124.113070807654</c:v>
                </c:pt>
                <c:pt idx="843">
                  <c:v>124.113259600195</c:v>
                </c:pt>
                <c:pt idx="844">
                  <c:v>124.113448389446</c:v>
                </c:pt>
                <c:pt idx="845">
                  <c:v>124.113637175409</c:v>
                </c:pt>
                <c:pt idx="846">
                  <c:v>124.113825958082</c:v>
                </c:pt>
                <c:pt idx="847">
                  <c:v>124.114014737467</c:v>
                </c:pt>
                <c:pt idx="848">
                  <c:v>124.114203513563</c:v>
                </c:pt>
                <c:pt idx="849">
                  <c:v>124.11439228637</c:v>
                </c:pt>
                <c:pt idx="850">
                  <c:v>124.114581055889</c:v>
                </c:pt>
                <c:pt idx="851">
                  <c:v>124.114769822119</c:v>
                </c:pt>
                <c:pt idx="852">
                  <c:v>124.11495858506</c:v>
                </c:pt>
                <c:pt idx="853">
                  <c:v>124.115147344712</c:v>
                </c:pt>
                <c:pt idx="854">
                  <c:v>124.115336101076</c:v>
                </c:pt>
                <c:pt idx="855">
                  <c:v>124.115524854151</c:v>
                </c:pt>
                <c:pt idx="856">
                  <c:v>124.115713603938</c:v>
                </c:pt>
                <c:pt idx="857">
                  <c:v>124.115902350436</c:v>
                </c:pt>
                <c:pt idx="858">
                  <c:v>124.116091093646</c:v>
                </c:pt>
                <c:pt idx="859">
                  <c:v>124.116279833567</c:v>
                </c:pt>
                <c:pt idx="860">
                  <c:v>124.1164685702</c:v>
                </c:pt>
                <c:pt idx="861">
                  <c:v>124.116657303544</c:v>
                </c:pt>
                <c:pt idx="862">
                  <c:v>124.1168460336</c:v>
                </c:pt>
                <c:pt idx="863">
                  <c:v>124.117034760367</c:v>
                </c:pt>
                <c:pt idx="864">
                  <c:v>124.117223483846</c:v>
                </c:pt>
                <c:pt idx="865">
                  <c:v>124.117412204037</c:v>
                </c:pt>
                <c:pt idx="866">
                  <c:v>124.11760092094</c:v>
                </c:pt>
                <c:pt idx="867">
                  <c:v>124.117789634554</c:v>
                </c:pt>
                <c:pt idx="868">
                  <c:v>124.11797834488</c:v>
                </c:pt>
                <c:pt idx="869">
                  <c:v>124.118167051918</c:v>
                </c:pt>
                <c:pt idx="870">
                  <c:v>124.118355755668</c:v>
                </c:pt>
                <c:pt idx="871">
                  <c:v>124.118544456129</c:v>
                </c:pt>
                <c:pt idx="872">
                  <c:v>124.118733153302</c:v>
                </c:pt>
                <c:pt idx="873">
                  <c:v>124.118921847188</c:v>
                </c:pt>
                <c:pt idx="874">
                  <c:v>124.119110537785</c:v>
                </c:pt>
                <c:pt idx="875">
                  <c:v>124.119299225094</c:v>
                </c:pt>
                <c:pt idx="876">
                  <c:v>124.119487909115</c:v>
                </c:pt>
                <c:pt idx="877">
                  <c:v>124.119676589849</c:v>
                </c:pt>
                <c:pt idx="878">
                  <c:v>124.119865267294</c:v>
                </c:pt>
                <c:pt idx="879">
                  <c:v>124.120053941451</c:v>
                </c:pt>
                <c:pt idx="880">
                  <c:v>124.120242612321</c:v>
                </c:pt>
                <c:pt idx="881">
                  <c:v>124.120431279902</c:v>
                </c:pt>
                <c:pt idx="882">
                  <c:v>124.120619944196</c:v>
                </c:pt>
                <c:pt idx="883">
                  <c:v>124.120808605202</c:v>
                </c:pt>
                <c:pt idx="884">
                  <c:v>124.12099726292</c:v>
                </c:pt>
                <c:pt idx="885">
                  <c:v>124.12118591735</c:v>
                </c:pt>
                <c:pt idx="886">
                  <c:v>124.121374568493</c:v>
                </c:pt>
                <c:pt idx="887">
                  <c:v>124.121563216348</c:v>
                </c:pt>
                <c:pt idx="888">
                  <c:v>124.121751860915</c:v>
                </c:pt>
                <c:pt idx="889">
                  <c:v>124.121940502195</c:v>
                </c:pt>
                <c:pt idx="890">
                  <c:v>124.122129140187</c:v>
                </c:pt>
                <c:pt idx="891">
                  <c:v>124.122317774891</c:v>
                </c:pt>
                <c:pt idx="892">
                  <c:v>124.122506406308</c:v>
                </c:pt>
                <c:pt idx="893">
                  <c:v>124.122695034437</c:v>
                </c:pt>
                <c:pt idx="894">
                  <c:v>124.122883659279</c:v>
                </c:pt>
                <c:pt idx="895">
                  <c:v>124.123072280834</c:v>
                </c:pt>
                <c:pt idx="896">
                  <c:v>124.123260899101</c:v>
                </c:pt>
                <c:pt idx="897">
                  <c:v>124.12344951408</c:v>
                </c:pt>
                <c:pt idx="898">
                  <c:v>124.123638125772</c:v>
                </c:pt>
                <c:pt idx="899">
                  <c:v>124.123826734177</c:v>
                </c:pt>
                <c:pt idx="900">
                  <c:v>124.124015339294</c:v>
                </c:pt>
                <c:pt idx="901">
                  <c:v>124.124203941125</c:v>
                </c:pt>
                <c:pt idx="902">
                  <c:v>124.124392539667</c:v>
                </c:pt>
                <c:pt idx="903">
                  <c:v>124.124581134923</c:v>
                </c:pt>
                <c:pt idx="904">
                  <c:v>124.124769726891</c:v>
                </c:pt>
                <c:pt idx="905">
                  <c:v>124.124958315572</c:v>
                </c:pt>
                <c:pt idx="906">
                  <c:v>124.125146900966</c:v>
                </c:pt>
                <c:pt idx="907">
                  <c:v>124.125335483073</c:v>
                </c:pt>
                <c:pt idx="908">
                  <c:v>124.125524061893</c:v>
                </c:pt>
                <c:pt idx="909">
                  <c:v>124.125712637426</c:v>
                </c:pt>
                <c:pt idx="910">
                  <c:v>124.125901209671</c:v>
                </c:pt>
                <c:pt idx="911">
                  <c:v>124.12608977863</c:v>
                </c:pt>
                <c:pt idx="912">
                  <c:v>124.126278344301</c:v>
                </c:pt>
                <c:pt idx="913">
                  <c:v>124.126466906686</c:v>
                </c:pt>
                <c:pt idx="914">
                  <c:v>124.126655465784</c:v>
                </c:pt>
                <c:pt idx="915">
                  <c:v>124.126844021595</c:v>
                </c:pt>
                <c:pt idx="916">
                  <c:v>124.127032574118</c:v>
                </c:pt>
                <c:pt idx="917">
                  <c:v>124.127221123355</c:v>
                </c:pt>
                <c:pt idx="918">
                  <c:v>124.127409669306</c:v>
                </c:pt>
                <c:pt idx="919">
                  <c:v>124.127598211969</c:v>
                </c:pt>
                <c:pt idx="920">
                  <c:v>124.127786751346</c:v>
                </c:pt>
                <c:pt idx="921">
                  <c:v>124.127975287435</c:v>
                </c:pt>
                <c:pt idx="922">
                  <c:v>124.128163820239</c:v>
                </c:pt>
                <c:pt idx="923">
                  <c:v>124.128352349755</c:v>
                </c:pt>
                <c:pt idx="924">
                  <c:v>124.128540875985</c:v>
                </c:pt>
                <c:pt idx="925">
                  <c:v>124.128729398928</c:v>
                </c:pt>
                <c:pt idx="926">
                  <c:v>124.128917918585</c:v>
                </c:pt>
                <c:pt idx="927">
                  <c:v>124.129106434955</c:v>
                </c:pt>
                <c:pt idx="928">
                  <c:v>124.129294948038</c:v>
                </c:pt>
                <c:pt idx="929">
                  <c:v>124.129483457835</c:v>
                </c:pt>
                <c:pt idx="930">
                  <c:v>124.129671964345</c:v>
                </c:pt>
                <c:pt idx="931">
                  <c:v>124.129860467569</c:v>
                </c:pt>
                <c:pt idx="932">
                  <c:v>124.130048967507</c:v>
                </c:pt>
                <c:pt idx="933">
                  <c:v>124.130237464158</c:v>
                </c:pt>
                <c:pt idx="934">
                  <c:v>124.130425957523</c:v>
                </c:pt>
                <c:pt idx="935">
                  <c:v>124.130614447601</c:v>
                </c:pt>
                <c:pt idx="936">
                  <c:v>124.130802934393</c:v>
                </c:pt>
                <c:pt idx="937">
                  <c:v>124.130991417899</c:v>
                </c:pt>
                <c:pt idx="938">
                  <c:v>124.131179898118</c:v>
                </c:pt>
                <c:pt idx="939">
                  <c:v>124.131368375052</c:v>
                </c:pt>
                <c:pt idx="940">
                  <c:v>124.131556848699</c:v>
                </c:pt>
                <c:pt idx="941">
                  <c:v>124.131745319059</c:v>
                </c:pt>
                <c:pt idx="942">
                  <c:v>124.131933786134</c:v>
                </c:pt>
                <c:pt idx="943">
                  <c:v>124.132122249923</c:v>
                </c:pt>
                <c:pt idx="944">
                  <c:v>124.132310710425</c:v>
                </c:pt>
                <c:pt idx="945">
                  <c:v>124.132499167642</c:v>
                </c:pt>
                <c:pt idx="946">
                  <c:v>124.132687621572</c:v>
                </c:pt>
                <c:pt idx="947">
                  <c:v>124.132876072216</c:v>
                </c:pt>
                <c:pt idx="948">
                  <c:v>124.133064519575</c:v>
                </c:pt>
                <c:pt idx="949">
                  <c:v>124.133252963647</c:v>
                </c:pt>
                <c:pt idx="950">
                  <c:v>124.133441404433</c:v>
                </c:pt>
                <c:pt idx="951">
                  <c:v>124.133629841934</c:v>
                </c:pt>
                <c:pt idx="952">
                  <c:v>124.133818276149</c:v>
                </c:pt>
                <c:pt idx="953">
                  <c:v>124.134006707077</c:v>
                </c:pt>
                <c:pt idx="954">
                  <c:v>124.13419513472</c:v>
                </c:pt>
                <c:pt idx="955">
                  <c:v>124.134383559078</c:v>
                </c:pt>
                <c:pt idx="956">
                  <c:v>124.134571980149</c:v>
                </c:pt>
                <c:pt idx="957">
                  <c:v>124.134760397935</c:v>
                </c:pt>
                <c:pt idx="958">
                  <c:v>124.134948812435</c:v>
                </c:pt>
                <c:pt idx="959">
                  <c:v>124.135137223649</c:v>
                </c:pt>
                <c:pt idx="960">
                  <c:v>124.135325631578</c:v>
                </c:pt>
                <c:pt idx="961">
                  <c:v>124.135514036221</c:v>
                </c:pt>
                <c:pt idx="962">
                  <c:v>124.135702437578</c:v>
                </c:pt>
                <c:pt idx="963">
                  <c:v>124.13589083565</c:v>
                </c:pt>
                <c:pt idx="964">
                  <c:v>124.136079230437</c:v>
                </c:pt>
                <c:pt idx="965">
                  <c:v>124.136267621937</c:v>
                </c:pt>
                <c:pt idx="966">
                  <c:v>124.136456010153</c:v>
                </c:pt>
                <c:pt idx="967">
                  <c:v>124.136644395083</c:v>
                </c:pt>
                <c:pt idx="968">
                  <c:v>124.136832776727</c:v>
                </c:pt>
                <c:pt idx="969">
                  <c:v>124.137021155086</c:v>
                </c:pt>
                <c:pt idx="970">
                  <c:v>124.13720953016</c:v>
                </c:pt>
                <c:pt idx="971">
                  <c:v>124.137397901948</c:v>
                </c:pt>
                <c:pt idx="972">
                  <c:v>124.137586270451</c:v>
                </c:pt>
                <c:pt idx="973">
                  <c:v>124.137774635669</c:v>
                </c:pt>
                <c:pt idx="974">
                  <c:v>124.137962997602</c:v>
                </c:pt>
                <c:pt idx="975">
                  <c:v>124.138151356249</c:v>
                </c:pt>
                <c:pt idx="976">
                  <c:v>124.138339711611</c:v>
                </c:pt>
                <c:pt idx="977">
                  <c:v>124.138528063688</c:v>
                </c:pt>
                <c:pt idx="978">
                  <c:v>124.13871641248</c:v>
                </c:pt>
                <c:pt idx="979">
                  <c:v>124.138904757986</c:v>
                </c:pt>
                <c:pt idx="980">
                  <c:v>124.139093100208</c:v>
                </c:pt>
                <c:pt idx="981">
                  <c:v>124.139281439144</c:v>
                </c:pt>
                <c:pt idx="982">
                  <c:v>124.139469774796</c:v>
                </c:pt>
                <c:pt idx="983">
                  <c:v>124.139658107162</c:v>
                </c:pt>
                <c:pt idx="984">
                  <c:v>124.139846436243</c:v>
                </c:pt>
                <c:pt idx="985">
                  <c:v>124.14003476204</c:v>
                </c:pt>
                <c:pt idx="986">
                  <c:v>124.140223084552</c:v>
                </c:pt>
                <c:pt idx="987">
                  <c:v>124.140411403778</c:v>
                </c:pt>
                <c:pt idx="988">
                  <c:v>124.14059971972</c:v>
                </c:pt>
                <c:pt idx="989">
                  <c:v>124.140788032377</c:v>
                </c:pt>
                <c:pt idx="990">
                  <c:v>124.140976341749</c:v>
                </c:pt>
                <c:pt idx="991">
                  <c:v>124.141164647837</c:v>
                </c:pt>
                <c:pt idx="992">
                  <c:v>124.141352950639</c:v>
                </c:pt>
                <c:pt idx="993">
                  <c:v>124.141541250157</c:v>
                </c:pt>
                <c:pt idx="994">
                  <c:v>124.141729546391</c:v>
                </c:pt>
                <c:pt idx="995">
                  <c:v>124.141917839339</c:v>
                </c:pt>
                <c:pt idx="996">
                  <c:v>124.142106129003</c:v>
                </c:pt>
                <c:pt idx="997">
                  <c:v>124.142294415382</c:v>
                </c:pt>
                <c:pt idx="998">
                  <c:v>124.142482698477</c:v>
                </c:pt>
                <c:pt idx="999">
                  <c:v>124.142670978287</c:v>
                </c:pt>
                <c:pt idx="1000">
                  <c:v>124.142859254813</c:v>
                </c:pt>
              </c:numCache>
            </c:numRef>
          </c:yVal>
          <c:smooth val="0"/>
        </c:ser>
        <c:axId val="39048667"/>
        <c:axId val="36145128"/>
      </c:scatterChart>
      <c:valAx>
        <c:axId val="39048667"/>
        <c:scaling>
          <c:orientation val="minMax"/>
        </c:scaling>
        <c:delete val="0"/>
        <c:axPos val="b"/>
        <c:majorGridlines>
          <c:spPr>
            <a:ln w="3240">
              <a:solidFill>
                <a:srgbClr val="000000"/>
              </a:solidFill>
              <a:prstDash val="sysDash"/>
              <a:round/>
            </a:ln>
          </c:spPr>
        </c:majorGridlines>
        <c:title>
          <c:tx>
            <c:rich>
              <a:bodyPr rot="0"/>
              <a:lstStyle/>
              <a:p>
                <a:pPr>
                  <a:defRPr b="0" sz="1000" spc="-1" strike="noStrike">
                    <a:solidFill>
                      <a:srgbClr val="000000"/>
                    </a:solidFill>
                    <a:latin typeface="Arial"/>
                    <a:ea typeface="Arial"/>
                  </a:defRPr>
                </a:pPr>
                <a:r>
                  <a:rPr b="0"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36145128"/>
        <c:crosses val="autoZero"/>
        <c:crossBetween val="midCat"/>
      </c:valAx>
      <c:valAx>
        <c:axId val="36145128"/>
        <c:scaling>
          <c:orientation val="minMax"/>
        </c:scaling>
        <c:delete val="0"/>
        <c:axPos val="l"/>
        <c:majorGridlines>
          <c:spPr>
            <a:ln w="3240">
              <a:solidFill>
                <a:srgbClr val="000000"/>
              </a:solidFill>
              <a:prstDash val="sysDash"/>
              <a:round/>
            </a:ln>
          </c:spPr>
        </c:majorGridlines>
        <c:title>
          <c:tx>
            <c:rich>
              <a:bodyPr rot="-5400000"/>
              <a:lstStyle/>
              <a:p>
                <a:pPr>
                  <a:defRPr b="1" sz="1000" spc="-1" strike="noStrike">
                    <a:solidFill>
                      <a:srgbClr val="000000"/>
                    </a:solidFill>
                    <a:latin typeface="Arial"/>
                    <a:ea typeface="Arial"/>
                  </a:defRPr>
                </a:pPr>
                <a:r>
                  <a:rPr b="1" sz="1000" spc="-1" strike="noStrike">
                    <a:solidFill>
                      <a:srgbClr val="000000"/>
                    </a:solidFill>
                    <a:latin typeface="Arial"/>
                    <a:ea typeface="Arial"/>
                  </a:rPr>
                  <a:t>Vitesse [m/s]</a:t>
                </a:r>
              </a:p>
            </c:rich>
          </c:tx>
          <c:layout>
            <c:manualLayout>
              <c:xMode val="edge"/>
              <c:yMode val="edge"/>
              <c:x val="0.0259798836317712"/>
              <c:y val="0.228376427352671"/>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39048667"/>
        <c:crosses val="autoZero"/>
        <c:crossBetween val="midCat"/>
      </c:valAx>
      <c:spPr>
        <a:noFill/>
        <a:ln w="12600">
          <a:solidFill>
            <a:srgbClr val="808080"/>
          </a:solidFill>
          <a:round/>
        </a:ln>
      </c:spPr>
    </c:plotArea>
    <c:legend>
      <c:legendPos val="r"/>
      <c:layout>
        <c:manualLayout>
          <c:xMode val="edge"/>
          <c:yMode val="edge"/>
          <c:x val="0.81839684544149"/>
          <c:y val="0.4644447944007"/>
          <c:w val="0.132075595503392"/>
          <c:h val="0.0777777777777778"/>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Accélérations</a:t>
            </a:r>
          </a:p>
        </c:rich>
      </c:tx>
      <c:overlay val="0"/>
      <c:spPr>
        <a:noFill/>
        <a:ln w="0">
          <a:noFill/>
        </a:ln>
      </c:spPr>
    </c:title>
    <c:autoTitleDeleted val="0"/>
    <c:plotArea>
      <c:layout>
        <c:manualLayout>
          <c:layoutTarget val="inner"/>
          <c:xMode val="edge"/>
          <c:yMode val="edge"/>
          <c:x val="0.0943574940237247"/>
          <c:y val="0.0947630922693267"/>
          <c:w val="0.886698840828109"/>
          <c:h val="0.816773854836593"/>
        </c:manualLayout>
      </c:layout>
      <c:scatterChart>
        <c:scatterStyle val="line"/>
        <c:varyColors val="0"/>
        <c:ser>
          <c:idx val="0"/>
          <c:order val="0"/>
          <c:tx>
            <c:strRef>
              <c:f>Courbes!$B$137</c:f>
              <c:strCache>
                <c:ptCount val="1"/>
                <c:pt idx="0">
                  <c:v>Accélération longitudinale</c:v>
                </c:pt>
              </c:strCache>
            </c:strRef>
          </c:tx>
          <c:spPr>
            <a:solidFill>
              <a:srgbClr val="800000"/>
            </a:solidFill>
            <a:ln w="25560">
              <a:solidFill>
                <a:srgbClr val="80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34.8000000000002</c:v>
                </c:pt>
                <c:pt idx="709">
                  <c:v>34.9000000000002</c:v>
                </c:pt>
                <c:pt idx="710">
                  <c:v>35.0000000000002</c:v>
                </c:pt>
                <c:pt idx="711">
                  <c:v>35.1000000000002</c:v>
                </c:pt>
                <c:pt idx="712">
                  <c:v>35.2000000000002</c:v>
                </c:pt>
                <c:pt idx="713">
                  <c:v>35.3000000000002</c:v>
                </c:pt>
                <c:pt idx="714">
                  <c:v>35.4000000000002</c:v>
                </c:pt>
                <c:pt idx="715">
                  <c:v>35.5000000000002</c:v>
                </c:pt>
                <c:pt idx="716">
                  <c:v>35.6000000000002</c:v>
                </c:pt>
                <c:pt idx="717">
                  <c:v>35.7000000000002</c:v>
                </c:pt>
                <c:pt idx="718">
                  <c:v>35.8000000000002</c:v>
                </c:pt>
                <c:pt idx="719">
                  <c:v>35.9000000000002</c:v>
                </c:pt>
                <c:pt idx="720">
                  <c:v>36.0000000000002</c:v>
                </c:pt>
                <c:pt idx="721">
                  <c:v>36.1000000000002</c:v>
                </c:pt>
                <c:pt idx="722">
                  <c:v>36.2000000000002</c:v>
                </c:pt>
                <c:pt idx="723">
                  <c:v>36.3000000000002</c:v>
                </c:pt>
                <c:pt idx="724">
                  <c:v>36.3001000000002</c:v>
                </c:pt>
                <c:pt idx="725">
                  <c:v>36.3002000000002</c:v>
                </c:pt>
                <c:pt idx="726">
                  <c:v>36.3003000000002</c:v>
                </c:pt>
                <c:pt idx="727">
                  <c:v>36.3004000000002</c:v>
                </c:pt>
                <c:pt idx="728">
                  <c:v>36.3005000000002</c:v>
                </c:pt>
                <c:pt idx="729">
                  <c:v>36.3006000000002</c:v>
                </c:pt>
                <c:pt idx="730">
                  <c:v>36.3007000000002</c:v>
                </c:pt>
                <c:pt idx="731">
                  <c:v>36.3008000000002</c:v>
                </c:pt>
                <c:pt idx="732">
                  <c:v>36.3009000000002</c:v>
                </c:pt>
                <c:pt idx="733">
                  <c:v>36.3010000000002</c:v>
                </c:pt>
                <c:pt idx="734">
                  <c:v>36.3011000000002</c:v>
                </c:pt>
                <c:pt idx="735">
                  <c:v>36.3012000000002</c:v>
                </c:pt>
                <c:pt idx="736">
                  <c:v>36.3013000000002</c:v>
                </c:pt>
                <c:pt idx="737">
                  <c:v>36.3014000000003</c:v>
                </c:pt>
                <c:pt idx="738">
                  <c:v>36.3015000000003</c:v>
                </c:pt>
                <c:pt idx="739">
                  <c:v>36.3016000000003</c:v>
                </c:pt>
                <c:pt idx="740">
                  <c:v>36.3017000000003</c:v>
                </c:pt>
                <c:pt idx="741">
                  <c:v>36.3018000000003</c:v>
                </c:pt>
                <c:pt idx="742">
                  <c:v>36.3019000000003</c:v>
                </c:pt>
                <c:pt idx="743">
                  <c:v>36.3020000000003</c:v>
                </c:pt>
                <c:pt idx="744">
                  <c:v>36.3021000000003</c:v>
                </c:pt>
                <c:pt idx="745">
                  <c:v>36.3022000000003</c:v>
                </c:pt>
                <c:pt idx="746">
                  <c:v>36.3023000000003</c:v>
                </c:pt>
                <c:pt idx="747">
                  <c:v>36.3024000000003</c:v>
                </c:pt>
                <c:pt idx="748">
                  <c:v>36.3025000000003</c:v>
                </c:pt>
                <c:pt idx="749">
                  <c:v>36.3026000000003</c:v>
                </c:pt>
                <c:pt idx="750">
                  <c:v>36.3027000000003</c:v>
                </c:pt>
                <c:pt idx="751">
                  <c:v>36.3028000000003</c:v>
                </c:pt>
                <c:pt idx="752">
                  <c:v>36.3029000000003</c:v>
                </c:pt>
                <c:pt idx="753">
                  <c:v>36.3030000000003</c:v>
                </c:pt>
                <c:pt idx="754">
                  <c:v>36.3031000000003</c:v>
                </c:pt>
                <c:pt idx="755">
                  <c:v>36.3032000000003</c:v>
                </c:pt>
                <c:pt idx="756">
                  <c:v>36.3033000000003</c:v>
                </c:pt>
                <c:pt idx="757">
                  <c:v>36.3034000000003</c:v>
                </c:pt>
                <c:pt idx="758">
                  <c:v>36.3035000000003</c:v>
                </c:pt>
                <c:pt idx="759">
                  <c:v>36.3036000000003</c:v>
                </c:pt>
                <c:pt idx="760">
                  <c:v>36.3037000000003</c:v>
                </c:pt>
                <c:pt idx="761">
                  <c:v>36.3038000000003</c:v>
                </c:pt>
                <c:pt idx="762">
                  <c:v>36.3039000000003</c:v>
                </c:pt>
                <c:pt idx="763">
                  <c:v>36.3040000000003</c:v>
                </c:pt>
                <c:pt idx="764">
                  <c:v>36.3041000000003</c:v>
                </c:pt>
                <c:pt idx="765">
                  <c:v>36.3042000000003</c:v>
                </c:pt>
                <c:pt idx="766">
                  <c:v>36.3043000000003</c:v>
                </c:pt>
                <c:pt idx="767">
                  <c:v>36.3044000000004</c:v>
                </c:pt>
                <c:pt idx="768">
                  <c:v>36.3045000000004</c:v>
                </c:pt>
                <c:pt idx="769">
                  <c:v>36.3046000000004</c:v>
                </c:pt>
                <c:pt idx="770">
                  <c:v>36.3047000000004</c:v>
                </c:pt>
                <c:pt idx="771">
                  <c:v>36.3048000000004</c:v>
                </c:pt>
                <c:pt idx="772">
                  <c:v>36.3049000000004</c:v>
                </c:pt>
                <c:pt idx="773">
                  <c:v>36.3050000000004</c:v>
                </c:pt>
                <c:pt idx="774">
                  <c:v>36.3051000000004</c:v>
                </c:pt>
                <c:pt idx="775">
                  <c:v>36.3052000000004</c:v>
                </c:pt>
                <c:pt idx="776">
                  <c:v>36.3053000000004</c:v>
                </c:pt>
                <c:pt idx="777">
                  <c:v>36.3054000000004</c:v>
                </c:pt>
                <c:pt idx="778">
                  <c:v>36.3055000000004</c:v>
                </c:pt>
                <c:pt idx="779">
                  <c:v>36.3056000000004</c:v>
                </c:pt>
                <c:pt idx="780">
                  <c:v>36.3057000000004</c:v>
                </c:pt>
                <c:pt idx="781">
                  <c:v>36.3058000000004</c:v>
                </c:pt>
                <c:pt idx="782">
                  <c:v>36.3059000000004</c:v>
                </c:pt>
                <c:pt idx="783">
                  <c:v>36.3060000000004</c:v>
                </c:pt>
                <c:pt idx="784">
                  <c:v>36.3061000000004</c:v>
                </c:pt>
                <c:pt idx="785">
                  <c:v>36.3062000000004</c:v>
                </c:pt>
                <c:pt idx="786">
                  <c:v>36.3063000000004</c:v>
                </c:pt>
                <c:pt idx="787">
                  <c:v>36.3064000000004</c:v>
                </c:pt>
                <c:pt idx="788">
                  <c:v>36.3065000000004</c:v>
                </c:pt>
                <c:pt idx="789">
                  <c:v>36.3066000000004</c:v>
                </c:pt>
                <c:pt idx="790">
                  <c:v>36.3067000000004</c:v>
                </c:pt>
                <c:pt idx="791">
                  <c:v>36.3068000000004</c:v>
                </c:pt>
                <c:pt idx="792">
                  <c:v>36.3069000000004</c:v>
                </c:pt>
                <c:pt idx="793">
                  <c:v>36.3070000000004</c:v>
                </c:pt>
                <c:pt idx="794">
                  <c:v>36.3071000000004</c:v>
                </c:pt>
                <c:pt idx="795">
                  <c:v>36.3072000000004</c:v>
                </c:pt>
                <c:pt idx="796">
                  <c:v>36.3073000000004</c:v>
                </c:pt>
                <c:pt idx="797">
                  <c:v>36.3074000000005</c:v>
                </c:pt>
                <c:pt idx="798">
                  <c:v>36.3075000000005</c:v>
                </c:pt>
                <c:pt idx="799">
                  <c:v>36.3076000000005</c:v>
                </c:pt>
                <c:pt idx="800">
                  <c:v>36.3077000000005</c:v>
                </c:pt>
                <c:pt idx="801">
                  <c:v>36.3078000000005</c:v>
                </c:pt>
                <c:pt idx="802">
                  <c:v>36.3079000000005</c:v>
                </c:pt>
                <c:pt idx="803">
                  <c:v>36.3080000000005</c:v>
                </c:pt>
                <c:pt idx="804">
                  <c:v>36.3081000000005</c:v>
                </c:pt>
                <c:pt idx="805">
                  <c:v>36.3082000000005</c:v>
                </c:pt>
                <c:pt idx="806">
                  <c:v>36.3083000000005</c:v>
                </c:pt>
                <c:pt idx="807">
                  <c:v>36.3084000000005</c:v>
                </c:pt>
                <c:pt idx="808">
                  <c:v>36.3085000000005</c:v>
                </c:pt>
                <c:pt idx="809">
                  <c:v>36.3086000000005</c:v>
                </c:pt>
                <c:pt idx="810">
                  <c:v>36.3087000000005</c:v>
                </c:pt>
                <c:pt idx="811">
                  <c:v>36.3088000000005</c:v>
                </c:pt>
                <c:pt idx="812">
                  <c:v>36.3089000000005</c:v>
                </c:pt>
                <c:pt idx="813">
                  <c:v>36.3090000000005</c:v>
                </c:pt>
                <c:pt idx="814">
                  <c:v>36.3091000000005</c:v>
                </c:pt>
                <c:pt idx="815">
                  <c:v>36.3092000000005</c:v>
                </c:pt>
                <c:pt idx="816">
                  <c:v>36.3093000000005</c:v>
                </c:pt>
                <c:pt idx="817">
                  <c:v>36.3094000000005</c:v>
                </c:pt>
                <c:pt idx="818">
                  <c:v>36.3095000000005</c:v>
                </c:pt>
                <c:pt idx="819">
                  <c:v>36.3096000000005</c:v>
                </c:pt>
                <c:pt idx="820">
                  <c:v>36.3097000000005</c:v>
                </c:pt>
                <c:pt idx="821">
                  <c:v>36.3098000000005</c:v>
                </c:pt>
                <c:pt idx="822">
                  <c:v>36.3099000000005</c:v>
                </c:pt>
                <c:pt idx="823">
                  <c:v>36.3100000000005</c:v>
                </c:pt>
                <c:pt idx="824">
                  <c:v>36.3101000000005</c:v>
                </c:pt>
                <c:pt idx="825">
                  <c:v>36.3102000000005</c:v>
                </c:pt>
                <c:pt idx="826">
                  <c:v>36.3103000000005</c:v>
                </c:pt>
                <c:pt idx="827">
                  <c:v>36.3104000000006</c:v>
                </c:pt>
                <c:pt idx="828">
                  <c:v>36.3105000000006</c:v>
                </c:pt>
                <c:pt idx="829">
                  <c:v>36.3106000000006</c:v>
                </c:pt>
                <c:pt idx="830">
                  <c:v>36.3107000000006</c:v>
                </c:pt>
                <c:pt idx="831">
                  <c:v>36.3108000000006</c:v>
                </c:pt>
                <c:pt idx="832">
                  <c:v>36.3109000000006</c:v>
                </c:pt>
                <c:pt idx="833">
                  <c:v>36.3110000000006</c:v>
                </c:pt>
                <c:pt idx="834">
                  <c:v>36.3111000000006</c:v>
                </c:pt>
                <c:pt idx="835">
                  <c:v>36.3112000000006</c:v>
                </c:pt>
                <c:pt idx="836">
                  <c:v>36.3113000000006</c:v>
                </c:pt>
                <c:pt idx="837">
                  <c:v>36.3114000000006</c:v>
                </c:pt>
                <c:pt idx="838">
                  <c:v>36.3115000000006</c:v>
                </c:pt>
                <c:pt idx="839">
                  <c:v>36.3116000000006</c:v>
                </c:pt>
                <c:pt idx="840">
                  <c:v>36.3117000000006</c:v>
                </c:pt>
                <c:pt idx="841">
                  <c:v>36.3118000000006</c:v>
                </c:pt>
                <c:pt idx="842">
                  <c:v>36.3119000000006</c:v>
                </c:pt>
                <c:pt idx="843">
                  <c:v>36.3120000000006</c:v>
                </c:pt>
                <c:pt idx="844">
                  <c:v>36.3121000000006</c:v>
                </c:pt>
                <c:pt idx="845">
                  <c:v>36.3122000000006</c:v>
                </c:pt>
                <c:pt idx="846">
                  <c:v>36.3123000000006</c:v>
                </c:pt>
                <c:pt idx="847">
                  <c:v>36.3124000000006</c:v>
                </c:pt>
                <c:pt idx="848">
                  <c:v>36.3125000000006</c:v>
                </c:pt>
                <c:pt idx="849">
                  <c:v>36.3126000000006</c:v>
                </c:pt>
                <c:pt idx="850">
                  <c:v>36.3127000000006</c:v>
                </c:pt>
                <c:pt idx="851">
                  <c:v>36.3128000000006</c:v>
                </c:pt>
                <c:pt idx="852">
                  <c:v>36.3129000000006</c:v>
                </c:pt>
                <c:pt idx="853">
                  <c:v>36.3130000000006</c:v>
                </c:pt>
                <c:pt idx="854">
                  <c:v>36.3131000000006</c:v>
                </c:pt>
                <c:pt idx="855">
                  <c:v>36.3132000000006</c:v>
                </c:pt>
                <c:pt idx="856">
                  <c:v>36.3133000000006</c:v>
                </c:pt>
                <c:pt idx="857">
                  <c:v>36.3134000000007</c:v>
                </c:pt>
                <c:pt idx="858">
                  <c:v>36.3135000000007</c:v>
                </c:pt>
                <c:pt idx="859">
                  <c:v>36.3136000000007</c:v>
                </c:pt>
                <c:pt idx="860">
                  <c:v>36.3137000000007</c:v>
                </c:pt>
                <c:pt idx="861">
                  <c:v>36.3138000000007</c:v>
                </c:pt>
                <c:pt idx="862">
                  <c:v>36.3139000000007</c:v>
                </c:pt>
                <c:pt idx="863">
                  <c:v>36.3140000000007</c:v>
                </c:pt>
                <c:pt idx="864">
                  <c:v>36.3141000000007</c:v>
                </c:pt>
                <c:pt idx="865">
                  <c:v>36.3142000000007</c:v>
                </c:pt>
                <c:pt idx="866">
                  <c:v>36.3143000000007</c:v>
                </c:pt>
                <c:pt idx="867">
                  <c:v>36.3144000000007</c:v>
                </c:pt>
                <c:pt idx="868">
                  <c:v>36.3145000000007</c:v>
                </c:pt>
                <c:pt idx="869">
                  <c:v>36.3146000000007</c:v>
                </c:pt>
                <c:pt idx="870">
                  <c:v>36.3147000000007</c:v>
                </c:pt>
                <c:pt idx="871">
                  <c:v>36.3148000000007</c:v>
                </c:pt>
                <c:pt idx="872">
                  <c:v>36.3149000000007</c:v>
                </c:pt>
                <c:pt idx="873">
                  <c:v>36.3150000000007</c:v>
                </c:pt>
                <c:pt idx="874">
                  <c:v>36.3151000000007</c:v>
                </c:pt>
                <c:pt idx="875">
                  <c:v>36.3152000000007</c:v>
                </c:pt>
                <c:pt idx="876">
                  <c:v>36.3153000000007</c:v>
                </c:pt>
                <c:pt idx="877">
                  <c:v>36.3154000000007</c:v>
                </c:pt>
                <c:pt idx="878">
                  <c:v>36.3155000000007</c:v>
                </c:pt>
                <c:pt idx="879">
                  <c:v>36.3156000000007</c:v>
                </c:pt>
                <c:pt idx="880">
                  <c:v>36.3157000000007</c:v>
                </c:pt>
                <c:pt idx="881">
                  <c:v>36.3158000000007</c:v>
                </c:pt>
                <c:pt idx="882">
                  <c:v>36.3159000000007</c:v>
                </c:pt>
                <c:pt idx="883">
                  <c:v>36.3160000000007</c:v>
                </c:pt>
                <c:pt idx="884">
                  <c:v>36.3161000000007</c:v>
                </c:pt>
                <c:pt idx="885">
                  <c:v>36.3162000000007</c:v>
                </c:pt>
                <c:pt idx="886">
                  <c:v>36.3163000000007</c:v>
                </c:pt>
                <c:pt idx="887">
                  <c:v>36.3164000000008</c:v>
                </c:pt>
                <c:pt idx="888">
                  <c:v>36.3165000000008</c:v>
                </c:pt>
                <c:pt idx="889">
                  <c:v>36.3166000000008</c:v>
                </c:pt>
                <c:pt idx="890">
                  <c:v>36.3167000000008</c:v>
                </c:pt>
                <c:pt idx="891">
                  <c:v>36.3168000000008</c:v>
                </c:pt>
                <c:pt idx="892">
                  <c:v>36.3169000000008</c:v>
                </c:pt>
                <c:pt idx="893">
                  <c:v>36.3170000000008</c:v>
                </c:pt>
                <c:pt idx="894">
                  <c:v>36.3171000000008</c:v>
                </c:pt>
                <c:pt idx="895">
                  <c:v>36.3172000000008</c:v>
                </c:pt>
                <c:pt idx="896">
                  <c:v>36.3173000000008</c:v>
                </c:pt>
                <c:pt idx="897">
                  <c:v>36.3174000000008</c:v>
                </c:pt>
                <c:pt idx="898">
                  <c:v>36.3175000000008</c:v>
                </c:pt>
                <c:pt idx="899">
                  <c:v>36.3176000000008</c:v>
                </c:pt>
                <c:pt idx="900">
                  <c:v>36.3177000000008</c:v>
                </c:pt>
                <c:pt idx="901">
                  <c:v>36.3178000000008</c:v>
                </c:pt>
                <c:pt idx="902">
                  <c:v>36.3179000000008</c:v>
                </c:pt>
                <c:pt idx="903">
                  <c:v>36.3180000000008</c:v>
                </c:pt>
                <c:pt idx="904">
                  <c:v>36.3181000000008</c:v>
                </c:pt>
                <c:pt idx="905">
                  <c:v>36.3182000000008</c:v>
                </c:pt>
                <c:pt idx="906">
                  <c:v>36.3183000000008</c:v>
                </c:pt>
                <c:pt idx="907">
                  <c:v>36.3184000000008</c:v>
                </c:pt>
                <c:pt idx="908">
                  <c:v>36.3185000000008</c:v>
                </c:pt>
                <c:pt idx="909">
                  <c:v>36.3186000000008</c:v>
                </c:pt>
                <c:pt idx="910">
                  <c:v>36.3187000000008</c:v>
                </c:pt>
                <c:pt idx="911">
                  <c:v>36.3188000000008</c:v>
                </c:pt>
                <c:pt idx="912">
                  <c:v>36.3189000000008</c:v>
                </c:pt>
                <c:pt idx="913">
                  <c:v>36.3190000000008</c:v>
                </c:pt>
                <c:pt idx="914">
                  <c:v>36.3191000000008</c:v>
                </c:pt>
                <c:pt idx="915">
                  <c:v>36.3192000000008</c:v>
                </c:pt>
                <c:pt idx="916">
                  <c:v>36.3193000000008</c:v>
                </c:pt>
                <c:pt idx="917">
                  <c:v>36.3194000000009</c:v>
                </c:pt>
                <c:pt idx="918">
                  <c:v>36.3195000000009</c:v>
                </c:pt>
                <c:pt idx="919">
                  <c:v>36.3196000000009</c:v>
                </c:pt>
                <c:pt idx="920">
                  <c:v>36.3197000000009</c:v>
                </c:pt>
                <c:pt idx="921">
                  <c:v>36.3198000000009</c:v>
                </c:pt>
                <c:pt idx="922">
                  <c:v>36.3199000000009</c:v>
                </c:pt>
                <c:pt idx="923">
                  <c:v>36.3200000000009</c:v>
                </c:pt>
                <c:pt idx="924">
                  <c:v>36.3201000000009</c:v>
                </c:pt>
                <c:pt idx="925">
                  <c:v>36.3202000000009</c:v>
                </c:pt>
                <c:pt idx="926">
                  <c:v>36.3203000000009</c:v>
                </c:pt>
                <c:pt idx="927">
                  <c:v>36.3204000000009</c:v>
                </c:pt>
                <c:pt idx="928">
                  <c:v>36.3205000000009</c:v>
                </c:pt>
                <c:pt idx="929">
                  <c:v>36.3206000000009</c:v>
                </c:pt>
                <c:pt idx="930">
                  <c:v>36.3207000000009</c:v>
                </c:pt>
                <c:pt idx="931">
                  <c:v>36.3208000000009</c:v>
                </c:pt>
                <c:pt idx="932">
                  <c:v>36.3209000000009</c:v>
                </c:pt>
                <c:pt idx="933">
                  <c:v>36.3210000000009</c:v>
                </c:pt>
                <c:pt idx="934">
                  <c:v>36.3211000000009</c:v>
                </c:pt>
                <c:pt idx="935">
                  <c:v>36.3212000000009</c:v>
                </c:pt>
                <c:pt idx="936">
                  <c:v>36.3213000000009</c:v>
                </c:pt>
                <c:pt idx="937">
                  <c:v>36.3214000000009</c:v>
                </c:pt>
                <c:pt idx="938">
                  <c:v>36.3215000000009</c:v>
                </c:pt>
                <c:pt idx="939">
                  <c:v>36.3216000000009</c:v>
                </c:pt>
                <c:pt idx="940">
                  <c:v>36.3217000000009</c:v>
                </c:pt>
                <c:pt idx="941">
                  <c:v>36.3218000000009</c:v>
                </c:pt>
                <c:pt idx="942">
                  <c:v>36.3219000000009</c:v>
                </c:pt>
                <c:pt idx="943">
                  <c:v>36.3220000000009</c:v>
                </c:pt>
                <c:pt idx="944">
                  <c:v>36.3221000000009</c:v>
                </c:pt>
                <c:pt idx="945">
                  <c:v>36.3222000000009</c:v>
                </c:pt>
                <c:pt idx="946">
                  <c:v>36.3223000000009</c:v>
                </c:pt>
                <c:pt idx="947">
                  <c:v>36.322400000001</c:v>
                </c:pt>
                <c:pt idx="948">
                  <c:v>36.322500000001</c:v>
                </c:pt>
                <c:pt idx="949">
                  <c:v>36.322600000001</c:v>
                </c:pt>
                <c:pt idx="950">
                  <c:v>36.322700000001</c:v>
                </c:pt>
                <c:pt idx="951">
                  <c:v>36.322800000001</c:v>
                </c:pt>
                <c:pt idx="952">
                  <c:v>36.322900000001</c:v>
                </c:pt>
                <c:pt idx="953">
                  <c:v>36.323000000001</c:v>
                </c:pt>
                <c:pt idx="954">
                  <c:v>36.323100000001</c:v>
                </c:pt>
                <c:pt idx="955">
                  <c:v>36.323200000001</c:v>
                </c:pt>
                <c:pt idx="956">
                  <c:v>36.323300000001</c:v>
                </c:pt>
                <c:pt idx="957">
                  <c:v>36.323400000001</c:v>
                </c:pt>
                <c:pt idx="958">
                  <c:v>36.323500000001</c:v>
                </c:pt>
                <c:pt idx="959">
                  <c:v>36.323600000001</c:v>
                </c:pt>
                <c:pt idx="960">
                  <c:v>36.323700000001</c:v>
                </c:pt>
                <c:pt idx="961">
                  <c:v>36.323800000001</c:v>
                </c:pt>
                <c:pt idx="962">
                  <c:v>36.323900000001</c:v>
                </c:pt>
                <c:pt idx="963">
                  <c:v>36.324000000001</c:v>
                </c:pt>
                <c:pt idx="964">
                  <c:v>36.324100000001</c:v>
                </c:pt>
                <c:pt idx="965">
                  <c:v>36.324200000001</c:v>
                </c:pt>
                <c:pt idx="966">
                  <c:v>36.324300000001</c:v>
                </c:pt>
                <c:pt idx="967">
                  <c:v>36.324400000001</c:v>
                </c:pt>
                <c:pt idx="968">
                  <c:v>36.324500000001</c:v>
                </c:pt>
                <c:pt idx="969">
                  <c:v>36.324600000001</c:v>
                </c:pt>
                <c:pt idx="970">
                  <c:v>36.324700000001</c:v>
                </c:pt>
                <c:pt idx="971">
                  <c:v>36.324800000001</c:v>
                </c:pt>
                <c:pt idx="972">
                  <c:v>36.324900000001</c:v>
                </c:pt>
                <c:pt idx="973">
                  <c:v>36.325000000001</c:v>
                </c:pt>
                <c:pt idx="974">
                  <c:v>36.325100000001</c:v>
                </c:pt>
                <c:pt idx="975">
                  <c:v>36.325200000001</c:v>
                </c:pt>
                <c:pt idx="976">
                  <c:v>36.325300000001</c:v>
                </c:pt>
                <c:pt idx="977">
                  <c:v>36.325400000001</c:v>
                </c:pt>
                <c:pt idx="978">
                  <c:v>36.3255000000011</c:v>
                </c:pt>
                <c:pt idx="979">
                  <c:v>36.3256000000011</c:v>
                </c:pt>
                <c:pt idx="980">
                  <c:v>36.3257000000011</c:v>
                </c:pt>
                <c:pt idx="981">
                  <c:v>36.3258000000011</c:v>
                </c:pt>
                <c:pt idx="982">
                  <c:v>36.3259000000011</c:v>
                </c:pt>
                <c:pt idx="983">
                  <c:v>36.3260000000011</c:v>
                </c:pt>
                <c:pt idx="984">
                  <c:v>36.3261000000011</c:v>
                </c:pt>
                <c:pt idx="985">
                  <c:v>36.3262000000011</c:v>
                </c:pt>
                <c:pt idx="986">
                  <c:v>36.3263000000011</c:v>
                </c:pt>
                <c:pt idx="987">
                  <c:v>36.3264000000011</c:v>
                </c:pt>
                <c:pt idx="988">
                  <c:v>36.3265000000011</c:v>
                </c:pt>
                <c:pt idx="989">
                  <c:v>36.3266000000011</c:v>
                </c:pt>
                <c:pt idx="990">
                  <c:v>36.3267000000011</c:v>
                </c:pt>
                <c:pt idx="991">
                  <c:v>36.3268000000011</c:v>
                </c:pt>
                <c:pt idx="992">
                  <c:v>36.3269000000011</c:v>
                </c:pt>
                <c:pt idx="993">
                  <c:v>36.3270000000011</c:v>
                </c:pt>
                <c:pt idx="994">
                  <c:v>36.3271000000011</c:v>
                </c:pt>
                <c:pt idx="995">
                  <c:v>36.3272000000011</c:v>
                </c:pt>
                <c:pt idx="996">
                  <c:v>36.3273000000011</c:v>
                </c:pt>
                <c:pt idx="997">
                  <c:v>36.3274000000011</c:v>
                </c:pt>
                <c:pt idx="998">
                  <c:v>36.3275000000011</c:v>
                </c:pt>
                <c:pt idx="999">
                  <c:v>36.3276000000011</c:v>
                </c:pt>
                <c:pt idx="1000">
                  <c:v>36.3277000000011</c:v>
                </c:pt>
              </c:numCache>
            </c:numRef>
          </c:xVal>
          <c:yVal>
            <c:numRef>
              <c:f>Calculs!$AG$4:$AG$1004</c:f>
              <c:numCache>
                <c:formatCode>General</c:formatCode>
                <c:ptCount val="1001"/>
                <c:pt idx="1">
                  <c:v>0.956650773311443</c:v>
                </c:pt>
                <c:pt idx="2">
                  <c:v>22.1969730303808</c:v>
                </c:pt>
                <c:pt idx="3">
                  <c:v>43.4497260514455</c:v>
                </c:pt>
                <c:pt idx="4">
                  <c:v>64.7215930465646</c:v>
                </c:pt>
                <c:pt idx="5">
                  <c:v>86.0191562662684</c:v>
                </c:pt>
                <c:pt idx="6">
                  <c:v>96.5799731153267</c:v>
                </c:pt>
                <c:pt idx="7">
                  <c:v>96.3826150766687</c:v>
                </c:pt>
                <c:pt idx="8">
                  <c:v>96.1840825254037</c:v>
                </c:pt>
                <c:pt idx="9">
                  <c:v>95.984379541764</c:v>
                </c:pt>
                <c:pt idx="10">
                  <c:v>95.7835102579435</c:v>
                </c:pt>
                <c:pt idx="11">
                  <c:v>95.5814788577274</c:v>
                </c:pt>
                <c:pt idx="12">
                  <c:v>95.3782895761166</c:v>
                </c:pt>
                <c:pt idx="13">
                  <c:v>95.1739466989461</c:v>
                </c:pt>
                <c:pt idx="14">
                  <c:v>94.9684545624993</c:v>
                </c:pt>
                <c:pt idx="15">
                  <c:v>94.761817553116</c:v>
                </c:pt>
                <c:pt idx="16">
                  <c:v>94.5540401067965</c:v>
                </c:pt>
                <c:pt idx="17">
                  <c:v>94.3451267087998</c:v>
                </c:pt>
                <c:pt idx="18">
                  <c:v>94.1350818932373</c:v>
                </c:pt>
                <c:pt idx="19">
                  <c:v>93.9239102426615</c:v>
                </c:pt>
                <c:pt idx="20">
                  <c:v>93.71161638765</c:v>
                </c:pt>
                <c:pt idx="21">
                  <c:v>93.4982050063845</c:v>
                </c:pt>
                <c:pt idx="22">
                  <c:v>93.2836808242257</c:v>
                </c:pt>
                <c:pt idx="23">
                  <c:v>93.0680486132831</c:v>
                </c:pt>
                <c:pt idx="24">
                  <c:v>92.8513131919802</c:v>
                </c:pt>
                <c:pt idx="25">
                  <c:v>92.6334794246157</c:v>
                </c:pt>
                <c:pt idx="26">
                  <c:v>92.4145522209203</c:v>
                </c:pt>
                <c:pt idx="27">
                  <c:v>92.1945365356086</c:v>
                </c:pt>
                <c:pt idx="28">
                  <c:v>91.9734373679274</c:v>
                </c:pt>
                <c:pt idx="29">
                  <c:v>91.7512597611996</c:v>
                </c:pt>
                <c:pt idx="30">
                  <c:v>91.528008802364</c:v>
                </c:pt>
                <c:pt idx="31">
                  <c:v>91.3036896215113</c:v>
                </c:pt>
                <c:pt idx="32">
                  <c:v>91.0783073914155</c:v>
                </c:pt>
                <c:pt idx="33">
                  <c:v>90.8518673270626</c:v>
                </c:pt>
                <c:pt idx="34">
                  <c:v>90.625381167928</c:v>
                </c:pt>
                <c:pt idx="35">
                  <c:v>90.3978382081194</c:v>
                </c:pt>
                <c:pt idx="36">
                  <c:v>90.1692295305353</c:v>
                </c:pt>
                <c:pt idx="37">
                  <c:v>89.9395617843685</c:v>
                </c:pt>
                <c:pt idx="38">
                  <c:v>89.7088415535191</c:v>
                </c:pt>
                <c:pt idx="39">
                  <c:v>89.477075367481</c:v>
                </c:pt>
                <c:pt idx="40">
                  <c:v>89.2442697107157</c:v>
                </c:pt>
                <c:pt idx="41">
                  <c:v>89.0104310307469</c:v>
                </c:pt>
                <c:pt idx="42">
                  <c:v>88.7755657451711</c:v>
                </c:pt>
                <c:pt idx="43">
                  <c:v>88.539680247744</c:v>
                </c:pt>
                <c:pt idx="44">
                  <c:v>88.3027809136758</c:v>
                </c:pt>
                <c:pt idx="45">
                  <c:v>88.0648741042461</c:v>
                </c:pt>
                <c:pt idx="46">
                  <c:v>87.8259661708323</c:v>
                </c:pt>
                <c:pt idx="47">
                  <c:v>87.5860634584298</c:v>
                </c:pt>
                <c:pt idx="48">
                  <c:v>87.3451723087301</c:v>
                </c:pt>
                <c:pt idx="49">
                  <c:v>87.1032990628139</c:v>
                </c:pt>
                <c:pt idx="50">
                  <c:v>86.8604500635065</c:v>
                </c:pt>
                <c:pt idx="51">
                  <c:v>86.6734005650002</c:v>
                </c:pt>
                <c:pt idx="52">
                  <c:v>86.542243914759</c:v>
                </c:pt>
                <c:pt idx="53">
                  <c:v>86.4102471911255</c:v>
                </c:pt>
                <c:pt idx="54">
                  <c:v>86.2774135049019</c:v>
                </c:pt>
                <c:pt idx="55">
                  <c:v>86.143745978634</c:v>
                </c:pt>
                <c:pt idx="56">
                  <c:v>86.0092477478152</c:v>
                </c:pt>
                <c:pt idx="57">
                  <c:v>85.8739219619621</c:v>
                </c:pt>
                <c:pt idx="58">
                  <c:v>85.7377717855772</c:v>
                </c:pt>
                <c:pt idx="59">
                  <c:v>85.6008003990076</c:v>
                </c:pt>
                <c:pt idx="60">
                  <c:v>85.4630109992122</c:v>
                </c:pt>
                <c:pt idx="61">
                  <c:v>85.3244068004444</c:v>
                </c:pt>
                <c:pt idx="62">
                  <c:v>85.1849910348599</c:v>
                </c:pt>
                <c:pt idx="63">
                  <c:v>85.044766953055</c:v>
                </c:pt>
                <c:pt idx="64">
                  <c:v>84.9037378245432</c:v>
                </c:pt>
                <c:pt idx="65">
                  <c:v>84.7619069381747</c:v>
                </c:pt>
                <c:pt idx="66">
                  <c:v>84.6192776025037</c:v>
                </c:pt>
                <c:pt idx="67">
                  <c:v>84.4758531461092</c:v>
                </c:pt>
                <c:pt idx="68">
                  <c:v>84.3316369178714</c:v>
                </c:pt>
                <c:pt idx="69">
                  <c:v>84.1866322872096</c:v>
                </c:pt>
                <c:pt idx="70">
                  <c:v>84.0408426442823</c:v>
                </c:pt>
                <c:pt idx="71">
                  <c:v>83.8942714001551</c:v>
                </c:pt>
                <c:pt idx="72">
                  <c:v>83.7469219869365</c:v>
                </c:pt>
                <c:pt idx="73">
                  <c:v>83.5987978578856</c:v>
                </c:pt>
                <c:pt idx="74">
                  <c:v>83.4499024874943</c:v>
                </c:pt>
                <c:pt idx="75">
                  <c:v>83.3002393715435</c:v>
                </c:pt>
                <c:pt idx="76">
                  <c:v>83.1498120271384</c:v>
                </c:pt>
                <c:pt idx="77">
                  <c:v>82.9986239927215</c:v>
                </c:pt>
                <c:pt idx="78">
                  <c:v>82.8466788280675</c:v>
                </c:pt>
                <c:pt idx="79">
                  <c:v>82.6939801142584</c:v>
                </c:pt>
                <c:pt idx="80">
                  <c:v>82.5405314536435</c:v>
                </c:pt>
                <c:pt idx="81">
                  <c:v>82.3863364697828</c:v>
                </c:pt>
                <c:pt idx="82">
                  <c:v>82.2313988073757</c:v>
                </c:pt>
                <c:pt idx="83">
                  <c:v>82.0757221321762</c:v>
                </c:pt>
                <c:pt idx="84">
                  <c:v>81.9193101308955</c:v>
                </c:pt>
                <c:pt idx="85">
                  <c:v>81.7621665110923</c:v>
                </c:pt>
                <c:pt idx="86">
                  <c:v>81.6042950010518</c:v>
                </c:pt>
                <c:pt idx="87">
                  <c:v>81.4456993496547</c:v>
                </c:pt>
                <c:pt idx="88">
                  <c:v>81.2863833262356</c:v>
                </c:pt>
                <c:pt idx="89">
                  <c:v>81.1263507204325</c:v>
                </c:pt>
                <c:pt idx="90">
                  <c:v>80.9656053420275</c:v>
                </c:pt>
                <c:pt idx="91">
                  <c:v>80.8041510207792</c:v>
                </c:pt>
                <c:pt idx="92">
                  <c:v>80.6419916062476</c:v>
                </c:pt>
                <c:pt idx="93">
                  <c:v>80.4791309676109</c:v>
                </c:pt>
                <c:pt idx="94">
                  <c:v>80.3155729934765</c:v>
                </c:pt>
                <c:pt idx="95">
                  <c:v>80.1513215916848</c:v>
                </c:pt>
                <c:pt idx="96">
                  <c:v>79.9863806891066</c:v>
                </c:pt>
                <c:pt idx="97">
                  <c:v>79.8207542314356</c:v>
                </c:pt>
                <c:pt idx="98">
                  <c:v>79.6544461829746</c:v>
                </c:pt>
                <c:pt idx="99">
                  <c:v>79.4874605264166</c:v>
                </c:pt>
                <c:pt idx="100">
                  <c:v>79.3198012626215</c:v>
                </c:pt>
                <c:pt idx="101">
                  <c:v>79.1252510695193</c:v>
                </c:pt>
                <c:pt idx="102">
                  <c:v>78.9037871761549</c:v>
                </c:pt>
                <c:pt idx="103">
                  <c:v>78.6816333060705</c:v>
                </c:pt>
                <c:pt idx="104">
                  <c:v>78.4587949581063</c:v>
                </c:pt>
                <c:pt idx="105">
                  <c:v>78.2352776448979</c:v>
                </c:pt>
                <c:pt idx="106">
                  <c:v>78.0110868925064</c:v>
                </c:pt>
                <c:pt idx="107">
                  <c:v>77.7862282400458</c:v>
                </c:pt>
                <c:pt idx="108">
                  <c:v>77.5607072393079</c:v>
                </c:pt>
                <c:pt idx="109">
                  <c:v>77.334529454384</c:v>
                </c:pt>
                <c:pt idx="110">
                  <c:v>77.1077004612854</c:v>
                </c:pt>
                <c:pt idx="111">
                  <c:v>76.8802258475607</c:v>
                </c:pt>
                <c:pt idx="112">
                  <c:v>76.6521112119126</c:v>
                </c:pt>
                <c:pt idx="113">
                  <c:v>76.4233621638111</c:v>
                </c:pt>
                <c:pt idx="114">
                  <c:v>76.1939843231071</c:v>
                </c:pt>
                <c:pt idx="115">
                  <c:v>75.9639833196435</c:v>
                </c:pt>
                <c:pt idx="116">
                  <c:v>75.7333647928649</c:v>
                </c:pt>
                <c:pt idx="117">
                  <c:v>75.502134391427</c:v>
                </c:pt>
                <c:pt idx="118">
                  <c:v>75.2702977728042</c:v>
                </c:pt>
                <c:pt idx="119">
                  <c:v>75.0378606028973</c:v>
                </c:pt>
                <c:pt idx="120">
                  <c:v>74.8048285556394</c:v>
                </c:pt>
                <c:pt idx="121">
                  <c:v>74.571207312602</c:v>
                </c:pt>
                <c:pt idx="122">
                  <c:v>74.3370025626003</c:v>
                </c:pt>
                <c:pt idx="123">
                  <c:v>74.1022200012987</c:v>
                </c:pt>
                <c:pt idx="124">
                  <c:v>73.8668653308146</c:v>
                </c:pt>
                <c:pt idx="125">
                  <c:v>73.6309442593244</c:v>
                </c:pt>
                <c:pt idx="126">
                  <c:v>73.394462500667</c:v>
                </c:pt>
                <c:pt idx="127">
                  <c:v>73.1574257739491</c:v>
                </c:pt>
                <c:pt idx="128">
                  <c:v>72.91983980315</c:v>
                </c:pt>
                <c:pt idx="129">
                  <c:v>72.6817103167266</c:v>
                </c:pt>
                <c:pt idx="130">
                  <c:v>72.4430430472189</c:v>
                </c:pt>
                <c:pt idx="131">
                  <c:v>72.2038437308562</c:v>
                </c:pt>
                <c:pt idx="132">
                  <c:v>71.9641181071631</c:v>
                </c:pt>
                <c:pt idx="133">
                  <c:v>71.7238719185667</c:v>
                </c:pt>
                <c:pt idx="134">
                  <c:v>71.4831109100047</c:v>
                </c:pt>
                <c:pt idx="135">
                  <c:v>71.2418408285334</c:v>
                </c:pt>
                <c:pt idx="136">
                  <c:v>71.0000674229372</c:v>
                </c:pt>
                <c:pt idx="137">
                  <c:v>70.7577964433388</c:v>
                </c:pt>
                <c:pt idx="138">
                  <c:v>70.5150336408108</c:v>
                </c:pt>
                <c:pt idx="139">
                  <c:v>70.2717847669876</c:v>
                </c:pt>
                <c:pt idx="140">
                  <c:v>70.0280555736788</c:v>
                </c:pt>
                <c:pt idx="141">
                  <c:v>69.783851812484</c:v>
                </c:pt>
                <c:pt idx="142">
                  <c:v>69.5391792344087</c:v>
                </c:pt>
                <c:pt idx="143">
                  <c:v>69.2940435894814</c:v>
                </c:pt>
                <c:pt idx="144">
                  <c:v>69.048450626372</c:v>
                </c:pt>
                <c:pt idx="145">
                  <c:v>68.8024060920121</c:v>
                </c:pt>
                <c:pt idx="146">
                  <c:v>68.5559157312165</c:v>
                </c:pt>
                <c:pt idx="147">
                  <c:v>68.3089852863059</c:v>
                </c:pt>
                <c:pt idx="148">
                  <c:v>68.0616204967322</c:v>
                </c:pt>
                <c:pt idx="149">
                  <c:v>67.8138270987043</c:v>
                </c:pt>
                <c:pt idx="150">
                  <c:v>67.5656108248163</c:v>
                </c:pt>
                <c:pt idx="151">
                  <c:v>67.3259124816693</c:v>
                </c:pt>
                <c:pt idx="152">
                  <c:v>67.0947420497343</c:v>
                </c:pt>
                <c:pt idx="153">
                  <c:v>66.8631666193829</c:v>
                </c:pt>
                <c:pt idx="154">
                  <c:v>66.6311914548809</c:v>
                </c:pt>
                <c:pt idx="155">
                  <c:v>66.3988218173768</c:v>
                </c:pt>
                <c:pt idx="156">
                  <c:v>66.1660629645726</c:v>
                </c:pt>
                <c:pt idx="157">
                  <c:v>65.9329201503972</c:v>
                </c:pt>
                <c:pt idx="158">
                  <c:v>65.6993986246812</c:v>
                </c:pt>
                <c:pt idx="159">
                  <c:v>65.4655036328331</c:v>
                </c:pt>
                <c:pt idx="160">
                  <c:v>65.2312404155176</c:v>
                </c:pt>
                <c:pt idx="161">
                  <c:v>64.9966142083354</c:v>
                </c:pt>
                <c:pt idx="162">
                  <c:v>64.7616302415052</c:v>
                </c:pt>
                <c:pt idx="163">
                  <c:v>64.526293739547</c:v>
                </c:pt>
                <c:pt idx="164">
                  <c:v>64.2906099209679</c:v>
                </c:pt>
                <c:pt idx="165">
                  <c:v>64.054583997949</c:v>
                </c:pt>
                <c:pt idx="166">
                  <c:v>63.8182211760354</c:v>
                </c:pt>
                <c:pt idx="167">
                  <c:v>63.581526653827</c:v>
                </c:pt>
                <c:pt idx="168">
                  <c:v>63.3445056226722</c:v>
                </c:pt>
                <c:pt idx="169">
                  <c:v>63.1071632663631</c:v>
                </c:pt>
                <c:pt idx="170">
                  <c:v>62.869504760833</c:v>
                </c:pt>
                <c:pt idx="171">
                  <c:v>62.6315352738561</c:v>
                </c:pt>
                <c:pt idx="172">
                  <c:v>62.3932599647492</c:v>
                </c:pt>
                <c:pt idx="173">
                  <c:v>62.1546839840756</c:v>
                </c:pt>
                <c:pt idx="174">
                  <c:v>61.9158124733513</c:v>
                </c:pt>
                <c:pt idx="175">
                  <c:v>61.676650564753</c:v>
                </c:pt>
                <c:pt idx="176">
                  <c:v>61.4372033808291</c:v>
                </c:pt>
                <c:pt idx="177">
                  <c:v>61.1974760342124</c:v>
                </c:pt>
                <c:pt idx="178">
                  <c:v>60.9574736273351</c:v>
                </c:pt>
                <c:pt idx="179">
                  <c:v>60.7172012521464</c:v>
                </c:pt>
                <c:pt idx="180">
                  <c:v>60.4766639898325</c:v>
                </c:pt>
                <c:pt idx="181">
                  <c:v>60.2358669105387</c:v>
                </c:pt>
                <c:pt idx="182">
                  <c:v>59.9948150730938</c:v>
                </c:pt>
                <c:pt idx="183">
                  <c:v>59.7535135247374</c:v>
                </c:pt>
                <c:pt idx="184">
                  <c:v>59.5119673008493</c:v>
                </c:pt>
                <c:pt idx="185">
                  <c:v>59.2701814246812</c:v>
                </c:pt>
                <c:pt idx="186">
                  <c:v>59.0281609070917</c:v>
                </c:pt>
                <c:pt idx="187">
                  <c:v>58.7859107462823</c:v>
                </c:pt>
                <c:pt idx="188">
                  <c:v>58.5434359275377</c:v>
                </c:pt>
                <c:pt idx="189">
                  <c:v>58.300741422967</c:v>
                </c:pt>
                <c:pt idx="190">
                  <c:v>58.057832191249</c:v>
                </c:pt>
                <c:pt idx="191">
                  <c:v>57.8147131773785</c:v>
                </c:pt>
                <c:pt idx="192">
                  <c:v>57.5713893124165</c:v>
                </c:pt>
                <c:pt idx="193">
                  <c:v>57.327865513242</c:v>
                </c:pt>
                <c:pt idx="194">
                  <c:v>57.0841466823075</c:v>
                </c:pt>
                <c:pt idx="195">
                  <c:v>56.8402377073959</c:v>
                </c:pt>
                <c:pt idx="196">
                  <c:v>56.596143461381</c:v>
                </c:pt>
                <c:pt idx="197">
                  <c:v>56.3518688019901</c:v>
                </c:pt>
                <c:pt idx="198">
                  <c:v>56.1074185715697</c:v>
                </c:pt>
                <c:pt idx="199">
                  <c:v>55.8627975968534</c:v>
                </c:pt>
                <c:pt idx="200">
                  <c:v>55.6180106887331</c:v>
                </c:pt>
                <c:pt idx="201">
                  <c:v>55.3730626420321</c:v>
                </c:pt>
                <c:pt idx="202">
                  <c:v>55.1279582352818</c:v>
                </c:pt>
                <c:pt idx="203">
                  <c:v>54.8827022305003</c:v>
                </c:pt>
                <c:pt idx="204">
                  <c:v>54.6372993729744</c:v>
                </c:pt>
                <c:pt idx="205">
                  <c:v>54.3917543910442</c:v>
                </c:pt>
                <c:pt idx="206">
                  <c:v>54.1460719958898</c:v>
                </c:pt>
                <c:pt idx="207">
                  <c:v>53.9002568813217</c:v>
                </c:pt>
                <c:pt idx="208">
                  <c:v>53.6543137235735</c:v>
                </c:pt>
                <c:pt idx="209">
                  <c:v>53.4082471810972</c:v>
                </c:pt>
                <c:pt idx="210">
                  <c:v>53.1620618943617</c:v>
                </c:pt>
                <c:pt idx="211">
                  <c:v>52.9157624856537</c:v>
                </c:pt>
                <c:pt idx="212">
                  <c:v>52.6693535588816</c:v>
                </c:pt>
                <c:pt idx="213">
                  <c:v>52.4228396993824</c:v>
                </c:pt>
                <c:pt idx="214">
                  <c:v>52.1762254737307</c:v>
                </c:pt>
                <c:pt idx="215">
                  <c:v>51.9295154295512</c:v>
                </c:pt>
                <c:pt idx="216">
                  <c:v>51.6827140953338</c:v>
                </c:pt>
                <c:pt idx="217">
                  <c:v>51.4358259802513</c:v>
                </c:pt>
                <c:pt idx="218">
                  <c:v>51.1888555739801</c:v>
                </c:pt>
                <c:pt idx="219">
                  <c:v>50.9418073465236</c:v>
                </c:pt>
                <c:pt idx="220">
                  <c:v>50.6946857480388</c:v>
                </c:pt>
                <c:pt idx="221">
                  <c:v>50.4474952086648</c:v>
                </c:pt>
                <c:pt idx="222">
                  <c:v>50.2002401383554</c:v>
                </c:pt>
                <c:pt idx="223">
                  <c:v>49.9529249267131</c:v>
                </c:pt>
                <c:pt idx="224">
                  <c:v>49.7055539428271</c:v>
                </c:pt>
                <c:pt idx="225">
                  <c:v>49.4581315351134</c:v>
                </c:pt>
                <c:pt idx="226">
                  <c:v>49.210662031158</c:v>
                </c:pt>
                <c:pt idx="227">
                  <c:v>48.9631497375629</c:v>
                </c:pt>
                <c:pt idx="228">
                  <c:v>48.7155989397947</c:v>
                </c:pt>
                <c:pt idx="229">
                  <c:v>48.4680139020361</c:v>
                </c:pt>
                <c:pt idx="230">
                  <c:v>48.2203988670404</c:v>
                </c:pt>
                <c:pt idx="231">
                  <c:v>47.9727580559886</c:v>
                </c:pt>
                <c:pt idx="232">
                  <c:v>47.725095668349</c:v>
                </c:pt>
                <c:pt idx="233">
                  <c:v>47.4774158817404</c:v>
                </c:pt>
                <c:pt idx="234">
                  <c:v>47.229722851797</c:v>
                </c:pt>
                <c:pt idx="235">
                  <c:v>46.982020712037</c:v>
                </c:pt>
                <c:pt idx="236">
                  <c:v>46.7343135737338</c:v>
                </c:pt>
                <c:pt idx="237">
                  <c:v>46.4866055257892</c:v>
                </c:pt>
                <c:pt idx="238">
                  <c:v>46.2389006346102</c:v>
                </c:pt>
                <c:pt idx="239">
                  <c:v>45.9912029439884</c:v>
                </c:pt>
                <c:pt idx="240">
                  <c:v>45.7435164749819</c:v>
                </c:pt>
                <c:pt idx="241">
                  <c:v>45.4958452258</c:v>
                </c:pt>
                <c:pt idx="242">
                  <c:v>45.2481931716905</c:v>
                </c:pt>
                <c:pt idx="243">
                  <c:v>45.0005642648304</c:v>
                </c:pt>
                <c:pt idx="244">
                  <c:v>44.7529624342182</c:v>
                </c:pt>
                <c:pt idx="245">
                  <c:v>44.5053915855698</c:v>
                </c:pt>
                <c:pt idx="246">
                  <c:v>44.2578556012167</c:v>
                </c:pt>
                <c:pt idx="247">
                  <c:v>44.010358340007</c:v>
                </c:pt>
                <c:pt idx="248">
                  <c:v>43.762903637209</c:v>
                </c:pt>
                <c:pt idx="249">
                  <c:v>43.5154953044174</c:v>
                </c:pt>
                <c:pt idx="250">
                  <c:v>43.2681371294623</c:v>
                </c:pt>
                <c:pt idx="251">
                  <c:v>42.9822121313777</c:v>
                </c:pt>
                <c:pt idx="252">
                  <c:v>42.6577416354432</c:v>
                </c:pt>
                <c:pt idx="253">
                  <c:v>42.3333948515742</c:v>
                </c:pt>
                <c:pt idx="254">
                  <c:v>42.0091769035166</c:v>
                </c:pt>
                <c:pt idx="255">
                  <c:v>41.685092874535</c:v>
                </c:pt>
                <c:pt idx="256">
                  <c:v>41.3611478073195</c:v>
                </c:pt>
                <c:pt idx="257">
                  <c:v>41.0373467038973</c:v>
                </c:pt>
                <c:pt idx="258">
                  <c:v>40.7136945255488</c:v>
                </c:pt>
                <c:pt idx="259">
                  <c:v>40.3901961927286</c:v>
                </c:pt>
                <c:pt idx="260">
                  <c:v>40.0668565849906</c:v>
                </c:pt>
                <c:pt idx="261">
                  <c:v>39.743680540918</c:v>
                </c:pt>
                <c:pt idx="262">
                  <c:v>39.4206728580579</c:v>
                </c:pt>
                <c:pt idx="263">
                  <c:v>39.0978382928598</c:v>
                </c:pt>
                <c:pt idx="264">
                  <c:v>38.775181560619</c:v>
                </c:pt>
                <c:pt idx="265">
                  <c:v>38.4527073354244</c:v>
                </c:pt>
                <c:pt idx="266">
                  <c:v>38.1304202501106</c:v>
                </c:pt>
                <c:pt idx="267">
                  <c:v>37.8083248962138</c:v>
                </c:pt>
                <c:pt idx="268">
                  <c:v>37.4864258239329</c:v>
                </c:pt>
                <c:pt idx="269">
                  <c:v>37.1647275420944</c:v>
                </c:pt>
                <c:pt idx="270">
                  <c:v>36.8432345181211</c:v>
                </c:pt>
                <c:pt idx="271">
                  <c:v>36.521951178006</c:v>
                </c:pt>
                <c:pt idx="272">
                  <c:v>36.2008819062893</c:v>
                </c:pt>
                <c:pt idx="273">
                  <c:v>35.8800310460399</c:v>
                </c:pt>
                <c:pt idx="274">
                  <c:v>35.5594028988416</c:v>
                </c:pt>
                <c:pt idx="275">
                  <c:v>35.239001724782</c:v>
                </c:pt>
                <c:pt idx="276">
                  <c:v>34.9188317424467</c:v>
                </c:pt>
                <c:pt idx="277">
                  <c:v>34.5988971289168</c:v>
                </c:pt>
                <c:pt idx="278">
                  <c:v>34.27920201977</c:v>
                </c:pt>
                <c:pt idx="279">
                  <c:v>33.9597505090865</c:v>
                </c:pt>
                <c:pt idx="280">
                  <c:v>33.6405466494581</c:v>
                </c:pt>
                <c:pt idx="281">
                  <c:v>33.3215944520011</c:v>
                </c:pt>
                <c:pt idx="282">
                  <c:v>33.0028978863729</c:v>
                </c:pt>
                <c:pt idx="283">
                  <c:v>32.6844608807931</c:v>
                </c:pt>
                <c:pt idx="284">
                  <c:v>32.3662873220671</c:v>
                </c:pt>
                <c:pt idx="285">
                  <c:v>32.0483810556141</c:v>
                </c:pt>
                <c:pt idx="286">
                  <c:v>31.7307458854988</c:v>
                </c:pt>
                <c:pt idx="287">
                  <c:v>31.4133855744657</c:v>
                </c:pt>
                <c:pt idx="288">
                  <c:v>31.0963038439784</c:v>
                </c:pt>
                <c:pt idx="289">
                  <c:v>30.7795043742608</c:v>
                </c:pt>
                <c:pt idx="290">
                  <c:v>30.4629908043431</c:v>
                </c:pt>
                <c:pt idx="291">
                  <c:v>30.1467667321102</c:v>
                </c:pt>
                <c:pt idx="292">
                  <c:v>29.8308357143541</c:v>
                </c:pt>
                <c:pt idx="293">
                  <c:v>29.515201266829</c:v>
                </c:pt>
                <c:pt idx="294">
                  <c:v>29.1998668643104</c:v>
                </c:pt>
                <c:pt idx="295">
                  <c:v>28.8848359406569</c:v>
                </c:pt>
                <c:pt idx="296">
                  <c:v>28.5701118888753</c:v>
                </c:pt>
                <c:pt idx="297">
                  <c:v>28.2556980611888</c:v>
                </c:pt>
                <c:pt idx="298">
                  <c:v>27.5174790311938</c:v>
                </c:pt>
                <c:pt idx="299">
                  <c:v>26.3558414761271</c:v>
                </c:pt>
                <c:pt idx="300">
                  <c:v>25.1955392598862</c:v>
                </c:pt>
                <c:pt idx="301">
                  <c:v>24.0365981653991</c:v>
                </c:pt>
                <c:pt idx="302">
                  <c:v>22.8790434882162</c:v>
                </c:pt>
                <c:pt idx="303">
                  <c:v>21.7229000372939</c:v>
                </c:pt>
                <c:pt idx="304">
                  <c:v>20.5681921358659</c:v>
                </c:pt>
                <c:pt idx="305">
                  <c:v>19.4149436224028</c:v>
                </c:pt>
                <c:pt idx="306">
                  <c:v>18.2631778516559</c:v>
                </c:pt>
                <c:pt idx="307">
                  <c:v>17.1129176957858</c:v>
                </c:pt>
                <c:pt idx="308">
                  <c:v>15.9641855455713</c:v>
                </c:pt>
                <c:pt idx="309">
                  <c:v>14.8170033116999</c:v>
                </c:pt>
                <c:pt idx="310">
                  <c:v>13.6713924261364</c:v>
                </c:pt>
                <c:pt idx="311">
                  <c:v>12.5273738435675</c:v>
                </c:pt>
                <c:pt idx="312">
                  <c:v>11.384968042923</c:v>
                </c:pt>
                <c:pt idx="313">
                  <c:v>10.2441950289693</c:v>
                </c:pt>
                <c:pt idx="314">
                  <c:v>9.10507433397474</c:v>
                </c:pt>
                <c:pt idx="315">
                  <c:v>7.96762501944531</c:v>
                </c:pt>
                <c:pt idx="316">
                  <c:v>6.83186567792844</c:v>
                </c:pt>
                <c:pt idx="317">
                  <c:v>5.69781443488342</c:v>
                </c:pt>
                <c:pt idx="318">
                  <c:v>4.56548895061668</c:v>
                </c:pt>
                <c:pt idx="319">
                  <c:v>3.43490642228036</c:v>
                </c:pt>
                <c:pt idx="320">
                  <c:v>2.3060835859324</c:v>
                </c:pt>
                <c:pt idx="321">
                  <c:v>1.34772266145366</c:v>
                </c:pt>
                <c:pt idx="322">
                  <c:v>0.559592266922964</c:v>
                </c:pt>
                <c:pt idx="323">
                  <c:v>-0.227279514735177</c:v>
                </c:pt>
                <c:pt idx="324">
                  <c:v>-1.01288609227693</c:v>
                </c:pt>
                <c:pt idx="325">
                  <c:v>-1.79722109345896</c:v>
                </c:pt>
                <c:pt idx="326">
                  <c:v>-2.58027836373636</c:v>
                </c:pt>
                <c:pt idx="327">
                  <c:v>-3.36205196494599</c:v>
                </c:pt>
                <c:pt idx="328">
                  <c:v>-4.14253617397579</c:v>
                </c:pt>
                <c:pt idx="329">
                  <c:v>-4.92172548142056</c:v>
                </c:pt>
                <c:pt idx="330">
                  <c:v>-5.69961459022477</c:v>
                </c:pt>
                <c:pt idx="331">
                  <c:v>-6.47619841431299</c:v>
                </c:pt>
                <c:pt idx="332">
                  <c:v>-7.25147207720835</c:v>
                </c:pt>
                <c:pt idx="333">
                  <c:v>-8.02543091063979</c:v>
                </c:pt>
                <c:pt idx="334">
                  <c:v>-8.79807045313832</c:v>
                </c:pt>
                <c:pt idx="335">
                  <c:v>-9.56938644862304</c:v>
                </c:pt>
                <c:pt idx="336">
                  <c:v>-10.3393748449775</c:v>
                </c:pt>
                <c:pt idx="337">
                  <c:v>-11.1080317926163</c:v>
                </c:pt>
                <c:pt idx="338">
                  <c:v>-11.8753536430437</c:v>
                </c:pt>
                <c:pt idx="339">
                  <c:v>-12.6413369474033</c:v>
                </c:pt>
                <c:pt idx="340">
                  <c:v>-13.4059784550196</c:v>
                </c:pt>
                <c:pt idx="341">
                  <c:v>-14.1692751119338</c:v>
                </c:pt>
                <c:pt idx="342">
                  <c:v>-14.9312240594306</c:v>
                </c:pt>
                <c:pt idx="343">
                  <c:v>-15.6918226325606</c:v>
                </c:pt>
                <c:pt idx="344">
                  <c:v>-16.4510683586555</c:v>
                </c:pt>
                <c:pt idx="345">
                  <c:v>-17.2089589558387</c:v>
                </c:pt>
                <c:pt idx="346">
                  <c:v>-17.9654923315301</c:v>
                </c:pt>
                <c:pt idx="347">
                  <c:v>-18.7206665809474</c:v>
                </c:pt>
                <c:pt idx="348">
                  <c:v>-19.4562878292752</c:v>
                </c:pt>
                <c:pt idx="349">
                  <c:v>-20.1723882296094</c:v>
                </c:pt>
                <c:pt idx="350">
                  <c:v>-20.8871939746511</c:v>
                </c:pt>
                <c:pt idx="351">
                  <c:v>-21.6007043224909</c:v>
                </c:pt>
                <c:pt idx="352">
                  <c:v>-22.3129186930813</c:v>
                </c:pt>
                <c:pt idx="353">
                  <c:v>-23.0238366668598</c:v>
                </c:pt>
                <c:pt idx="354">
                  <c:v>-23.7334579833717</c:v>
                </c:pt>
                <c:pt idx="355">
                  <c:v>-24.4417825398917</c:v>
                </c:pt>
                <c:pt idx="356">
                  <c:v>-25.1488103900464</c:v>
                </c:pt>
                <c:pt idx="357">
                  <c:v>-25.8545417424372</c:v>
                </c:pt>
                <c:pt idx="358">
                  <c:v>-26.5589769592636</c:v>
                </c:pt>
                <c:pt idx="359">
                  <c:v>-27.2621165549478</c:v>
                </c:pt>
                <c:pt idx="360">
                  <c:v>-27.5856190188543</c:v>
                </c:pt>
                <c:pt idx="361">
                  <c:v>-27.5302345768825</c:v>
                </c:pt>
                <c:pt idx="362">
                  <c:v>-27.4750522751524</c:v>
                </c:pt>
                <c:pt idx="363">
                  <c:v>-27.4200711280185</c:v>
                </c:pt>
                <c:pt idx="364">
                  <c:v>-27.3652901558617</c:v>
                </c:pt>
                <c:pt idx="365">
                  <c:v>-27.3107083850455</c:v>
                </c:pt>
                <c:pt idx="366">
                  <c:v>-27.2563248478717</c:v>
                </c:pt>
                <c:pt idx="367">
                  <c:v>-27.2021385825362</c:v>
                </c:pt>
                <c:pt idx="368">
                  <c:v>-27.1481486330864</c:v>
                </c:pt>
                <c:pt idx="369">
                  <c:v>-27.0943540493776</c:v>
                </c:pt>
                <c:pt idx="370">
                  <c:v>-27.0407538870304</c:v>
                </c:pt>
                <c:pt idx="371">
                  <c:v>-26.987347207389</c:v>
                </c:pt>
                <c:pt idx="372">
                  <c:v>-26.9341330774784</c:v>
                </c:pt>
                <c:pt idx="373">
                  <c:v>-26.8811105699636</c:v>
                </c:pt>
                <c:pt idx="374">
                  <c:v>-26.8282787631081</c:v>
                </c:pt>
                <c:pt idx="375">
                  <c:v>-26.7756367407331</c:v>
                </c:pt>
                <c:pt idx="376">
                  <c:v>-26.7231835921768</c:v>
                </c:pt>
                <c:pt idx="377">
                  <c:v>-26.6709184122547</c:v>
                </c:pt>
                <c:pt idx="378">
                  <c:v>-26.6188403012193</c:v>
                </c:pt>
                <c:pt idx="379">
                  <c:v>-26.566948364721</c:v>
                </c:pt>
                <c:pt idx="380">
                  <c:v>-26.5152417137688</c:v>
                </c:pt>
                <c:pt idx="381">
                  <c:v>-26.4637194646912</c:v>
                </c:pt>
                <c:pt idx="382">
                  <c:v>-26.4123807390984</c:v>
                </c:pt>
                <c:pt idx="383">
                  <c:v>-26.3612246638435</c:v>
                </c:pt>
                <c:pt idx="384">
                  <c:v>-26.310250370985</c:v>
                </c:pt>
                <c:pt idx="385">
                  <c:v>-26.2594569977492</c:v>
                </c:pt>
                <c:pt idx="386">
                  <c:v>-26.2088436864929</c:v>
                </c:pt>
                <c:pt idx="387">
                  <c:v>-26.1584095846667</c:v>
                </c:pt>
                <c:pt idx="388">
                  <c:v>-26.1081538447782</c:v>
                </c:pt>
                <c:pt idx="389">
                  <c:v>-26.058075624356</c:v>
                </c:pt>
                <c:pt idx="390">
                  <c:v>-26.0081740859134</c:v>
                </c:pt>
                <c:pt idx="391">
                  <c:v>-25.958448396913</c:v>
                </c:pt>
                <c:pt idx="392">
                  <c:v>-25.908897729731</c:v>
                </c:pt>
                <c:pt idx="393">
                  <c:v>-25.8595212616227</c:v>
                </c:pt>
                <c:pt idx="394">
                  <c:v>-25.810318174687</c:v>
                </c:pt>
                <c:pt idx="395">
                  <c:v>-25.7612876558325</c:v>
                </c:pt>
                <c:pt idx="396">
                  <c:v>-25.7124288967427</c:v>
                </c:pt>
                <c:pt idx="397">
                  <c:v>-25.6637410938428</c:v>
                </c:pt>
                <c:pt idx="398">
                  <c:v>-25.6152234482654</c:v>
                </c:pt>
                <c:pt idx="399">
                  <c:v>-25.5668751658173</c:v>
                </c:pt>
                <c:pt idx="400">
                  <c:v>-25.5186954569467</c:v>
                </c:pt>
                <c:pt idx="401">
                  <c:v>-25.47068353671</c:v>
                </c:pt>
                <c:pt idx="402">
                  <c:v>-24.9959442516901</c:v>
                </c:pt>
                <c:pt idx="403">
                  <c:v>-24.5374569099144</c:v>
                </c:pt>
                <c:pt idx="404">
                  <c:v>-24.0944844945673</c:v>
                </c:pt>
                <c:pt idx="405">
                  <c:v>-23.6663314302303</c:v>
                </c:pt>
                <c:pt idx="406">
                  <c:v>-23.252340784022</c:v>
                </c:pt>
                <c:pt idx="407">
                  <c:v>-22.8518916846091</c:v>
                </c:pt>
                <c:pt idx="408">
                  <c:v>-22.4643969397876</c:v>
                </c:pt>
                <c:pt idx="409">
                  <c:v>-22.0893008352403</c:v>
                </c:pt>
                <c:pt idx="410">
                  <c:v>-21.7260770987701</c:v>
                </c:pt>
                <c:pt idx="411">
                  <c:v>-21.37422701582</c:v>
                </c:pt>
                <c:pt idx="412">
                  <c:v>-21.0332776834464</c:v>
                </c:pt>
                <c:pt idx="413">
                  <c:v>-20.7027803911177</c:v>
                </c:pt>
                <c:pt idx="414">
                  <c:v>-20.3823091177979</c:v>
                </c:pt>
                <c:pt idx="415">
                  <c:v>-20.071459135743</c:v>
                </c:pt>
                <c:pt idx="416">
                  <c:v>-19.7698457123137</c:v>
                </c:pt>
                <c:pt idx="417">
                  <c:v>-19.4771029018902</c:v>
                </c:pt>
                <c:pt idx="418">
                  <c:v>-19.1928824206825</c:v>
                </c:pt>
                <c:pt idx="419">
                  <c:v>-18.9168525978644</c:v>
                </c:pt>
                <c:pt idx="420">
                  <c:v>-18.6486973970325</c:v>
                </c:pt>
                <c:pt idx="421">
                  <c:v>-18.3881155025113</c:v>
                </c:pt>
                <c:pt idx="422">
                  <c:v>-18.1348194654912</c:v>
                </c:pt>
                <c:pt idx="423">
                  <c:v>-17.888534905409</c:v>
                </c:pt>
                <c:pt idx="424">
                  <c:v>-17.6489997623651</c:v>
                </c:pt>
                <c:pt idx="425">
                  <c:v>-17.4159635967174</c:v>
                </c:pt>
                <c:pt idx="426">
                  <c:v>-17.1891869323053</c:v>
                </c:pt>
                <c:pt idx="427">
                  <c:v>-16.9684406400447</c:v>
                </c:pt>
                <c:pt idx="428">
                  <c:v>-16.7535053588912</c:v>
                </c:pt>
                <c:pt idx="429">
                  <c:v>-16.5441709514058</c:v>
                </c:pt>
                <c:pt idx="430">
                  <c:v>-16.3402359913709</c:v>
                </c:pt>
                <c:pt idx="431">
                  <c:v>-16.1415072810968</c:v>
                </c:pt>
                <c:pt idx="432">
                  <c:v>-15.9477993962381</c:v>
                </c:pt>
                <c:pt idx="433">
                  <c:v>-15.7589342560987</c:v>
                </c:pt>
                <c:pt idx="434">
                  <c:v>-15.5747407175505</c:v>
                </c:pt>
                <c:pt idx="435">
                  <c:v>-15.395054190823</c:v>
                </c:pt>
                <c:pt idx="436">
                  <c:v>-15.219716275544</c:v>
                </c:pt>
                <c:pt idx="437">
                  <c:v>-15.0485744155192</c:v>
                </c:pt>
                <c:pt idx="438">
                  <c:v>-14.8814815708396</c:v>
                </c:pt>
                <c:pt idx="439">
                  <c:v>-14.7182959059948</c:v>
                </c:pt>
                <c:pt idx="440">
                  <c:v>-14.5588804927537</c:v>
                </c:pt>
                <c:pt idx="441">
                  <c:v>-14.4031030266472</c:v>
                </c:pt>
                <c:pt idx="442">
                  <c:v>-14.2508355559538</c:v>
                </c:pt>
                <c:pt idx="443">
                  <c:v>-14.10195422215</c:v>
                </c:pt>
                <c:pt idx="444">
                  <c:v>-13.9563390108408</c:v>
                </c:pt>
                <c:pt idx="445">
                  <c:v>-13.8138735122319</c:v>
                </c:pt>
                <c:pt idx="446">
                  <c:v>-13.6744446902498</c:v>
                </c:pt>
                <c:pt idx="447">
                  <c:v>-13.5379426594508</c:v>
                </c:pt>
                <c:pt idx="448">
                  <c:v>-13.4042604688926</c:v>
                </c:pt>
                <c:pt idx="449">
                  <c:v>-13.2732938921702</c:v>
                </c:pt>
                <c:pt idx="450">
                  <c:v>-13.1449412228388</c:v>
                </c:pt>
                <c:pt idx="451">
                  <c:v>-13.0191030744661</c:v>
                </c:pt>
                <c:pt idx="452">
                  <c:v>-12.8956821845704</c:v>
                </c:pt>
                <c:pt idx="453">
                  <c:v>-12.7745832217088</c:v>
                </c:pt>
                <c:pt idx="454">
                  <c:v>-12.6557125949894</c:v>
                </c:pt>
                <c:pt idx="455">
                  <c:v>-12.5389782652791</c:v>
                </c:pt>
                <c:pt idx="456">
                  <c:v>-12.4242895573797</c:v>
                </c:pt>
                <c:pt idx="457">
                  <c:v>-12.3115569724371</c:v>
                </c:pt>
                <c:pt idx="458">
                  <c:v>-12.20069199984</c:v>
                </c:pt>
                <c:pt idx="459">
                  <c:v>-12.0916069278489</c:v>
                </c:pt>
                <c:pt idx="460">
                  <c:v>-11.9842146521804</c:v>
                </c:pt>
                <c:pt idx="461">
                  <c:v>-11.8784284817487</c:v>
                </c:pt>
                <c:pt idx="462">
                  <c:v>-11.774161940742</c:v>
                </c:pt>
                <c:pt idx="463">
                  <c:v>-11.6713285661816</c:v>
                </c:pt>
                <c:pt idx="464">
                  <c:v>-11.5698417000783</c:v>
                </c:pt>
                <c:pt idx="465">
                  <c:v>-11.4696142752646</c:v>
                </c:pt>
                <c:pt idx="466">
                  <c:v>-11.3705585939409</c:v>
                </c:pt>
                <c:pt idx="467">
                  <c:v>-11.2725860979313</c:v>
                </c:pt>
                <c:pt idx="468">
                  <c:v>-11.1756071295959</c:v>
                </c:pt>
                <c:pt idx="469">
                  <c:v>-11.0795306823021</c:v>
                </c:pt>
                <c:pt idx="470">
                  <c:v>-10.9842641393028</c:v>
                </c:pt>
                <c:pt idx="471">
                  <c:v>-10.8897129998221</c:v>
                </c:pt>
                <c:pt idx="472">
                  <c:v>-10.7957805910955</c:v>
                </c:pt>
                <c:pt idx="473">
                  <c:v>-10.702367765065</c:v>
                </c:pt>
                <c:pt idx="474">
                  <c:v>-10.6093725783836</c:v>
                </c:pt>
                <c:pt idx="475">
                  <c:v>-10.5166899543441</c:v>
                </c:pt>
                <c:pt idx="476">
                  <c:v>-10.4242113253197</c:v>
                </c:pt>
                <c:pt idx="477">
                  <c:v>-10.3318242542874</c:v>
                </c:pt>
                <c:pt idx="478">
                  <c:v>-10.2394120340055</c:v>
                </c:pt>
                <c:pt idx="479">
                  <c:v>-10.1468532624455</c:v>
                </c:pt>
                <c:pt idx="480">
                  <c:v>-10.054021393136</c:v>
                </c:pt>
                <c:pt idx="481">
                  <c:v>-9.96078425917446</c:v>
                </c:pt>
                <c:pt idx="482">
                  <c:v>-9.86700356981405</c:v>
                </c:pt>
                <c:pt idx="483">
                  <c:v>-9.77253437875154</c:v>
                </c:pt>
                <c:pt idx="484">
                  <c:v>-9.67722452353792</c:v>
                </c:pt>
                <c:pt idx="485">
                  <c:v>-9.58091403593776</c:v>
                </c:pt>
                <c:pt idx="486">
                  <c:v>-9.48343452358857</c:v>
                </c:pt>
                <c:pt idx="487">
                  <c:v>-9.38460852399337</c:v>
                </c:pt>
                <c:pt idx="488">
                  <c:v>-9.28424883274862</c:v>
                </c:pt>
                <c:pt idx="489">
                  <c:v>-9.18215780900508</c:v>
                </c:pt>
                <c:pt idx="490">
                  <c:v>-9.07812666252771</c:v>
                </c:pt>
                <c:pt idx="491">
                  <c:v>-8.9719347284134</c:v>
                </c:pt>
                <c:pt idx="492">
                  <c:v>-8.86334873760251</c:v>
                </c:pt>
                <c:pt idx="493">
                  <c:v>-8.75212209384788</c:v>
                </c:pt>
                <c:pt idx="494">
                  <c:v>-8.63799417085583</c:v>
                </c:pt>
                <c:pt idx="495">
                  <c:v>-8.52068964696551</c:v>
                </c:pt>
                <c:pt idx="496">
                  <c:v>-8.39991789906465</c:v>
                </c:pt>
                <c:pt idx="497">
                  <c:v>-8.27537248252941</c:v>
                </c:pt>
                <c:pt idx="498">
                  <c:v>-8.14673072989268</c:v>
                </c:pt>
                <c:pt idx="499">
                  <c:v>-8.0136535077379</c:v>
                </c:pt>
                <c:pt idx="500">
                  <c:v>-7.87578517900713</c:v>
                </c:pt>
                <c:pt idx="501">
                  <c:v>-7.73275382647071</c:v>
                </c:pt>
                <c:pt idx="502">
                  <c:v>-7.58417180243428</c:v>
                </c:pt>
                <c:pt idx="503">
                  <c:v>-7.42963667965547</c:v>
                </c:pt>
                <c:pt idx="504">
                  <c:v>-7.26873268857202</c:v>
                </c:pt>
                <c:pt idx="505">
                  <c:v>-7.10103273579367</c:v>
                </c:pt>
                <c:pt idx="506">
                  <c:v>-6.92610110764631</c:v>
                </c:pt>
                <c:pt idx="507">
                  <c:v>-6.74349696937544</c:v>
                </c:pt>
                <c:pt idx="508">
                  <c:v>-6.55277877410137</c:v>
                </c:pt>
                <c:pt idx="509">
                  <c:v>-6.35350969411732</c:v>
                </c:pt>
                <c:pt idx="510">
                  <c:v>-6.14526417864038</c:v>
                </c:pt>
                <c:pt idx="511">
                  <c:v>-5.92763572437695</c:v>
                </c:pt>
                <c:pt idx="512">
                  <c:v>-5.70024591578104</c:v>
                </c:pt>
                <c:pt idx="513">
                  <c:v>-5.46275474821727</c:v>
                </c:pt>
                <c:pt idx="514">
                  <c:v>-5.21487218728273</c:v>
                </c:pt>
                <c:pt idx="515">
                  <c:v>-4.95637083996359</c:v>
                </c:pt>
                <c:pt idx="516">
                  <c:v>-4.68709951811877</c:v>
                </c:pt>
                <c:pt idx="517">
                  <c:v>-4.40699736400468</c:v>
                </c:pt>
                <c:pt idx="518">
                  <c:v>-4.11610808584294</c:v>
                </c:pt>
                <c:pt idx="519">
                  <c:v>-3.81459372664195</c:v>
                </c:pt>
                <c:pt idx="520">
                  <c:v>-3.50274727289705</c:v>
                </c:pt>
                <c:pt idx="521">
                  <c:v>-3.18100331586544</c:v>
                </c:pt>
                <c:pt idx="522">
                  <c:v>-2.8499459234886</c:v>
                </c:pt>
                <c:pt idx="523">
                  <c:v>-2.51031288276379</c:v>
                </c:pt>
                <c:pt idx="524">
                  <c:v>-2.16299554529766</c:v>
                </c:pt>
                <c:pt idx="525">
                  <c:v>-1.80903366242699</c:v>
                </c:pt>
                <c:pt idx="526">
                  <c:v>-1.44960483168239</c:v>
                </c:pt>
                <c:pt idx="527">
                  <c:v>-1.08600848355025</c:v>
                </c:pt>
                <c:pt idx="528">
                  <c:v>-0.719644694565926</c:v>
                </c:pt>
                <c:pt idx="529">
                  <c:v>-0.351988487092308</c:v>
                </c:pt>
                <c:pt idx="530">
                  <c:v>0.0154393721374467</c:v>
                </c:pt>
                <c:pt idx="531">
                  <c:v>0.381103774897408</c:v>
                </c:pt>
                <c:pt idx="532">
                  <c:v>0.743487388414271</c:v>
                </c:pt>
                <c:pt idx="533">
                  <c:v>1.10112193632591</c:v>
                </c:pt>
                <c:pt idx="534">
                  <c:v>1.45261716420303</c:v>
                </c:pt>
                <c:pt idx="535">
                  <c:v>1.79668620478754</c:v>
                </c:pt>
                <c:pt idx="536">
                  <c:v>2.13216635136397</c:v>
                </c:pt>
                <c:pt idx="537">
                  <c:v>2.45803460291598</c:v>
                </c:pt>
                <c:pt idx="538">
                  <c:v>2.77341772034798</c:v>
                </c:pt>
                <c:pt idx="539">
                  <c:v>3.0775968893316</c:v>
                </c:pt>
                <c:pt idx="540">
                  <c:v>3.37000738994729</c:v>
                </c:pt>
                <c:pt idx="541">
                  <c:v>3.65023390483486</c:v>
                </c:pt>
                <c:pt idx="542">
                  <c:v>3.91800224664651</c:v>
                </c:pt>
                <c:pt idx="543">
                  <c:v>4.17316835376535</c:v>
                </c:pt>
                <c:pt idx="544">
                  <c:v>4.41570540047379</c:v>
                </c:pt>
                <c:pt idx="545">
                  <c:v>4.64568980920755</c:v>
                </c:pt>
                <c:pt idx="546">
                  <c:v>4.86328685544927</c:v>
                </c:pt>
                <c:pt idx="547">
                  <c:v>5.06873643692188</c:v>
                </c:pt>
                <c:pt idx="548">
                  <c:v>5.26233945246018</c:v>
                </c:pt>
                <c:pt idx="549">
                  <c:v>5.44444511346297</c:v>
                </c:pt>
                <c:pt idx="550">
                  <c:v>5.61543939987844</c:v>
                </c:pt>
                <c:pt idx="551">
                  <c:v>5.77573477777144</c:v>
                </c:pt>
                <c:pt idx="552">
                  <c:v>5.92576121853282</c:v>
                </c:pt>
                <c:pt idx="553">
                  <c:v>6.06595850060987</c:v>
                </c:pt>
                <c:pt idx="554">
                  <c:v>6.19676973183624</c:v>
                </c:pt>
                <c:pt idx="555">
                  <c:v>6.31863600183231</c:v>
                </c:pt>
                <c:pt idx="556">
                  <c:v>6.43199205703369</c:v>
                </c:pt>
                <c:pt idx="557">
                  <c:v>6.53726288318317</c:v>
                </c:pt>
                <c:pt idx="558">
                  <c:v>6.63486107928491</c:v>
                </c:pt>
                <c:pt idx="559">
                  <c:v>6.72518491106924</c:v>
                </c:pt>
                <c:pt idx="560">
                  <c:v>6.80861693929957</c:v>
                </c:pt>
                <c:pt idx="561">
                  <c:v>6.88552312746221</c:v>
                </c:pt>
                <c:pt idx="562">
                  <c:v>6.95625234352044</c:v>
                </c:pt>
                <c:pt idx="563">
                  <c:v>7.02113618076297</c:v>
                </c:pt>
                <c:pt idx="564">
                  <c:v>7.08048903283336</c:v>
                </c:pt>
                <c:pt idx="565">
                  <c:v>7.13460836746561</c:v>
                </c:pt>
                <c:pt idx="566">
                  <c:v>7.18377515208216</c:v>
                </c:pt>
                <c:pt idx="567">
                  <c:v>7.2282543921423</c:v>
                </c:pt>
                <c:pt idx="568">
                  <c:v>7.26829574994028</c:v>
                </c:pt>
                <c:pt idx="569">
                  <c:v>7.30413421746913</c:v>
                </c:pt>
                <c:pt idx="570">
                  <c:v>7.33599082204338</c:v>
                </c:pt>
                <c:pt idx="571">
                  <c:v>7.36407334768554</c:v>
                </c:pt>
                <c:pt idx="572">
                  <c:v>7.38857705890604</c:v>
                </c:pt>
                <c:pt idx="573">
                  <c:v>7.40968541652788</c:v>
                </c:pt>
                <c:pt idx="574">
                  <c:v>7.42757077770347</c:v>
                </c:pt>
                <c:pt idx="575">
                  <c:v>7.44239507431684</c:v>
                </c:pt>
                <c:pt idx="576">
                  <c:v>7.45431046562584</c:v>
                </c:pt>
                <c:pt idx="577">
                  <c:v>7.46345996233755</c:v>
                </c:pt>
                <c:pt idx="578">
                  <c:v>7.4699780203772</c:v>
                </c:pt>
                <c:pt idx="579">
                  <c:v>7.47399110345288</c:v>
                </c:pt>
                <c:pt idx="580">
                  <c:v>7.47561821417495</c:v>
                </c:pt>
                <c:pt idx="581">
                  <c:v>7.47497139399254</c:v>
                </c:pt>
                <c:pt idx="582">
                  <c:v>7.47215619258972</c:v>
                </c:pt>
                <c:pt idx="583">
                  <c:v>7.46727210766248</c:v>
                </c:pt>
                <c:pt idx="584">
                  <c:v>7.46041299619684</c:v>
                </c:pt>
                <c:pt idx="585">
                  <c:v>7.45166745850192</c:v>
                </c:pt>
                <c:pt idx="586">
                  <c:v>7.44111919633513</c:v>
                </c:pt>
                <c:pt idx="587">
                  <c:v>7.42884734650021</c:v>
                </c:pt>
                <c:pt idx="588">
                  <c:v>7.41492679131071</c:v>
                </c:pt>
                <c:pt idx="589">
                  <c:v>7.3994284473012</c:v>
                </c:pt>
                <c:pt idx="590">
                  <c:v>7.38241953353922</c:v>
                </c:pt>
                <c:pt idx="591">
                  <c:v>7.36396382084992</c:v>
                </c:pt>
                <c:pt idx="592">
                  <c:v>7.34412186321447</c:v>
                </c:pt>
                <c:pt idx="593">
                  <c:v>7.32295121254699</c:v>
                </c:pt>
                <c:pt idx="594">
                  <c:v>7.3005066179941</c:v>
                </c:pt>
                <c:pt idx="595">
                  <c:v>7.27684021083909</c:v>
                </c:pt>
                <c:pt idx="596">
                  <c:v>7.25200167602998</c:v>
                </c:pt>
                <c:pt idx="597">
                  <c:v>7.22603841128854</c:v>
                </c:pt>
                <c:pt idx="598">
                  <c:v>7.19899567469666</c:v>
                </c:pt>
                <c:pt idx="599">
                  <c:v>7.17091672159745</c:v>
                </c:pt>
                <c:pt idx="600">
                  <c:v>7.1418429315923</c:v>
                </c:pt>
                <c:pt idx="601">
                  <c:v>7.11181392636101</c:v>
                </c:pt>
                <c:pt idx="602">
                  <c:v>7.08086767898116</c:v>
                </c:pt>
                <c:pt idx="603">
                  <c:v>7.04904061537474</c:v>
                </c:pt>
                <c:pt idx="604">
                  <c:v>7.01636770846454</c:v>
                </c:pt>
                <c:pt idx="605">
                  <c:v>6.98288256558061</c:v>
                </c:pt>
                <c:pt idx="606">
                  <c:v>6.94861750961695</c:v>
                </c:pt>
                <c:pt idx="607">
                  <c:v>6.91360365440195</c:v>
                </c:pt>
                <c:pt idx="608">
                  <c:v>6.87787097471116</c:v>
                </c:pt>
                <c:pt idx="609">
                  <c:v>6.84144837131936</c:v>
                </c:pt>
                <c:pt idx="610">
                  <c:v>6.80436373145865</c:v>
                </c:pt>
                <c:pt idx="611">
                  <c:v>6.76664398502197</c:v>
                </c:pt>
                <c:pt idx="612">
                  <c:v>6.72831515682593</c:v>
                </c:pt>
                <c:pt idx="613">
                  <c:v>6.68940241522285</c:v>
                </c:pt>
                <c:pt idx="614">
                  <c:v>6.64993011733035</c:v>
                </c:pt>
                <c:pt idx="615">
                  <c:v>6.60992185112652</c:v>
                </c:pt>
                <c:pt idx="616">
                  <c:v>6.5694004746399</c:v>
                </c:pt>
                <c:pt idx="617">
                  <c:v>6.52838815244632</c:v>
                </c:pt>
                <c:pt idx="618">
                  <c:v>6.48690638966879</c:v>
                </c:pt>
                <c:pt idx="619">
                  <c:v>6.44497606366184</c:v>
                </c:pt>
                <c:pt idx="620">
                  <c:v>6.40261745354807</c:v>
                </c:pt>
                <c:pt idx="621">
                  <c:v>6.35985026776236</c:v>
                </c:pt>
                <c:pt idx="622">
                  <c:v>6.31669366974738</c:v>
                </c:pt>
                <c:pt idx="623">
                  <c:v>6.27316630193354</c:v>
                </c:pt>
                <c:pt idx="624">
                  <c:v>6.22928630812662</c:v>
                </c:pt>
                <c:pt idx="625">
                  <c:v>6.18507135441723</c:v>
                </c:pt>
                <c:pt idx="626">
                  <c:v>6.14053864871777</c:v>
                </c:pt>
                <c:pt idx="627">
                  <c:v>6.09570495902508</c:v>
                </c:pt>
                <c:pt idx="628">
                  <c:v>6.05058663049944</c:v>
                </c:pt>
                <c:pt idx="629">
                  <c:v>6.00519960144425</c:v>
                </c:pt>
                <c:pt idx="630">
                  <c:v>5.95955941826452</c:v>
                </c:pt>
                <c:pt idx="631">
                  <c:v>5.91368124947663</c:v>
                </c:pt>
                <c:pt idx="632">
                  <c:v>5.86757989883661</c:v>
                </c:pt>
                <c:pt idx="633">
                  <c:v>5.82126981764942</c:v>
                </c:pt>
                <c:pt idx="634">
                  <c:v>5.77476511631713</c:v>
                </c:pt>
                <c:pt idx="635">
                  <c:v>5.72807957517987</c:v>
                </c:pt>
                <c:pt idx="636">
                  <c:v>5.68122665469963</c:v>
                </c:pt>
                <c:pt idx="637">
                  <c:v>5.63421950503313</c:v>
                </c:pt>
                <c:pt idx="638">
                  <c:v>5.58707097503729</c:v>
                </c:pt>
                <c:pt idx="639">
                  <c:v>5.53979362074711</c:v>
                </c:pt>
                <c:pt idx="640">
                  <c:v>5.49239971336346</c:v>
                </c:pt>
                <c:pt idx="641">
                  <c:v>5.44490124678546</c:v>
                </c:pt>
                <c:pt idx="642">
                  <c:v>5.39730994471966</c:v>
                </c:pt>
                <c:pt idx="643">
                  <c:v>5.34963726739607</c:v>
                </c:pt>
                <c:pt idx="644">
                  <c:v>5.301894417919</c:v>
                </c:pt>
                <c:pt idx="645">
                  <c:v>5.25409234827867</c:v>
                </c:pt>
                <c:pt idx="646">
                  <c:v>5.20624176504771</c:v>
                </c:pt>
                <c:pt idx="647">
                  <c:v>5.15835313478525</c:v>
                </c:pt>
                <c:pt idx="648">
                  <c:v>5.1104366891692</c:v>
                </c:pt>
                <c:pt idx="649">
                  <c:v>5.06250242987665</c:v>
                </c:pt>
                <c:pt idx="650">
                  <c:v>5.0145601332301</c:v>
                </c:pt>
                <c:pt idx="651">
                  <c:v>4.96661935462679</c:v>
                </c:pt>
                <c:pt idx="652">
                  <c:v>4.91868943276646</c:v>
                </c:pt>
                <c:pt idx="653">
                  <c:v>4.87077949369261</c:v>
                </c:pt>
                <c:pt idx="654">
                  <c:v>4.82289845466037</c:v>
                </c:pt>
                <c:pt idx="655">
                  <c:v>4.77505502784414</c:v>
                </c:pt>
                <c:pt idx="656">
                  <c:v>4.72725772389637</c:v>
                </c:pt>
                <c:pt idx="657">
                  <c:v>4.67951485536871</c:v>
                </c:pt>
                <c:pt idx="658">
                  <c:v>4.63183454000561</c:v>
                </c:pt>
                <c:pt idx="659">
                  <c:v>4.58422470391982</c:v>
                </c:pt>
                <c:pt idx="660">
                  <c:v>4.53669308465868</c:v>
                </c:pt>
                <c:pt idx="661">
                  <c:v>4.4892472341693</c:v>
                </c:pt>
                <c:pt idx="662">
                  <c:v>4.44189452167034</c:v>
                </c:pt>
                <c:pt idx="663">
                  <c:v>4.39464213643729</c:v>
                </c:pt>
                <c:pt idx="664">
                  <c:v>4.34749709050794</c:v>
                </c:pt>
                <c:pt idx="665">
                  <c:v>4.30046622131407</c:v>
                </c:pt>
                <c:pt idx="666">
                  <c:v>4.25355619424492</c:v>
                </c:pt>
                <c:pt idx="667">
                  <c:v>4.20677350514779</c:v>
                </c:pt>
                <c:pt idx="668">
                  <c:v>4.16012448277051</c:v>
                </c:pt>
                <c:pt idx="669">
                  <c:v>4.11361529115019</c:v>
                </c:pt>
                <c:pt idx="670">
                  <c:v>4.06725193195263</c:v>
                </c:pt>
                <c:pt idx="671">
                  <c:v>4.02104024676581</c:v>
                </c:pt>
                <c:pt idx="672">
                  <c:v>3.97498591935139</c:v>
                </c:pt>
                <c:pt idx="673">
                  <c:v>3.92909447785721</c:v>
                </c:pt>
                <c:pt idx="674">
                  <c:v>3.88337129699379</c:v>
                </c:pt>
                <c:pt idx="675">
                  <c:v>3.8378216001777</c:v>
                </c:pt>
                <c:pt idx="676">
                  <c:v>3.79245046164425</c:v>
                </c:pt>
                <c:pt idx="677">
                  <c:v>3.74726280853172</c:v>
                </c:pt>
                <c:pt idx="678">
                  <c:v>3.70226342293949</c:v>
                </c:pt>
                <c:pt idx="679">
                  <c:v>3.65745694396169</c:v>
                </c:pt>
                <c:pt idx="680">
                  <c:v>3.61284786969841</c:v>
                </c:pt>
                <c:pt idx="681">
                  <c:v>3.56844055924587</c:v>
                </c:pt>
                <c:pt idx="682">
                  <c:v>3.52423923466714</c:v>
                </c:pt>
                <c:pt idx="683">
                  <c:v>3.48024798294467</c:v>
                </c:pt>
                <c:pt idx="684">
                  <c:v>3.43647075791579</c:v>
                </c:pt>
                <c:pt idx="685">
                  <c:v>3.39291138219228</c:v>
                </c:pt>
                <c:pt idx="686">
                  <c:v>3.349573549065</c:v>
                </c:pt>
                <c:pt idx="687">
                  <c:v>3.30646082439438</c:v>
                </c:pt>
                <c:pt idx="688">
                  <c:v>3.26357664848749</c:v>
                </c:pt>
                <c:pt idx="689">
                  <c:v>3.22092433796251</c:v>
                </c:pt>
                <c:pt idx="690">
                  <c:v>3.17850708760093</c:v>
                </c:pt>
                <c:pt idx="691">
                  <c:v>3.13632797218833</c:v>
                </c:pt>
                <c:pt idx="692">
                  <c:v>3.09438994834376</c:v>
                </c:pt>
                <c:pt idx="693">
                  <c:v>3.05269585633852</c:v>
                </c:pt>
                <c:pt idx="694">
                  <c:v>3.01124842190428</c:v>
                </c:pt>
                <c:pt idx="695">
                  <c:v>2.97005025803103</c:v>
                </c:pt>
                <c:pt idx="696">
                  <c:v>2.92910386675497</c:v>
                </c:pt>
                <c:pt idx="697">
                  <c:v>2.8884116409365</c:v>
                </c:pt>
                <c:pt idx="698">
                  <c:v>2.84797586602843</c:v>
                </c:pt>
                <c:pt idx="699">
                  <c:v>2.80779872183445</c:v>
                </c:pt>
                <c:pt idx="700">
                  <c:v>2.76788228425802</c:v>
                </c:pt>
                <c:pt idx="701">
                  <c:v>2.72822852704145</c:v>
                </c:pt>
                <c:pt idx="702">
                  <c:v>2.68883932349539</c:v>
                </c:pt>
                <c:pt idx="703">
                  <c:v>2.64971644821853</c:v>
                </c:pt>
                <c:pt idx="704">
                  <c:v>2.61086157880742</c:v>
                </c:pt>
                <c:pt idx="705">
                  <c:v>2.57227629755645</c:v>
                </c:pt>
                <c:pt idx="706">
                  <c:v>2.53396209314771</c:v>
                </c:pt>
                <c:pt idx="707">
                  <c:v>2.49592036233064</c:v>
                </c:pt>
                <c:pt idx="708">
                  <c:v>2.45815241159143</c:v>
                </c:pt>
                <c:pt idx="709">
                  <c:v>2.42065945881182</c:v>
                </c:pt>
                <c:pt idx="710">
                  <c:v>2.38344263491729</c:v>
                </c:pt>
                <c:pt idx="711">
                  <c:v>2.34650298551433</c:v>
                </c:pt>
                <c:pt idx="712">
                  <c:v>2.30984147251665</c:v>
                </c:pt>
                <c:pt idx="713">
                  <c:v>2.27345897576021</c:v>
                </c:pt>
                <c:pt idx="714">
                  <c:v>2.23735629460665</c:v>
                </c:pt>
                <c:pt idx="715">
                  <c:v>2.20153414953516</c:v>
                </c:pt>
                <c:pt idx="716">
                  <c:v>2.16599318372241</c:v>
                </c:pt>
                <c:pt idx="717">
                  <c:v>2.13073396461037</c:v>
                </c:pt>
                <c:pt idx="718">
                  <c:v>2.09575698546182</c:v>
                </c:pt>
                <c:pt idx="719">
                  <c:v>2.06106266690341</c:v>
                </c:pt>
                <c:pt idx="720">
                  <c:v>2.0266513584558</c:v>
                </c:pt>
                <c:pt idx="721">
                  <c:v>1.99252334005102</c:v>
                </c:pt>
                <c:pt idx="722">
                  <c:v>1.95867882353659</c:v>
                </c:pt>
                <c:pt idx="723">
                  <c:v>1.92511795416628</c:v>
                </c:pt>
                <c:pt idx="724">
                  <c:v>1.89184081207729</c:v>
                </c:pt>
                <c:pt idx="725">
                  <c:v>1.89180788963589</c:v>
                </c:pt>
                <c:pt idx="726">
                  <c:v>1.89177496747507</c:v>
                </c:pt>
                <c:pt idx="727">
                  <c:v>1.89174204559483</c:v>
                </c:pt>
                <c:pt idx="728">
                  <c:v>1.89170912399517</c:v>
                </c:pt>
                <c:pt idx="729">
                  <c:v>1.89167620267609</c:v>
                </c:pt>
                <c:pt idx="730">
                  <c:v>1.89164328163759</c:v>
                </c:pt>
                <c:pt idx="731">
                  <c:v>1.89161036087966</c:v>
                </c:pt>
                <c:pt idx="732">
                  <c:v>1.89157744040232</c:v>
                </c:pt>
                <c:pt idx="733">
                  <c:v>1.89154452020556</c:v>
                </c:pt>
                <c:pt idx="734">
                  <c:v>1.89151160028937</c:v>
                </c:pt>
                <c:pt idx="735">
                  <c:v>1.89147868065377</c:v>
                </c:pt>
                <c:pt idx="736">
                  <c:v>1.89144576129875</c:v>
                </c:pt>
                <c:pt idx="737">
                  <c:v>1.8914128422243</c:v>
                </c:pt>
                <c:pt idx="738">
                  <c:v>1.89137992343043</c:v>
                </c:pt>
                <c:pt idx="739">
                  <c:v>1.89134700491714</c:v>
                </c:pt>
                <c:pt idx="740">
                  <c:v>1.89131408668443</c:v>
                </c:pt>
                <c:pt idx="741">
                  <c:v>1.89128116873231</c:v>
                </c:pt>
                <c:pt idx="742">
                  <c:v>1.89124825106075</c:v>
                </c:pt>
                <c:pt idx="743">
                  <c:v>1.89121533366978</c:v>
                </c:pt>
                <c:pt idx="744">
                  <c:v>1.89118241655939</c:v>
                </c:pt>
                <c:pt idx="745">
                  <c:v>1.89114949972958</c:v>
                </c:pt>
                <c:pt idx="746">
                  <c:v>1.89111658318035</c:v>
                </c:pt>
                <c:pt idx="747">
                  <c:v>1.89108366691169</c:v>
                </c:pt>
                <c:pt idx="748">
                  <c:v>1.89105075092362</c:v>
                </c:pt>
                <c:pt idx="749">
                  <c:v>1.89101783521612</c:v>
                </c:pt>
                <c:pt idx="750">
                  <c:v>1.8909849197892</c:v>
                </c:pt>
                <c:pt idx="751">
                  <c:v>1.89095200464286</c:v>
                </c:pt>
                <c:pt idx="752">
                  <c:v>1.8909190897771</c:v>
                </c:pt>
                <c:pt idx="753">
                  <c:v>1.89088617519191</c:v>
                </c:pt>
                <c:pt idx="754">
                  <c:v>1.89085326088731</c:v>
                </c:pt>
                <c:pt idx="755">
                  <c:v>1.89082034686329</c:v>
                </c:pt>
                <c:pt idx="756">
                  <c:v>1.89078743311985</c:v>
                </c:pt>
                <c:pt idx="757">
                  <c:v>1.89075451965698</c:v>
                </c:pt>
                <c:pt idx="758">
                  <c:v>1.89072160647469</c:v>
                </c:pt>
                <c:pt idx="759">
                  <c:v>1.89068869357298</c:v>
                </c:pt>
                <c:pt idx="760">
                  <c:v>1.89065578095185</c:v>
                </c:pt>
                <c:pt idx="761">
                  <c:v>1.89062286861129</c:v>
                </c:pt>
                <c:pt idx="762">
                  <c:v>1.89058995655132</c:v>
                </c:pt>
                <c:pt idx="763">
                  <c:v>1.89055704477192</c:v>
                </c:pt>
                <c:pt idx="764">
                  <c:v>1.89052413327311</c:v>
                </c:pt>
                <c:pt idx="765">
                  <c:v>1.89049122205487</c:v>
                </c:pt>
                <c:pt idx="766">
                  <c:v>1.89045831111721</c:v>
                </c:pt>
                <c:pt idx="767">
                  <c:v>1.89042540046012</c:v>
                </c:pt>
                <c:pt idx="768">
                  <c:v>1.89039249008362</c:v>
                </c:pt>
                <c:pt idx="769">
                  <c:v>1.89035957998769</c:v>
                </c:pt>
                <c:pt idx="770">
                  <c:v>1.89032667017235</c:v>
                </c:pt>
                <c:pt idx="771">
                  <c:v>1.89029376063758</c:v>
                </c:pt>
                <c:pt idx="772">
                  <c:v>1.89026085138339</c:v>
                </c:pt>
                <c:pt idx="773">
                  <c:v>1.89022794240978</c:v>
                </c:pt>
                <c:pt idx="774">
                  <c:v>1.89019503371674</c:v>
                </c:pt>
                <c:pt idx="775">
                  <c:v>1.89016212530428</c:v>
                </c:pt>
                <c:pt idx="776">
                  <c:v>1.89012921717241</c:v>
                </c:pt>
                <c:pt idx="777">
                  <c:v>1.89009630932111</c:v>
                </c:pt>
                <c:pt idx="778">
                  <c:v>1.89006340175039</c:v>
                </c:pt>
                <c:pt idx="779">
                  <c:v>1.89003049446024</c:v>
                </c:pt>
                <c:pt idx="780">
                  <c:v>1.88999758745068</c:v>
                </c:pt>
                <c:pt idx="781">
                  <c:v>1.88996468072169</c:v>
                </c:pt>
                <c:pt idx="782">
                  <c:v>1.88993177427328</c:v>
                </c:pt>
                <c:pt idx="783">
                  <c:v>1.88989886810544</c:v>
                </c:pt>
                <c:pt idx="784">
                  <c:v>1.88986596221819</c:v>
                </c:pt>
                <c:pt idx="785">
                  <c:v>1.88983305661151</c:v>
                </c:pt>
                <c:pt idx="786">
                  <c:v>1.88980015128542</c:v>
                </c:pt>
                <c:pt idx="787">
                  <c:v>1.8897672462399</c:v>
                </c:pt>
                <c:pt idx="788">
                  <c:v>1.88973434147495</c:v>
                </c:pt>
                <c:pt idx="789">
                  <c:v>1.88970143699058</c:v>
                </c:pt>
                <c:pt idx="790">
                  <c:v>1.8896685327868</c:v>
                </c:pt>
                <c:pt idx="791">
                  <c:v>1.88963562886359</c:v>
                </c:pt>
                <c:pt idx="792">
                  <c:v>1.88960272522095</c:v>
                </c:pt>
                <c:pt idx="793">
                  <c:v>1.8895698218589</c:v>
                </c:pt>
                <c:pt idx="794">
                  <c:v>1.88953691877742</c:v>
                </c:pt>
                <c:pt idx="795">
                  <c:v>1.88950401597652</c:v>
                </c:pt>
                <c:pt idx="796">
                  <c:v>1.88947111345619</c:v>
                </c:pt>
                <c:pt idx="797">
                  <c:v>1.88943821121645</c:v>
                </c:pt>
                <c:pt idx="798">
                  <c:v>1.88940530925728</c:v>
                </c:pt>
                <c:pt idx="799">
                  <c:v>1.88937240757869</c:v>
                </c:pt>
                <c:pt idx="800">
                  <c:v>1.88933950618068</c:v>
                </c:pt>
                <c:pt idx="801">
                  <c:v>1.88930660506324</c:v>
                </c:pt>
                <c:pt idx="802">
                  <c:v>1.88927370422639</c:v>
                </c:pt>
                <c:pt idx="803">
                  <c:v>1.88924080367011</c:v>
                </c:pt>
                <c:pt idx="804">
                  <c:v>1.8892079033944</c:v>
                </c:pt>
                <c:pt idx="805">
                  <c:v>1.88917500339928</c:v>
                </c:pt>
                <c:pt idx="806">
                  <c:v>1.88914210368473</c:v>
                </c:pt>
                <c:pt idx="807">
                  <c:v>1.88910920425075</c:v>
                </c:pt>
                <c:pt idx="808">
                  <c:v>1.88907630509736</c:v>
                </c:pt>
                <c:pt idx="809">
                  <c:v>1.88904340622454</c:v>
                </c:pt>
                <c:pt idx="810">
                  <c:v>1.8890105076323</c:v>
                </c:pt>
                <c:pt idx="811">
                  <c:v>1.88897760932064</c:v>
                </c:pt>
                <c:pt idx="812">
                  <c:v>1.88894471128955</c:v>
                </c:pt>
                <c:pt idx="813">
                  <c:v>1.88891181353904</c:v>
                </c:pt>
                <c:pt idx="814">
                  <c:v>1.8888789160691</c:v>
                </c:pt>
                <c:pt idx="815">
                  <c:v>1.88884601887975</c:v>
                </c:pt>
                <c:pt idx="816">
                  <c:v>1.88881312197097</c:v>
                </c:pt>
                <c:pt idx="817">
                  <c:v>1.88878022534276</c:v>
                </c:pt>
                <c:pt idx="818">
                  <c:v>1.88874732899514</c:v>
                </c:pt>
                <c:pt idx="819">
                  <c:v>1.88871443292809</c:v>
                </c:pt>
                <c:pt idx="820">
                  <c:v>1.88868153714162</c:v>
                </c:pt>
                <c:pt idx="821">
                  <c:v>1.88864864163572</c:v>
                </c:pt>
                <c:pt idx="822">
                  <c:v>1.8886157464104</c:v>
                </c:pt>
                <c:pt idx="823">
                  <c:v>1.88858285146566</c:v>
                </c:pt>
                <c:pt idx="824">
                  <c:v>1.88854995680149</c:v>
                </c:pt>
                <c:pt idx="825">
                  <c:v>1.8885170624179</c:v>
                </c:pt>
                <c:pt idx="826">
                  <c:v>1.88848416831489</c:v>
                </c:pt>
                <c:pt idx="827">
                  <c:v>1.88845127449246</c:v>
                </c:pt>
                <c:pt idx="828">
                  <c:v>1.8884183809506</c:v>
                </c:pt>
                <c:pt idx="829">
                  <c:v>1.88838548768931</c:v>
                </c:pt>
                <c:pt idx="830">
                  <c:v>1.88835259470861</c:v>
                </c:pt>
                <c:pt idx="831">
                  <c:v>1.88831970200847</c:v>
                </c:pt>
                <c:pt idx="832">
                  <c:v>1.88828680958892</c:v>
                </c:pt>
                <c:pt idx="833">
                  <c:v>1.88825391744994</c:v>
                </c:pt>
                <c:pt idx="834">
                  <c:v>1.88822102559154</c:v>
                </c:pt>
                <c:pt idx="835">
                  <c:v>1.88818813401371</c:v>
                </c:pt>
                <c:pt idx="836">
                  <c:v>1.88815524271646</c:v>
                </c:pt>
                <c:pt idx="837">
                  <c:v>1.88812235169979</c:v>
                </c:pt>
                <c:pt idx="838">
                  <c:v>1.88808946096369</c:v>
                </c:pt>
                <c:pt idx="839">
                  <c:v>1.88805657050817</c:v>
                </c:pt>
                <c:pt idx="840">
                  <c:v>1.88802368033322</c:v>
                </c:pt>
                <c:pt idx="841">
                  <c:v>1.88799079043885</c:v>
                </c:pt>
                <c:pt idx="842">
                  <c:v>1.88795790082506</c:v>
                </c:pt>
                <c:pt idx="843">
                  <c:v>1.88792501149184</c:v>
                </c:pt>
                <c:pt idx="844">
                  <c:v>1.8878921224392</c:v>
                </c:pt>
                <c:pt idx="845">
                  <c:v>1.88785923366713</c:v>
                </c:pt>
                <c:pt idx="846">
                  <c:v>1.88782634517564</c:v>
                </c:pt>
                <c:pt idx="847">
                  <c:v>1.88779345696473</c:v>
                </c:pt>
                <c:pt idx="848">
                  <c:v>1.88776056903439</c:v>
                </c:pt>
                <c:pt idx="849">
                  <c:v>1.88772768138463</c:v>
                </c:pt>
                <c:pt idx="850">
                  <c:v>1.88769479401544</c:v>
                </c:pt>
                <c:pt idx="851">
                  <c:v>1.88766190692682</c:v>
                </c:pt>
                <c:pt idx="852">
                  <c:v>1.88762902011879</c:v>
                </c:pt>
                <c:pt idx="853">
                  <c:v>1.88759613359133</c:v>
                </c:pt>
                <c:pt idx="854">
                  <c:v>1.88756324734444</c:v>
                </c:pt>
                <c:pt idx="855">
                  <c:v>1.88753036137813</c:v>
                </c:pt>
                <c:pt idx="856">
                  <c:v>1.8874974756924</c:v>
                </c:pt>
                <c:pt idx="857">
                  <c:v>1.88746459028725</c:v>
                </c:pt>
                <c:pt idx="858">
                  <c:v>1.88743170516266</c:v>
                </c:pt>
                <c:pt idx="859">
                  <c:v>1.88739882031866</c:v>
                </c:pt>
                <c:pt idx="860">
                  <c:v>1.88736593575522</c:v>
                </c:pt>
                <c:pt idx="861">
                  <c:v>1.88733305147236</c:v>
                </c:pt>
                <c:pt idx="862">
                  <c:v>1.88730016747008</c:v>
                </c:pt>
                <c:pt idx="863">
                  <c:v>1.88726728374838</c:v>
                </c:pt>
                <c:pt idx="864">
                  <c:v>1.88723440030724</c:v>
                </c:pt>
                <c:pt idx="865">
                  <c:v>1.88720151714669</c:v>
                </c:pt>
                <c:pt idx="866">
                  <c:v>1.88716863426671</c:v>
                </c:pt>
                <c:pt idx="867">
                  <c:v>1.8871357516673</c:v>
                </c:pt>
                <c:pt idx="868">
                  <c:v>1.88710286934847</c:v>
                </c:pt>
                <c:pt idx="869">
                  <c:v>1.88706998731021</c:v>
                </c:pt>
                <c:pt idx="870">
                  <c:v>1.88703710555254</c:v>
                </c:pt>
                <c:pt idx="871">
                  <c:v>1.88700422407543</c:v>
                </c:pt>
                <c:pt idx="872">
                  <c:v>1.8869713428789</c:v>
                </c:pt>
                <c:pt idx="873">
                  <c:v>1.88693846196294</c:v>
                </c:pt>
                <c:pt idx="874">
                  <c:v>1.88690558132756</c:v>
                </c:pt>
                <c:pt idx="875">
                  <c:v>1.88687270097275</c:v>
                </c:pt>
                <c:pt idx="876">
                  <c:v>1.88683982089852</c:v>
                </c:pt>
                <c:pt idx="877">
                  <c:v>1.88680694110486</c:v>
                </c:pt>
                <c:pt idx="878">
                  <c:v>1.88677406159178</c:v>
                </c:pt>
                <c:pt idx="879">
                  <c:v>1.88674118235927</c:v>
                </c:pt>
                <c:pt idx="880">
                  <c:v>1.88670830340734</c:v>
                </c:pt>
                <c:pt idx="881">
                  <c:v>1.88667542473598</c:v>
                </c:pt>
                <c:pt idx="882">
                  <c:v>1.8866425463452</c:v>
                </c:pt>
                <c:pt idx="883">
                  <c:v>1.88660966823499</c:v>
                </c:pt>
                <c:pt idx="884">
                  <c:v>1.88657679040536</c:v>
                </c:pt>
                <c:pt idx="885">
                  <c:v>1.88654391285629</c:v>
                </c:pt>
                <c:pt idx="886">
                  <c:v>1.88651103558781</c:v>
                </c:pt>
                <c:pt idx="887">
                  <c:v>1.88647815859989</c:v>
                </c:pt>
                <c:pt idx="888">
                  <c:v>1.88644528189256</c:v>
                </c:pt>
                <c:pt idx="889">
                  <c:v>1.88641240546579</c:v>
                </c:pt>
                <c:pt idx="890">
                  <c:v>1.88637952931961</c:v>
                </c:pt>
                <c:pt idx="891">
                  <c:v>1.88634665345399</c:v>
                </c:pt>
                <c:pt idx="892">
                  <c:v>1.88631377786895</c:v>
                </c:pt>
                <c:pt idx="893">
                  <c:v>1.88628090256448</c:v>
                </c:pt>
                <c:pt idx="894">
                  <c:v>1.88624802754059</c:v>
                </c:pt>
                <c:pt idx="895">
                  <c:v>1.88621515279727</c:v>
                </c:pt>
                <c:pt idx="896">
                  <c:v>1.88618227833453</c:v>
                </c:pt>
                <c:pt idx="897">
                  <c:v>1.88614940415235</c:v>
                </c:pt>
                <c:pt idx="898">
                  <c:v>1.88611653025076</c:v>
                </c:pt>
                <c:pt idx="899">
                  <c:v>1.88608365662973</c:v>
                </c:pt>
                <c:pt idx="900">
                  <c:v>1.88605078328928</c:v>
                </c:pt>
                <c:pt idx="901">
                  <c:v>1.88601791022941</c:v>
                </c:pt>
                <c:pt idx="902">
                  <c:v>1.88598503745011</c:v>
                </c:pt>
                <c:pt idx="903">
                  <c:v>1.88595216495138</c:v>
                </c:pt>
                <c:pt idx="904">
                  <c:v>1.88591929273323</c:v>
                </c:pt>
                <c:pt idx="905">
                  <c:v>1.88588642079565</c:v>
                </c:pt>
                <c:pt idx="906">
                  <c:v>1.88585354913864</c:v>
                </c:pt>
                <c:pt idx="907">
                  <c:v>1.88582067776221</c:v>
                </c:pt>
                <c:pt idx="908">
                  <c:v>1.88578780666635</c:v>
                </c:pt>
                <c:pt idx="909">
                  <c:v>1.88575493585106</c:v>
                </c:pt>
                <c:pt idx="910">
                  <c:v>1.88572206531635</c:v>
                </c:pt>
                <c:pt idx="911">
                  <c:v>1.88568919506221</c:v>
                </c:pt>
                <c:pt idx="912">
                  <c:v>1.88565632508864</c:v>
                </c:pt>
                <c:pt idx="913">
                  <c:v>1.88562345539565</c:v>
                </c:pt>
                <c:pt idx="914">
                  <c:v>1.88559058598323</c:v>
                </c:pt>
                <c:pt idx="915">
                  <c:v>1.88555771685139</c:v>
                </c:pt>
                <c:pt idx="916">
                  <c:v>1.88552484800012</c:v>
                </c:pt>
                <c:pt idx="917">
                  <c:v>1.88549197942942</c:v>
                </c:pt>
                <c:pt idx="918">
                  <c:v>1.88545911113929</c:v>
                </c:pt>
                <c:pt idx="919">
                  <c:v>1.88542624312974</c:v>
                </c:pt>
                <c:pt idx="920">
                  <c:v>1.88539337540076</c:v>
                </c:pt>
                <c:pt idx="921">
                  <c:v>1.88536050795236</c:v>
                </c:pt>
                <c:pt idx="922">
                  <c:v>1.88532764078452</c:v>
                </c:pt>
                <c:pt idx="923">
                  <c:v>1.88529477389726</c:v>
                </c:pt>
                <c:pt idx="924">
                  <c:v>1.88526190729057</c:v>
                </c:pt>
                <c:pt idx="925">
                  <c:v>1.88522904096446</c:v>
                </c:pt>
                <c:pt idx="926">
                  <c:v>1.88519617491892</c:v>
                </c:pt>
                <c:pt idx="927">
                  <c:v>1.88516330915395</c:v>
                </c:pt>
                <c:pt idx="928">
                  <c:v>1.88513044366955</c:v>
                </c:pt>
                <c:pt idx="929">
                  <c:v>1.88509757846573</c:v>
                </c:pt>
                <c:pt idx="930">
                  <c:v>1.88506471354248</c:v>
                </c:pt>
                <c:pt idx="931">
                  <c:v>1.8850318488998</c:v>
                </c:pt>
                <c:pt idx="932">
                  <c:v>1.88499898453769</c:v>
                </c:pt>
                <c:pt idx="933">
                  <c:v>1.88496612045615</c:v>
                </c:pt>
                <c:pt idx="934">
                  <c:v>1.8849332566552</c:v>
                </c:pt>
                <c:pt idx="935">
                  <c:v>1.88490039313481</c:v>
                </c:pt>
                <c:pt idx="936">
                  <c:v>1.88486752989499</c:v>
                </c:pt>
                <c:pt idx="937">
                  <c:v>1.88483466693575</c:v>
                </c:pt>
                <c:pt idx="938">
                  <c:v>1.88480180425708</c:v>
                </c:pt>
                <c:pt idx="939">
                  <c:v>1.88476894185898</c:v>
                </c:pt>
                <c:pt idx="940">
                  <c:v>1.88473607974146</c:v>
                </c:pt>
                <c:pt idx="941">
                  <c:v>1.8847032179045</c:v>
                </c:pt>
                <c:pt idx="942">
                  <c:v>1.88467035634812</c:v>
                </c:pt>
                <c:pt idx="943">
                  <c:v>1.88463749507231</c:v>
                </c:pt>
                <c:pt idx="944">
                  <c:v>1.88460463407707</c:v>
                </c:pt>
                <c:pt idx="945">
                  <c:v>1.88457177336241</c:v>
                </c:pt>
                <c:pt idx="946">
                  <c:v>1.88453891292831</c:v>
                </c:pt>
                <c:pt idx="947">
                  <c:v>1.88450605277479</c:v>
                </c:pt>
                <c:pt idx="948">
                  <c:v>1.88447319290184</c:v>
                </c:pt>
                <c:pt idx="949">
                  <c:v>1.88444033330946</c:v>
                </c:pt>
                <c:pt idx="950">
                  <c:v>1.88440747399766</c:v>
                </c:pt>
                <c:pt idx="951">
                  <c:v>1.88437461496643</c:v>
                </c:pt>
                <c:pt idx="952">
                  <c:v>1.88434175621576</c:v>
                </c:pt>
                <c:pt idx="953">
                  <c:v>1.88430889774567</c:v>
                </c:pt>
                <c:pt idx="954">
                  <c:v>1.88427603955615</c:v>
                </c:pt>
                <c:pt idx="955">
                  <c:v>1.88424318164721</c:v>
                </c:pt>
                <c:pt idx="956">
                  <c:v>1.88421032401884</c:v>
                </c:pt>
                <c:pt idx="957">
                  <c:v>1.88417746667103</c:v>
                </c:pt>
                <c:pt idx="958">
                  <c:v>1.8841446096038</c:v>
                </c:pt>
                <c:pt idx="959">
                  <c:v>1.88411175281714</c:v>
                </c:pt>
                <c:pt idx="960">
                  <c:v>1.88407889631105</c:v>
                </c:pt>
                <c:pt idx="961">
                  <c:v>1.88404604008553</c:v>
                </c:pt>
                <c:pt idx="962">
                  <c:v>1.88401318414059</c:v>
                </c:pt>
                <c:pt idx="963">
                  <c:v>1.88398032847621</c:v>
                </c:pt>
                <c:pt idx="964">
                  <c:v>1.88394747309241</c:v>
                </c:pt>
                <c:pt idx="965">
                  <c:v>1.88391461798918</c:v>
                </c:pt>
                <c:pt idx="966">
                  <c:v>1.88388176316652</c:v>
                </c:pt>
                <c:pt idx="967">
                  <c:v>1.88384890862443</c:v>
                </c:pt>
                <c:pt idx="968">
                  <c:v>1.88381605436291</c:v>
                </c:pt>
                <c:pt idx="969">
                  <c:v>1.88378320038197</c:v>
                </c:pt>
                <c:pt idx="970">
                  <c:v>1.88375034668159</c:v>
                </c:pt>
                <c:pt idx="971">
                  <c:v>1.88371749326178</c:v>
                </c:pt>
                <c:pt idx="972">
                  <c:v>1.88368464012255</c:v>
                </c:pt>
                <c:pt idx="973">
                  <c:v>1.88365178726389</c:v>
                </c:pt>
                <c:pt idx="974">
                  <c:v>1.88361893468579</c:v>
                </c:pt>
                <c:pt idx="975">
                  <c:v>1.88358608238827</c:v>
                </c:pt>
                <c:pt idx="976">
                  <c:v>1.88355323037133</c:v>
                </c:pt>
                <c:pt idx="977">
                  <c:v>1.88352037863494</c:v>
                </c:pt>
                <c:pt idx="978">
                  <c:v>1.88348752717913</c:v>
                </c:pt>
                <c:pt idx="979">
                  <c:v>1.8834546760039</c:v>
                </c:pt>
                <c:pt idx="980">
                  <c:v>1.88342182510923</c:v>
                </c:pt>
                <c:pt idx="981">
                  <c:v>1.88338897449513</c:v>
                </c:pt>
                <c:pt idx="982">
                  <c:v>1.8833561241616</c:v>
                </c:pt>
                <c:pt idx="983">
                  <c:v>1.88332327410865</c:v>
                </c:pt>
                <c:pt idx="984">
                  <c:v>1.88329042433626</c:v>
                </c:pt>
                <c:pt idx="985">
                  <c:v>1.88325757484445</c:v>
                </c:pt>
                <c:pt idx="986">
                  <c:v>1.8832247256332</c:v>
                </c:pt>
                <c:pt idx="987">
                  <c:v>1.88319187670252</c:v>
                </c:pt>
                <c:pt idx="988">
                  <c:v>1.88315902805242</c:v>
                </c:pt>
                <c:pt idx="989">
                  <c:v>1.88312617968288</c:v>
                </c:pt>
                <c:pt idx="990">
                  <c:v>1.88309333159392</c:v>
                </c:pt>
                <c:pt idx="991">
                  <c:v>1.88306048378553</c:v>
                </c:pt>
                <c:pt idx="992">
                  <c:v>1.88302763625771</c:v>
                </c:pt>
                <c:pt idx="993">
                  <c:v>1.88299478901045</c:v>
                </c:pt>
                <c:pt idx="994">
                  <c:v>1.88296194204377</c:v>
                </c:pt>
                <c:pt idx="995">
                  <c:v>1.88292909535765</c:v>
                </c:pt>
                <c:pt idx="996">
                  <c:v>1.88289624895211</c:v>
                </c:pt>
                <c:pt idx="997">
                  <c:v>1.88286340282713</c:v>
                </c:pt>
                <c:pt idx="998">
                  <c:v>1.88283055698273</c:v>
                </c:pt>
                <c:pt idx="999">
                  <c:v>1.8827977114189</c:v>
                </c:pt>
                <c:pt idx="1000">
                  <c:v>1.88276486613563</c:v>
                </c:pt>
              </c:numCache>
            </c:numRef>
          </c:yVal>
          <c:smooth val="0"/>
        </c:ser>
        <c:ser>
          <c:idx val="1"/>
          <c:order val="1"/>
          <c:tx>
            <c:strRef>
              <c:f>Courbes!$B$138</c:f>
              <c:strCache>
                <c:ptCount val="1"/>
                <c:pt idx="0">
                  <c:v>Charge vue par un capteur</c:v>
                </c:pt>
              </c:strCache>
            </c:strRef>
          </c:tx>
          <c:spPr>
            <a:solidFill>
              <a:srgbClr val="008000"/>
            </a:solidFill>
            <a:ln w="25560">
              <a:solidFill>
                <a:srgbClr val="008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34.8000000000002</c:v>
                </c:pt>
                <c:pt idx="709">
                  <c:v>34.9000000000002</c:v>
                </c:pt>
                <c:pt idx="710">
                  <c:v>35.0000000000002</c:v>
                </c:pt>
                <c:pt idx="711">
                  <c:v>35.1000000000002</c:v>
                </c:pt>
                <c:pt idx="712">
                  <c:v>35.2000000000002</c:v>
                </c:pt>
                <c:pt idx="713">
                  <c:v>35.3000000000002</c:v>
                </c:pt>
                <c:pt idx="714">
                  <c:v>35.4000000000002</c:v>
                </c:pt>
                <c:pt idx="715">
                  <c:v>35.5000000000002</c:v>
                </c:pt>
                <c:pt idx="716">
                  <c:v>35.6000000000002</c:v>
                </c:pt>
                <c:pt idx="717">
                  <c:v>35.7000000000002</c:v>
                </c:pt>
                <c:pt idx="718">
                  <c:v>35.8000000000002</c:v>
                </c:pt>
                <c:pt idx="719">
                  <c:v>35.9000000000002</c:v>
                </c:pt>
                <c:pt idx="720">
                  <c:v>36.0000000000002</c:v>
                </c:pt>
                <c:pt idx="721">
                  <c:v>36.1000000000002</c:v>
                </c:pt>
                <c:pt idx="722">
                  <c:v>36.2000000000002</c:v>
                </c:pt>
                <c:pt idx="723">
                  <c:v>36.3000000000002</c:v>
                </c:pt>
                <c:pt idx="724">
                  <c:v>36.3001000000002</c:v>
                </c:pt>
                <c:pt idx="725">
                  <c:v>36.3002000000002</c:v>
                </c:pt>
                <c:pt idx="726">
                  <c:v>36.3003000000002</c:v>
                </c:pt>
                <c:pt idx="727">
                  <c:v>36.3004000000002</c:v>
                </c:pt>
                <c:pt idx="728">
                  <c:v>36.3005000000002</c:v>
                </c:pt>
                <c:pt idx="729">
                  <c:v>36.3006000000002</c:v>
                </c:pt>
                <c:pt idx="730">
                  <c:v>36.3007000000002</c:v>
                </c:pt>
                <c:pt idx="731">
                  <c:v>36.3008000000002</c:v>
                </c:pt>
                <c:pt idx="732">
                  <c:v>36.3009000000002</c:v>
                </c:pt>
                <c:pt idx="733">
                  <c:v>36.3010000000002</c:v>
                </c:pt>
                <c:pt idx="734">
                  <c:v>36.3011000000002</c:v>
                </c:pt>
                <c:pt idx="735">
                  <c:v>36.3012000000002</c:v>
                </c:pt>
                <c:pt idx="736">
                  <c:v>36.3013000000002</c:v>
                </c:pt>
                <c:pt idx="737">
                  <c:v>36.3014000000003</c:v>
                </c:pt>
                <c:pt idx="738">
                  <c:v>36.3015000000003</c:v>
                </c:pt>
                <c:pt idx="739">
                  <c:v>36.3016000000003</c:v>
                </c:pt>
                <c:pt idx="740">
                  <c:v>36.3017000000003</c:v>
                </c:pt>
                <c:pt idx="741">
                  <c:v>36.3018000000003</c:v>
                </c:pt>
                <c:pt idx="742">
                  <c:v>36.3019000000003</c:v>
                </c:pt>
                <c:pt idx="743">
                  <c:v>36.3020000000003</c:v>
                </c:pt>
                <c:pt idx="744">
                  <c:v>36.3021000000003</c:v>
                </c:pt>
                <c:pt idx="745">
                  <c:v>36.3022000000003</c:v>
                </c:pt>
                <c:pt idx="746">
                  <c:v>36.3023000000003</c:v>
                </c:pt>
                <c:pt idx="747">
                  <c:v>36.3024000000003</c:v>
                </c:pt>
                <c:pt idx="748">
                  <c:v>36.3025000000003</c:v>
                </c:pt>
                <c:pt idx="749">
                  <c:v>36.3026000000003</c:v>
                </c:pt>
                <c:pt idx="750">
                  <c:v>36.3027000000003</c:v>
                </c:pt>
                <c:pt idx="751">
                  <c:v>36.3028000000003</c:v>
                </c:pt>
                <c:pt idx="752">
                  <c:v>36.3029000000003</c:v>
                </c:pt>
                <c:pt idx="753">
                  <c:v>36.3030000000003</c:v>
                </c:pt>
                <c:pt idx="754">
                  <c:v>36.3031000000003</c:v>
                </c:pt>
                <c:pt idx="755">
                  <c:v>36.3032000000003</c:v>
                </c:pt>
                <c:pt idx="756">
                  <c:v>36.3033000000003</c:v>
                </c:pt>
                <c:pt idx="757">
                  <c:v>36.3034000000003</c:v>
                </c:pt>
                <c:pt idx="758">
                  <c:v>36.3035000000003</c:v>
                </c:pt>
                <c:pt idx="759">
                  <c:v>36.3036000000003</c:v>
                </c:pt>
                <c:pt idx="760">
                  <c:v>36.3037000000003</c:v>
                </c:pt>
                <c:pt idx="761">
                  <c:v>36.3038000000003</c:v>
                </c:pt>
                <c:pt idx="762">
                  <c:v>36.3039000000003</c:v>
                </c:pt>
                <c:pt idx="763">
                  <c:v>36.3040000000003</c:v>
                </c:pt>
                <c:pt idx="764">
                  <c:v>36.3041000000003</c:v>
                </c:pt>
                <c:pt idx="765">
                  <c:v>36.3042000000003</c:v>
                </c:pt>
                <c:pt idx="766">
                  <c:v>36.3043000000003</c:v>
                </c:pt>
                <c:pt idx="767">
                  <c:v>36.3044000000004</c:v>
                </c:pt>
                <c:pt idx="768">
                  <c:v>36.3045000000004</c:v>
                </c:pt>
                <c:pt idx="769">
                  <c:v>36.3046000000004</c:v>
                </c:pt>
                <c:pt idx="770">
                  <c:v>36.3047000000004</c:v>
                </c:pt>
                <c:pt idx="771">
                  <c:v>36.3048000000004</c:v>
                </c:pt>
                <c:pt idx="772">
                  <c:v>36.3049000000004</c:v>
                </c:pt>
                <c:pt idx="773">
                  <c:v>36.3050000000004</c:v>
                </c:pt>
                <c:pt idx="774">
                  <c:v>36.3051000000004</c:v>
                </c:pt>
                <c:pt idx="775">
                  <c:v>36.3052000000004</c:v>
                </c:pt>
                <c:pt idx="776">
                  <c:v>36.3053000000004</c:v>
                </c:pt>
                <c:pt idx="777">
                  <c:v>36.3054000000004</c:v>
                </c:pt>
                <c:pt idx="778">
                  <c:v>36.3055000000004</c:v>
                </c:pt>
                <c:pt idx="779">
                  <c:v>36.3056000000004</c:v>
                </c:pt>
                <c:pt idx="780">
                  <c:v>36.3057000000004</c:v>
                </c:pt>
                <c:pt idx="781">
                  <c:v>36.3058000000004</c:v>
                </c:pt>
                <c:pt idx="782">
                  <c:v>36.3059000000004</c:v>
                </c:pt>
                <c:pt idx="783">
                  <c:v>36.3060000000004</c:v>
                </c:pt>
                <c:pt idx="784">
                  <c:v>36.3061000000004</c:v>
                </c:pt>
                <c:pt idx="785">
                  <c:v>36.3062000000004</c:v>
                </c:pt>
                <c:pt idx="786">
                  <c:v>36.3063000000004</c:v>
                </c:pt>
                <c:pt idx="787">
                  <c:v>36.3064000000004</c:v>
                </c:pt>
                <c:pt idx="788">
                  <c:v>36.3065000000004</c:v>
                </c:pt>
                <c:pt idx="789">
                  <c:v>36.3066000000004</c:v>
                </c:pt>
                <c:pt idx="790">
                  <c:v>36.3067000000004</c:v>
                </c:pt>
                <c:pt idx="791">
                  <c:v>36.3068000000004</c:v>
                </c:pt>
                <c:pt idx="792">
                  <c:v>36.3069000000004</c:v>
                </c:pt>
                <c:pt idx="793">
                  <c:v>36.3070000000004</c:v>
                </c:pt>
                <c:pt idx="794">
                  <c:v>36.3071000000004</c:v>
                </c:pt>
                <c:pt idx="795">
                  <c:v>36.3072000000004</c:v>
                </c:pt>
                <c:pt idx="796">
                  <c:v>36.3073000000004</c:v>
                </c:pt>
                <c:pt idx="797">
                  <c:v>36.3074000000005</c:v>
                </c:pt>
                <c:pt idx="798">
                  <c:v>36.3075000000005</c:v>
                </c:pt>
                <c:pt idx="799">
                  <c:v>36.3076000000005</c:v>
                </c:pt>
                <c:pt idx="800">
                  <c:v>36.3077000000005</c:v>
                </c:pt>
                <c:pt idx="801">
                  <c:v>36.3078000000005</c:v>
                </c:pt>
                <c:pt idx="802">
                  <c:v>36.3079000000005</c:v>
                </c:pt>
                <c:pt idx="803">
                  <c:v>36.3080000000005</c:v>
                </c:pt>
                <c:pt idx="804">
                  <c:v>36.3081000000005</c:v>
                </c:pt>
                <c:pt idx="805">
                  <c:v>36.3082000000005</c:v>
                </c:pt>
                <c:pt idx="806">
                  <c:v>36.3083000000005</c:v>
                </c:pt>
                <c:pt idx="807">
                  <c:v>36.3084000000005</c:v>
                </c:pt>
                <c:pt idx="808">
                  <c:v>36.3085000000005</c:v>
                </c:pt>
                <c:pt idx="809">
                  <c:v>36.3086000000005</c:v>
                </c:pt>
                <c:pt idx="810">
                  <c:v>36.3087000000005</c:v>
                </c:pt>
                <c:pt idx="811">
                  <c:v>36.3088000000005</c:v>
                </c:pt>
                <c:pt idx="812">
                  <c:v>36.3089000000005</c:v>
                </c:pt>
                <c:pt idx="813">
                  <c:v>36.3090000000005</c:v>
                </c:pt>
                <c:pt idx="814">
                  <c:v>36.3091000000005</c:v>
                </c:pt>
                <c:pt idx="815">
                  <c:v>36.3092000000005</c:v>
                </c:pt>
                <c:pt idx="816">
                  <c:v>36.3093000000005</c:v>
                </c:pt>
                <c:pt idx="817">
                  <c:v>36.3094000000005</c:v>
                </c:pt>
                <c:pt idx="818">
                  <c:v>36.3095000000005</c:v>
                </c:pt>
                <c:pt idx="819">
                  <c:v>36.3096000000005</c:v>
                </c:pt>
                <c:pt idx="820">
                  <c:v>36.3097000000005</c:v>
                </c:pt>
                <c:pt idx="821">
                  <c:v>36.3098000000005</c:v>
                </c:pt>
                <c:pt idx="822">
                  <c:v>36.3099000000005</c:v>
                </c:pt>
                <c:pt idx="823">
                  <c:v>36.3100000000005</c:v>
                </c:pt>
                <c:pt idx="824">
                  <c:v>36.3101000000005</c:v>
                </c:pt>
                <c:pt idx="825">
                  <c:v>36.3102000000005</c:v>
                </c:pt>
                <c:pt idx="826">
                  <c:v>36.3103000000005</c:v>
                </c:pt>
                <c:pt idx="827">
                  <c:v>36.3104000000006</c:v>
                </c:pt>
                <c:pt idx="828">
                  <c:v>36.3105000000006</c:v>
                </c:pt>
                <c:pt idx="829">
                  <c:v>36.3106000000006</c:v>
                </c:pt>
                <c:pt idx="830">
                  <c:v>36.3107000000006</c:v>
                </c:pt>
                <c:pt idx="831">
                  <c:v>36.3108000000006</c:v>
                </c:pt>
                <c:pt idx="832">
                  <c:v>36.3109000000006</c:v>
                </c:pt>
                <c:pt idx="833">
                  <c:v>36.3110000000006</c:v>
                </c:pt>
                <c:pt idx="834">
                  <c:v>36.3111000000006</c:v>
                </c:pt>
                <c:pt idx="835">
                  <c:v>36.3112000000006</c:v>
                </c:pt>
                <c:pt idx="836">
                  <c:v>36.3113000000006</c:v>
                </c:pt>
                <c:pt idx="837">
                  <c:v>36.3114000000006</c:v>
                </c:pt>
                <c:pt idx="838">
                  <c:v>36.3115000000006</c:v>
                </c:pt>
                <c:pt idx="839">
                  <c:v>36.3116000000006</c:v>
                </c:pt>
                <c:pt idx="840">
                  <c:v>36.3117000000006</c:v>
                </c:pt>
                <c:pt idx="841">
                  <c:v>36.3118000000006</c:v>
                </c:pt>
                <c:pt idx="842">
                  <c:v>36.3119000000006</c:v>
                </c:pt>
                <c:pt idx="843">
                  <c:v>36.3120000000006</c:v>
                </c:pt>
                <c:pt idx="844">
                  <c:v>36.3121000000006</c:v>
                </c:pt>
                <c:pt idx="845">
                  <c:v>36.3122000000006</c:v>
                </c:pt>
                <c:pt idx="846">
                  <c:v>36.3123000000006</c:v>
                </c:pt>
                <c:pt idx="847">
                  <c:v>36.3124000000006</c:v>
                </c:pt>
                <c:pt idx="848">
                  <c:v>36.3125000000006</c:v>
                </c:pt>
                <c:pt idx="849">
                  <c:v>36.3126000000006</c:v>
                </c:pt>
                <c:pt idx="850">
                  <c:v>36.3127000000006</c:v>
                </c:pt>
                <c:pt idx="851">
                  <c:v>36.3128000000006</c:v>
                </c:pt>
                <c:pt idx="852">
                  <c:v>36.3129000000006</c:v>
                </c:pt>
                <c:pt idx="853">
                  <c:v>36.3130000000006</c:v>
                </c:pt>
                <c:pt idx="854">
                  <c:v>36.3131000000006</c:v>
                </c:pt>
                <c:pt idx="855">
                  <c:v>36.3132000000006</c:v>
                </c:pt>
                <c:pt idx="856">
                  <c:v>36.3133000000006</c:v>
                </c:pt>
                <c:pt idx="857">
                  <c:v>36.3134000000007</c:v>
                </c:pt>
                <c:pt idx="858">
                  <c:v>36.3135000000007</c:v>
                </c:pt>
                <c:pt idx="859">
                  <c:v>36.3136000000007</c:v>
                </c:pt>
                <c:pt idx="860">
                  <c:v>36.3137000000007</c:v>
                </c:pt>
                <c:pt idx="861">
                  <c:v>36.3138000000007</c:v>
                </c:pt>
                <c:pt idx="862">
                  <c:v>36.3139000000007</c:v>
                </c:pt>
                <c:pt idx="863">
                  <c:v>36.3140000000007</c:v>
                </c:pt>
                <c:pt idx="864">
                  <c:v>36.3141000000007</c:v>
                </c:pt>
                <c:pt idx="865">
                  <c:v>36.3142000000007</c:v>
                </c:pt>
                <c:pt idx="866">
                  <c:v>36.3143000000007</c:v>
                </c:pt>
                <c:pt idx="867">
                  <c:v>36.3144000000007</c:v>
                </c:pt>
                <c:pt idx="868">
                  <c:v>36.3145000000007</c:v>
                </c:pt>
                <c:pt idx="869">
                  <c:v>36.3146000000007</c:v>
                </c:pt>
                <c:pt idx="870">
                  <c:v>36.3147000000007</c:v>
                </c:pt>
                <c:pt idx="871">
                  <c:v>36.3148000000007</c:v>
                </c:pt>
                <c:pt idx="872">
                  <c:v>36.3149000000007</c:v>
                </c:pt>
                <c:pt idx="873">
                  <c:v>36.3150000000007</c:v>
                </c:pt>
                <c:pt idx="874">
                  <c:v>36.3151000000007</c:v>
                </c:pt>
                <c:pt idx="875">
                  <c:v>36.3152000000007</c:v>
                </c:pt>
                <c:pt idx="876">
                  <c:v>36.3153000000007</c:v>
                </c:pt>
                <c:pt idx="877">
                  <c:v>36.3154000000007</c:v>
                </c:pt>
                <c:pt idx="878">
                  <c:v>36.3155000000007</c:v>
                </c:pt>
                <c:pt idx="879">
                  <c:v>36.3156000000007</c:v>
                </c:pt>
                <c:pt idx="880">
                  <c:v>36.3157000000007</c:v>
                </c:pt>
                <c:pt idx="881">
                  <c:v>36.3158000000007</c:v>
                </c:pt>
                <c:pt idx="882">
                  <c:v>36.3159000000007</c:v>
                </c:pt>
                <c:pt idx="883">
                  <c:v>36.3160000000007</c:v>
                </c:pt>
                <c:pt idx="884">
                  <c:v>36.3161000000007</c:v>
                </c:pt>
                <c:pt idx="885">
                  <c:v>36.3162000000007</c:v>
                </c:pt>
                <c:pt idx="886">
                  <c:v>36.3163000000007</c:v>
                </c:pt>
                <c:pt idx="887">
                  <c:v>36.3164000000008</c:v>
                </c:pt>
                <c:pt idx="888">
                  <c:v>36.3165000000008</c:v>
                </c:pt>
                <c:pt idx="889">
                  <c:v>36.3166000000008</c:v>
                </c:pt>
                <c:pt idx="890">
                  <c:v>36.3167000000008</c:v>
                </c:pt>
                <c:pt idx="891">
                  <c:v>36.3168000000008</c:v>
                </c:pt>
                <c:pt idx="892">
                  <c:v>36.3169000000008</c:v>
                </c:pt>
                <c:pt idx="893">
                  <c:v>36.3170000000008</c:v>
                </c:pt>
                <c:pt idx="894">
                  <c:v>36.3171000000008</c:v>
                </c:pt>
                <c:pt idx="895">
                  <c:v>36.3172000000008</c:v>
                </c:pt>
                <c:pt idx="896">
                  <c:v>36.3173000000008</c:v>
                </c:pt>
                <c:pt idx="897">
                  <c:v>36.3174000000008</c:v>
                </c:pt>
                <c:pt idx="898">
                  <c:v>36.3175000000008</c:v>
                </c:pt>
                <c:pt idx="899">
                  <c:v>36.3176000000008</c:v>
                </c:pt>
                <c:pt idx="900">
                  <c:v>36.3177000000008</c:v>
                </c:pt>
                <c:pt idx="901">
                  <c:v>36.3178000000008</c:v>
                </c:pt>
                <c:pt idx="902">
                  <c:v>36.3179000000008</c:v>
                </c:pt>
                <c:pt idx="903">
                  <c:v>36.3180000000008</c:v>
                </c:pt>
                <c:pt idx="904">
                  <c:v>36.3181000000008</c:v>
                </c:pt>
                <c:pt idx="905">
                  <c:v>36.3182000000008</c:v>
                </c:pt>
                <c:pt idx="906">
                  <c:v>36.3183000000008</c:v>
                </c:pt>
                <c:pt idx="907">
                  <c:v>36.3184000000008</c:v>
                </c:pt>
                <c:pt idx="908">
                  <c:v>36.3185000000008</c:v>
                </c:pt>
                <c:pt idx="909">
                  <c:v>36.3186000000008</c:v>
                </c:pt>
                <c:pt idx="910">
                  <c:v>36.3187000000008</c:v>
                </c:pt>
                <c:pt idx="911">
                  <c:v>36.3188000000008</c:v>
                </c:pt>
                <c:pt idx="912">
                  <c:v>36.3189000000008</c:v>
                </c:pt>
                <c:pt idx="913">
                  <c:v>36.3190000000008</c:v>
                </c:pt>
                <c:pt idx="914">
                  <c:v>36.3191000000008</c:v>
                </c:pt>
                <c:pt idx="915">
                  <c:v>36.3192000000008</c:v>
                </c:pt>
                <c:pt idx="916">
                  <c:v>36.3193000000008</c:v>
                </c:pt>
                <c:pt idx="917">
                  <c:v>36.3194000000009</c:v>
                </c:pt>
                <c:pt idx="918">
                  <c:v>36.3195000000009</c:v>
                </c:pt>
                <c:pt idx="919">
                  <c:v>36.3196000000009</c:v>
                </c:pt>
                <c:pt idx="920">
                  <c:v>36.3197000000009</c:v>
                </c:pt>
                <c:pt idx="921">
                  <c:v>36.3198000000009</c:v>
                </c:pt>
                <c:pt idx="922">
                  <c:v>36.3199000000009</c:v>
                </c:pt>
                <c:pt idx="923">
                  <c:v>36.3200000000009</c:v>
                </c:pt>
                <c:pt idx="924">
                  <c:v>36.3201000000009</c:v>
                </c:pt>
                <c:pt idx="925">
                  <c:v>36.3202000000009</c:v>
                </c:pt>
                <c:pt idx="926">
                  <c:v>36.3203000000009</c:v>
                </c:pt>
                <c:pt idx="927">
                  <c:v>36.3204000000009</c:v>
                </c:pt>
                <c:pt idx="928">
                  <c:v>36.3205000000009</c:v>
                </c:pt>
                <c:pt idx="929">
                  <c:v>36.3206000000009</c:v>
                </c:pt>
                <c:pt idx="930">
                  <c:v>36.3207000000009</c:v>
                </c:pt>
                <c:pt idx="931">
                  <c:v>36.3208000000009</c:v>
                </c:pt>
                <c:pt idx="932">
                  <c:v>36.3209000000009</c:v>
                </c:pt>
                <c:pt idx="933">
                  <c:v>36.3210000000009</c:v>
                </c:pt>
                <c:pt idx="934">
                  <c:v>36.3211000000009</c:v>
                </c:pt>
                <c:pt idx="935">
                  <c:v>36.3212000000009</c:v>
                </c:pt>
                <c:pt idx="936">
                  <c:v>36.3213000000009</c:v>
                </c:pt>
                <c:pt idx="937">
                  <c:v>36.3214000000009</c:v>
                </c:pt>
                <c:pt idx="938">
                  <c:v>36.3215000000009</c:v>
                </c:pt>
                <c:pt idx="939">
                  <c:v>36.3216000000009</c:v>
                </c:pt>
                <c:pt idx="940">
                  <c:v>36.3217000000009</c:v>
                </c:pt>
                <c:pt idx="941">
                  <c:v>36.3218000000009</c:v>
                </c:pt>
                <c:pt idx="942">
                  <c:v>36.3219000000009</c:v>
                </c:pt>
                <c:pt idx="943">
                  <c:v>36.3220000000009</c:v>
                </c:pt>
                <c:pt idx="944">
                  <c:v>36.3221000000009</c:v>
                </c:pt>
                <c:pt idx="945">
                  <c:v>36.3222000000009</c:v>
                </c:pt>
                <c:pt idx="946">
                  <c:v>36.3223000000009</c:v>
                </c:pt>
                <c:pt idx="947">
                  <c:v>36.322400000001</c:v>
                </c:pt>
                <c:pt idx="948">
                  <c:v>36.322500000001</c:v>
                </c:pt>
                <c:pt idx="949">
                  <c:v>36.322600000001</c:v>
                </c:pt>
                <c:pt idx="950">
                  <c:v>36.322700000001</c:v>
                </c:pt>
                <c:pt idx="951">
                  <c:v>36.322800000001</c:v>
                </c:pt>
                <c:pt idx="952">
                  <c:v>36.322900000001</c:v>
                </c:pt>
                <c:pt idx="953">
                  <c:v>36.323000000001</c:v>
                </c:pt>
                <c:pt idx="954">
                  <c:v>36.323100000001</c:v>
                </c:pt>
                <c:pt idx="955">
                  <c:v>36.323200000001</c:v>
                </c:pt>
                <c:pt idx="956">
                  <c:v>36.323300000001</c:v>
                </c:pt>
                <c:pt idx="957">
                  <c:v>36.323400000001</c:v>
                </c:pt>
                <c:pt idx="958">
                  <c:v>36.323500000001</c:v>
                </c:pt>
                <c:pt idx="959">
                  <c:v>36.323600000001</c:v>
                </c:pt>
                <c:pt idx="960">
                  <c:v>36.323700000001</c:v>
                </c:pt>
                <c:pt idx="961">
                  <c:v>36.323800000001</c:v>
                </c:pt>
                <c:pt idx="962">
                  <c:v>36.323900000001</c:v>
                </c:pt>
                <c:pt idx="963">
                  <c:v>36.324000000001</c:v>
                </c:pt>
                <c:pt idx="964">
                  <c:v>36.324100000001</c:v>
                </c:pt>
                <c:pt idx="965">
                  <c:v>36.324200000001</c:v>
                </c:pt>
                <c:pt idx="966">
                  <c:v>36.324300000001</c:v>
                </c:pt>
                <c:pt idx="967">
                  <c:v>36.324400000001</c:v>
                </c:pt>
                <c:pt idx="968">
                  <c:v>36.324500000001</c:v>
                </c:pt>
                <c:pt idx="969">
                  <c:v>36.324600000001</c:v>
                </c:pt>
                <c:pt idx="970">
                  <c:v>36.324700000001</c:v>
                </c:pt>
                <c:pt idx="971">
                  <c:v>36.324800000001</c:v>
                </c:pt>
                <c:pt idx="972">
                  <c:v>36.324900000001</c:v>
                </c:pt>
                <c:pt idx="973">
                  <c:v>36.325000000001</c:v>
                </c:pt>
                <c:pt idx="974">
                  <c:v>36.325100000001</c:v>
                </c:pt>
                <c:pt idx="975">
                  <c:v>36.325200000001</c:v>
                </c:pt>
                <c:pt idx="976">
                  <c:v>36.325300000001</c:v>
                </c:pt>
                <c:pt idx="977">
                  <c:v>36.325400000001</c:v>
                </c:pt>
                <c:pt idx="978">
                  <c:v>36.3255000000011</c:v>
                </c:pt>
                <c:pt idx="979">
                  <c:v>36.3256000000011</c:v>
                </c:pt>
                <c:pt idx="980">
                  <c:v>36.3257000000011</c:v>
                </c:pt>
                <c:pt idx="981">
                  <c:v>36.3258000000011</c:v>
                </c:pt>
                <c:pt idx="982">
                  <c:v>36.3259000000011</c:v>
                </c:pt>
                <c:pt idx="983">
                  <c:v>36.3260000000011</c:v>
                </c:pt>
                <c:pt idx="984">
                  <c:v>36.3261000000011</c:v>
                </c:pt>
                <c:pt idx="985">
                  <c:v>36.3262000000011</c:v>
                </c:pt>
                <c:pt idx="986">
                  <c:v>36.3263000000011</c:v>
                </c:pt>
                <c:pt idx="987">
                  <c:v>36.3264000000011</c:v>
                </c:pt>
                <c:pt idx="988">
                  <c:v>36.3265000000011</c:v>
                </c:pt>
                <c:pt idx="989">
                  <c:v>36.3266000000011</c:v>
                </c:pt>
                <c:pt idx="990">
                  <c:v>36.3267000000011</c:v>
                </c:pt>
                <c:pt idx="991">
                  <c:v>36.3268000000011</c:v>
                </c:pt>
                <c:pt idx="992">
                  <c:v>36.3269000000011</c:v>
                </c:pt>
                <c:pt idx="993">
                  <c:v>36.3270000000011</c:v>
                </c:pt>
                <c:pt idx="994">
                  <c:v>36.3271000000011</c:v>
                </c:pt>
                <c:pt idx="995">
                  <c:v>36.3272000000011</c:v>
                </c:pt>
                <c:pt idx="996">
                  <c:v>36.3273000000011</c:v>
                </c:pt>
                <c:pt idx="997">
                  <c:v>36.3274000000011</c:v>
                </c:pt>
                <c:pt idx="998">
                  <c:v>36.3275000000011</c:v>
                </c:pt>
                <c:pt idx="999">
                  <c:v>36.3276000000011</c:v>
                </c:pt>
                <c:pt idx="1000">
                  <c:v>36.3277000000011</c:v>
                </c:pt>
              </c:numCache>
            </c:numRef>
          </c:xVal>
          <c:yVal>
            <c:numRef>
              <c:f>Calculs!$AH$4:$AH$1004</c:f>
              <c:numCache>
                <c:formatCode>General</c:formatCode>
                <c:ptCount val="1001"/>
                <c:pt idx="1">
                  <c:v>10.6176148303612</c:v>
                </c:pt>
                <c:pt idx="2">
                  <c:v>31.8579370874306</c:v>
                </c:pt>
                <c:pt idx="3">
                  <c:v>53.1106901084953</c:v>
                </c:pt>
                <c:pt idx="4">
                  <c:v>74.3825571036143</c:v>
                </c:pt>
                <c:pt idx="5">
                  <c:v>95.6801203233181</c:v>
                </c:pt>
                <c:pt idx="6">
                  <c:v>106.240937172376</c:v>
                </c:pt>
                <c:pt idx="7">
                  <c:v>106.043579133718</c:v>
                </c:pt>
                <c:pt idx="8">
                  <c:v>105.845046582453</c:v>
                </c:pt>
                <c:pt idx="9">
                  <c:v>105.645343598814</c:v>
                </c:pt>
                <c:pt idx="10">
                  <c:v>105.444474314993</c:v>
                </c:pt>
                <c:pt idx="11">
                  <c:v>105.242442914777</c:v>
                </c:pt>
                <c:pt idx="12">
                  <c:v>105.039253633166</c:v>
                </c:pt>
                <c:pt idx="13">
                  <c:v>104.834910755996</c:v>
                </c:pt>
                <c:pt idx="14">
                  <c:v>104.629418619549</c:v>
                </c:pt>
                <c:pt idx="15">
                  <c:v>104.422781610166</c:v>
                </c:pt>
                <c:pt idx="16">
                  <c:v>104.215004163846</c:v>
                </c:pt>
                <c:pt idx="17">
                  <c:v>104.00609076585</c:v>
                </c:pt>
                <c:pt idx="18">
                  <c:v>103.796045950287</c:v>
                </c:pt>
                <c:pt idx="19">
                  <c:v>103.584874299711</c:v>
                </c:pt>
                <c:pt idx="20">
                  <c:v>103.3725804447</c:v>
                </c:pt>
                <c:pt idx="21">
                  <c:v>103.159169063434</c:v>
                </c:pt>
                <c:pt idx="22">
                  <c:v>102.944644881276</c:v>
                </c:pt>
                <c:pt idx="23">
                  <c:v>102.729012670333</c:v>
                </c:pt>
                <c:pt idx="24">
                  <c:v>102.51227724903</c:v>
                </c:pt>
                <c:pt idx="25">
                  <c:v>102.294443481665</c:v>
                </c:pt>
                <c:pt idx="26">
                  <c:v>102.07551627797</c:v>
                </c:pt>
                <c:pt idx="27">
                  <c:v>101.855500592658</c:v>
                </c:pt>
                <c:pt idx="28">
                  <c:v>101.634401424977</c:v>
                </c:pt>
                <c:pt idx="29">
                  <c:v>101.412223818249</c:v>
                </c:pt>
                <c:pt idx="30">
                  <c:v>101.188972859414</c:v>
                </c:pt>
                <c:pt idx="31">
                  <c:v>100.964653678561</c:v>
                </c:pt>
                <c:pt idx="32">
                  <c:v>100.739271448465</c:v>
                </c:pt>
                <c:pt idx="33">
                  <c:v>100.512831384112</c:v>
                </c:pt>
                <c:pt idx="34">
                  <c:v>100.285338613695</c:v>
                </c:pt>
                <c:pt idx="35">
                  <c:v>100.056798284452</c:v>
                </c:pt>
                <c:pt idx="36">
                  <c:v>99.8272157162967</c:v>
                </c:pt>
                <c:pt idx="37">
                  <c:v>99.5965962699325</c:v>
                </c:pt>
                <c:pt idx="38">
                  <c:v>99.364945346333</c:v>
                </c:pt>
                <c:pt idx="39">
                  <c:v>99.1322683862287</c:v>
                </c:pt>
                <c:pt idx="40">
                  <c:v>98.8985708695887</c:v>
                </c:pt>
                <c:pt idx="41">
                  <c:v>98.6638583151024</c:v>
                </c:pt>
                <c:pt idx="42">
                  <c:v>98.428136279658</c:v>
                </c:pt>
                <c:pt idx="43">
                  <c:v>98.1914103578207</c:v>
                </c:pt>
                <c:pt idx="44">
                  <c:v>97.9536861813085</c:v>
                </c:pt>
                <c:pt idx="45">
                  <c:v>97.714969418466</c:v>
                </c:pt>
                <c:pt idx="46">
                  <c:v>97.4752657737369</c:v>
                </c:pt>
                <c:pt idx="47">
                  <c:v>97.2345809871341</c:v>
                </c:pt>
                <c:pt idx="48">
                  <c:v>96.9929208337089</c:v>
                </c:pt>
                <c:pt idx="49">
                  <c:v>96.7502911230169</c:v>
                </c:pt>
                <c:pt idx="50">
                  <c:v>96.5066976985837</c:v>
                </c:pt>
                <c:pt idx="51">
                  <c:v>96.3189153449294</c:v>
                </c:pt>
                <c:pt idx="52">
                  <c:v>96.1870369763765</c:v>
                </c:pt>
                <c:pt idx="53">
                  <c:v>96.054329271354</c:v>
                </c:pt>
                <c:pt idx="54">
                  <c:v>95.9207949623919</c:v>
                </c:pt>
                <c:pt idx="55">
                  <c:v>95.7864368138447</c:v>
                </c:pt>
                <c:pt idx="56">
                  <c:v>95.6512576216726</c:v>
                </c:pt>
                <c:pt idx="57">
                  <c:v>95.5152602132218</c:v>
                </c:pt>
                <c:pt idx="58">
                  <c:v>95.3784474470007</c:v>
                </c:pt>
                <c:pt idx="59">
                  <c:v>95.2408222124553</c:v>
                </c:pt>
                <c:pt idx="60">
                  <c:v>95.1023874297414</c:v>
                </c:pt>
                <c:pt idx="61">
                  <c:v>94.9631460494947</c:v>
                </c:pt>
                <c:pt idx="62">
                  <c:v>94.823101052599</c:v>
                </c:pt>
                <c:pt idx="63">
                  <c:v>94.6822554499516</c:v>
                </c:pt>
                <c:pt idx="64">
                  <c:v>94.540612282227</c:v>
                </c:pt>
                <c:pt idx="65">
                  <c:v>94.3981746196378</c:v>
                </c:pt>
                <c:pt idx="66">
                  <c:v>94.2549455616938</c:v>
                </c:pt>
                <c:pt idx="67">
                  <c:v>94.1109282369589</c:v>
                </c:pt>
                <c:pt idx="68">
                  <c:v>93.9661258028059</c:v>
                </c:pt>
                <c:pt idx="69">
                  <c:v>93.8205414451687</c:v>
                </c:pt>
                <c:pt idx="70">
                  <c:v>93.6741783782931</c:v>
                </c:pt>
                <c:pt idx="71">
                  <c:v>93.5270398444849</c:v>
                </c:pt>
                <c:pt idx="72">
                  <c:v>93.3791291138563</c:v>
                </c:pt>
                <c:pt idx="73">
                  <c:v>93.2304494840705</c:v>
                </c:pt>
                <c:pt idx="74">
                  <c:v>93.0810042800835</c:v>
                </c:pt>
                <c:pt idx="75">
                  <c:v>92.9307968538847</c:v>
                </c:pt>
                <c:pt idx="76">
                  <c:v>92.7798305842354</c:v>
                </c:pt>
                <c:pt idx="77">
                  <c:v>92.6281088764051</c:v>
                </c:pt>
                <c:pt idx="78">
                  <c:v>92.4756351619063</c:v>
                </c:pt>
                <c:pt idx="79">
                  <c:v>92.3224128982272</c:v>
                </c:pt>
                <c:pt idx="80">
                  <c:v>92.1684455685628</c:v>
                </c:pt>
                <c:pt idx="81">
                  <c:v>92.0137366815437</c:v>
                </c:pt>
                <c:pt idx="82">
                  <c:v>91.8582897709643</c:v>
                </c:pt>
                <c:pt idx="83">
                  <c:v>91.7021083955077</c:v>
                </c:pt>
                <c:pt idx="84">
                  <c:v>91.5451961384706</c:v>
                </c:pt>
                <c:pt idx="85">
                  <c:v>91.3875566074852</c:v>
                </c:pt>
                <c:pt idx="86">
                  <c:v>91.2291934342401</c:v>
                </c:pt>
                <c:pt idx="87">
                  <c:v>91.0701102741998</c:v>
                </c:pt>
                <c:pt idx="88">
                  <c:v>90.9103108063222</c:v>
                </c:pt>
                <c:pt idx="89">
                  <c:v>90.749798732775</c:v>
                </c:pt>
                <c:pt idx="90">
                  <c:v>90.5885777786504</c:v>
                </c:pt>
                <c:pt idx="91">
                  <c:v>90.4266516916783</c:v>
                </c:pt>
                <c:pt idx="92">
                  <c:v>90.2640242419385</c:v>
                </c:pt>
                <c:pt idx="93">
                  <c:v>90.1006992215712</c:v>
                </c:pt>
                <c:pt idx="94">
                  <c:v>89.9366804444862</c:v>
                </c:pt>
                <c:pt idx="95">
                  <c:v>89.7719717460711</c:v>
                </c:pt>
                <c:pt idx="96">
                  <c:v>89.6065769828977</c:v>
                </c:pt>
                <c:pt idx="97">
                  <c:v>89.4405000324281</c:v>
                </c:pt>
                <c:pt idx="98">
                  <c:v>89.2737447927184</c:v>
                </c:pt>
                <c:pt idx="99">
                  <c:v>89.1063151821228</c:v>
                </c:pt>
                <c:pt idx="100">
                  <c:v>88.9382151389949</c:v>
                </c:pt>
                <c:pt idx="101">
                  <c:v>88.7432272805214</c:v>
                </c:pt>
                <c:pt idx="102">
                  <c:v>88.5213287753715</c:v>
                </c:pt>
                <c:pt idx="103">
                  <c:v>88.2987432870958</c:v>
                </c:pt>
                <c:pt idx="104">
                  <c:v>88.0754762562283</c:v>
                </c:pt>
                <c:pt idx="105">
                  <c:v>87.8515331387196</c:v>
                </c:pt>
                <c:pt idx="106">
                  <c:v>87.6269194055059</c:v>
                </c:pt>
                <c:pt idx="107">
                  <c:v>87.4016405420782</c:v>
                </c:pt>
                <c:pt idx="108">
                  <c:v>87.1757020480515</c:v>
                </c:pt>
                <c:pt idx="109">
                  <c:v>86.949109436734</c:v>
                </c:pt>
                <c:pt idx="110">
                  <c:v>86.7218682346965</c:v>
                </c:pt>
                <c:pt idx="111">
                  <c:v>86.4939839813424</c:v>
                </c:pt>
                <c:pt idx="112">
                  <c:v>86.2654622284769</c:v>
                </c:pt>
                <c:pt idx="113">
                  <c:v>86.0363085398779</c:v>
                </c:pt>
                <c:pt idx="114">
                  <c:v>85.8065284908665</c:v>
                </c:pt>
                <c:pt idx="115">
                  <c:v>85.5761276678778</c:v>
                </c:pt>
                <c:pt idx="116">
                  <c:v>85.3451116680329</c:v>
                </c:pt>
                <c:pt idx="117">
                  <c:v>85.1134860987103</c:v>
                </c:pt>
                <c:pt idx="118">
                  <c:v>84.8812565771196</c:v>
                </c:pt>
                <c:pt idx="119">
                  <c:v>84.6484287298738</c:v>
                </c:pt>
                <c:pt idx="120">
                  <c:v>84.4150081925643</c:v>
                </c:pt>
                <c:pt idx="121">
                  <c:v>84.181000609335</c:v>
                </c:pt>
                <c:pt idx="122">
                  <c:v>83.9464116324584</c:v>
                </c:pt>
                <c:pt idx="123">
                  <c:v>83.7112469219116</c:v>
                </c:pt>
                <c:pt idx="124">
                  <c:v>83.4755121449544</c:v>
                </c:pt>
                <c:pt idx="125">
                  <c:v>83.2392129757068</c:v>
                </c:pt>
                <c:pt idx="126">
                  <c:v>83.0023550947292</c:v>
                </c:pt>
                <c:pt idx="127">
                  <c:v>82.7649441886023</c:v>
                </c:pt>
                <c:pt idx="128">
                  <c:v>82.5269859495086</c:v>
                </c:pt>
                <c:pt idx="129">
                  <c:v>82.2884860748157</c:v>
                </c:pt>
                <c:pt idx="130">
                  <c:v>82.0494502666595</c:v>
                </c:pt>
                <c:pt idx="131">
                  <c:v>81.8098842315299</c:v>
                </c:pt>
                <c:pt idx="132">
                  <c:v>81.5697936798568</c:v>
                </c:pt>
                <c:pt idx="133">
                  <c:v>81.3291843255984</c:v>
                </c:pt>
                <c:pt idx="134">
                  <c:v>81.0880618858304</c:v>
                </c:pt>
                <c:pt idx="135">
                  <c:v>80.8464320803362</c:v>
                </c:pt>
                <c:pt idx="136">
                  <c:v>80.6043006311995</c:v>
                </c:pt>
                <c:pt idx="137">
                  <c:v>80.3616732623981</c:v>
                </c:pt>
                <c:pt idx="138">
                  <c:v>80.1185556993989</c:v>
                </c:pt>
                <c:pt idx="139">
                  <c:v>79.8749536687548</c:v>
                </c:pt>
                <c:pt idx="140">
                  <c:v>79.6308728977037</c:v>
                </c:pt>
                <c:pt idx="141">
                  <c:v>79.3863191137682</c:v>
                </c:pt>
                <c:pt idx="142">
                  <c:v>79.1412980443585</c:v>
                </c:pt>
                <c:pt idx="143">
                  <c:v>78.8958154163752</c:v>
                </c:pt>
                <c:pt idx="144">
                  <c:v>78.6498769558162</c:v>
                </c:pt>
                <c:pt idx="145">
                  <c:v>78.4034883873831</c:v>
                </c:pt>
                <c:pt idx="146">
                  <c:v>78.1566554340918</c:v>
                </c:pt>
                <c:pt idx="147">
                  <c:v>77.9093838168832</c:v>
                </c:pt>
                <c:pt idx="148">
                  <c:v>77.661679254237</c:v>
                </c:pt>
                <c:pt idx="149">
                  <c:v>77.4135474617873</c:v>
                </c:pt>
                <c:pt idx="150">
                  <c:v>77.16499415194</c:v>
                </c:pt>
                <c:pt idx="151">
                  <c:v>76.9249601114844</c:v>
                </c:pt>
                <c:pt idx="152">
                  <c:v>76.6934553016904</c:v>
                </c:pt>
                <c:pt idx="153">
                  <c:v>76.461546794321</c:v>
                </c:pt>
                <c:pt idx="154">
                  <c:v>76.2292398353693</c:v>
                </c:pt>
                <c:pt idx="155">
                  <c:v>75.9965396680378</c:v>
                </c:pt>
                <c:pt idx="156">
                  <c:v>75.7634515324015</c:v>
                </c:pt>
                <c:pt idx="157">
                  <c:v>75.5299806650736</c:v>
                </c:pt>
                <c:pt idx="158">
                  <c:v>75.2961322988721</c:v>
                </c:pt>
                <c:pt idx="159">
                  <c:v>75.0619116624889</c:v>
                </c:pt>
                <c:pt idx="160">
                  <c:v>74.8273239801607</c:v>
                </c:pt>
                <c:pt idx="161">
                  <c:v>74.5923744713421</c:v>
                </c:pt>
                <c:pt idx="162">
                  <c:v>74.3570683503806</c:v>
                </c:pt>
                <c:pt idx="163">
                  <c:v>74.1214108261932</c:v>
                </c:pt>
                <c:pt idx="164">
                  <c:v>73.8854071019462</c:v>
                </c:pt>
                <c:pt idx="165">
                  <c:v>73.6490623747356</c:v>
                </c:pt>
                <c:pt idx="166">
                  <c:v>73.4123818352713</c:v>
                </c:pt>
                <c:pt idx="167">
                  <c:v>73.1753706675618</c:v>
                </c:pt>
                <c:pt idx="168">
                  <c:v>72.9380340486025</c:v>
                </c:pt>
                <c:pt idx="169">
                  <c:v>72.7003771480652</c:v>
                </c:pt>
                <c:pt idx="170">
                  <c:v>72.4624051279905</c:v>
                </c:pt>
                <c:pt idx="171">
                  <c:v>72.2241231424821</c:v>
                </c:pt>
                <c:pt idx="172">
                  <c:v>71.9855363374035</c:v>
                </c:pt>
                <c:pt idx="173">
                  <c:v>71.7466498500771</c:v>
                </c:pt>
                <c:pt idx="174">
                  <c:v>71.5074688089854</c:v>
                </c:pt>
                <c:pt idx="175">
                  <c:v>71.2679983334747</c:v>
                </c:pt>
                <c:pt idx="176">
                  <c:v>71.0282435334614</c:v>
                </c:pt>
                <c:pt idx="177">
                  <c:v>70.7882095091402</c:v>
                </c:pt>
                <c:pt idx="178">
                  <c:v>70.5479013506952</c:v>
                </c:pt>
                <c:pt idx="179">
                  <c:v>70.307324138013</c:v>
                </c:pt>
                <c:pt idx="180">
                  <c:v>70.066482940399</c:v>
                </c:pt>
                <c:pt idx="181">
                  <c:v>69.8253828162951</c:v>
                </c:pt>
                <c:pt idx="182">
                  <c:v>69.5840288130008</c:v>
                </c:pt>
                <c:pt idx="183">
                  <c:v>69.3424259663965</c:v>
                </c:pt>
                <c:pt idx="184">
                  <c:v>69.1005793006694</c:v>
                </c:pt>
                <c:pt idx="185">
                  <c:v>68.8584938280416</c:v>
                </c:pt>
                <c:pt idx="186">
                  <c:v>68.6161745485014</c:v>
                </c:pt>
                <c:pt idx="187">
                  <c:v>68.3736264495369</c:v>
                </c:pt>
                <c:pt idx="188">
                  <c:v>68.1308545058717</c:v>
                </c:pt>
                <c:pt idx="189">
                  <c:v>67.8878636792041</c:v>
                </c:pt>
                <c:pt idx="190">
                  <c:v>67.6446589179485</c:v>
                </c:pt>
                <c:pt idx="191">
                  <c:v>67.4012451569793</c:v>
                </c:pt>
                <c:pt idx="192">
                  <c:v>67.1576273173777</c:v>
                </c:pt>
                <c:pt idx="193">
                  <c:v>66.9138103061811</c:v>
                </c:pt>
                <c:pt idx="194">
                  <c:v>66.669799016135</c:v>
                </c:pt>
                <c:pt idx="195">
                  <c:v>66.4255983254482</c:v>
                </c:pt>
                <c:pt idx="196">
                  <c:v>66.18121309755</c:v>
                </c:pt>
                <c:pt idx="197">
                  <c:v>65.9366481808503</c:v>
                </c:pt>
                <c:pt idx="198">
                  <c:v>65.691908408503</c:v>
                </c:pt>
                <c:pt idx="199">
                  <c:v>65.4469985981713</c:v>
                </c:pt>
                <c:pt idx="200">
                  <c:v>65.201923551796</c:v>
                </c:pt>
                <c:pt idx="201">
                  <c:v>64.9566880553675</c:v>
                </c:pt>
                <c:pt idx="202">
                  <c:v>64.7112968786988</c:v>
                </c:pt>
                <c:pt idx="203">
                  <c:v>64.4657547752029</c:v>
                </c:pt>
                <c:pt idx="204">
                  <c:v>64.2200664816722</c:v>
                </c:pt>
                <c:pt idx="205">
                  <c:v>63.9742367180606</c:v>
                </c:pt>
                <c:pt idx="206">
                  <c:v>63.728270187269</c:v>
                </c:pt>
                <c:pt idx="207">
                  <c:v>63.482171574933</c:v>
                </c:pt>
                <c:pt idx="208">
                  <c:v>63.2359455492138</c:v>
                </c:pt>
                <c:pt idx="209">
                  <c:v>62.9895967605915</c:v>
                </c:pt>
                <c:pt idx="210">
                  <c:v>62.7431298416619</c:v>
                </c:pt>
                <c:pt idx="211">
                  <c:v>62.4965494069353</c:v>
                </c:pt>
                <c:pt idx="212">
                  <c:v>62.2498600526389</c:v>
                </c:pt>
                <c:pt idx="213">
                  <c:v>62.0030663565214</c:v>
                </c:pt>
                <c:pt idx="214">
                  <c:v>61.7561728776609</c:v>
                </c:pt>
                <c:pt idx="215">
                  <c:v>61.5091841562755</c:v>
                </c:pt>
                <c:pt idx="216">
                  <c:v>61.2621047135364</c:v>
                </c:pt>
                <c:pt idx="217">
                  <c:v>61.0149390513844</c:v>
                </c:pt>
                <c:pt idx="218">
                  <c:v>60.7676916523488</c:v>
                </c:pt>
                <c:pt idx="219">
                  <c:v>60.5203669793697</c:v>
                </c:pt>
                <c:pt idx="220">
                  <c:v>60.2729694756221</c:v>
                </c:pt>
                <c:pt idx="221">
                  <c:v>60.0255035643441</c:v>
                </c:pt>
                <c:pt idx="222">
                  <c:v>59.7779736486673</c:v>
                </c:pt>
                <c:pt idx="223">
                  <c:v>59.5303841114494</c:v>
                </c:pt>
                <c:pt idx="224">
                  <c:v>59.2827393151115</c:v>
                </c:pt>
                <c:pt idx="225">
                  <c:v>59.0350436014758</c:v>
                </c:pt>
                <c:pt idx="226">
                  <c:v>58.7873012916085</c:v>
                </c:pt>
                <c:pt idx="227">
                  <c:v>58.5395166856637</c:v>
                </c:pt>
                <c:pt idx="228">
                  <c:v>58.2916940627311</c:v>
                </c:pt>
                <c:pt idx="229">
                  <c:v>58.0438376806865</c:v>
                </c:pt>
                <c:pt idx="230">
                  <c:v>57.7959517760444</c:v>
                </c:pt>
                <c:pt idx="231">
                  <c:v>57.5480405638146</c:v>
                </c:pt>
                <c:pt idx="232">
                  <c:v>57.3001082373603</c:v>
                </c:pt>
                <c:pt idx="233">
                  <c:v>57.0521589682599</c:v>
                </c:pt>
                <c:pt idx="234">
                  <c:v>56.8041969061716</c:v>
                </c:pt>
                <c:pt idx="235">
                  <c:v>56.5562261787</c:v>
                </c:pt>
                <c:pt idx="236">
                  <c:v>56.3082508912665</c:v>
                </c:pt>
                <c:pt idx="237">
                  <c:v>56.060275126982</c:v>
                </c:pt>
                <c:pt idx="238">
                  <c:v>55.8123029465218</c:v>
                </c:pt>
                <c:pt idx="239">
                  <c:v>55.5643383880047</c:v>
                </c:pt>
                <c:pt idx="240">
                  <c:v>55.3163854668734</c:v>
                </c:pt>
                <c:pt idx="241">
                  <c:v>55.0684481757783</c:v>
                </c:pt>
                <c:pt idx="242">
                  <c:v>54.8205304844646</c:v>
                </c:pt>
                <c:pt idx="243">
                  <c:v>54.5726363396608</c:v>
                </c:pt>
                <c:pt idx="244">
                  <c:v>54.3247696649709</c:v>
                </c:pt>
                <c:pt idx="245">
                  <c:v>54.0769343607696</c:v>
                </c:pt>
                <c:pt idx="246">
                  <c:v>53.8291343040987</c:v>
                </c:pt>
                <c:pt idx="247">
                  <c:v>53.5813733485683</c:v>
                </c:pt>
                <c:pt idx="248">
                  <c:v>53.3336553242586</c:v>
                </c:pt>
                <c:pt idx="249">
                  <c:v>53.0859840376261</c:v>
                </c:pt>
                <c:pt idx="250">
                  <c:v>52.8383632714111</c:v>
                </c:pt>
                <c:pt idx="251">
                  <c:v>52.5521760396059</c:v>
                </c:pt>
                <c:pt idx="252">
                  <c:v>52.2274436619259</c:v>
                </c:pt>
                <c:pt idx="253">
                  <c:v>51.9028353422076</c:v>
                </c:pt>
                <c:pt idx="254">
                  <c:v>51.5783561981757</c:v>
                </c:pt>
                <c:pt idx="255">
                  <c:v>51.2540113071302</c:v>
                </c:pt>
                <c:pt idx="256">
                  <c:v>50.929805705852</c:v>
                </c:pt>
                <c:pt idx="257">
                  <c:v>50.6057443905138</c:v>
                </c:pt>
                <c:pt idx="258">
                  <c:v>50.2818323165952</c:v>
                </c:pt>
                <c:pt idx="259">
                  <c:v>49.9580743988023</c:v>
                </c:pt>
                <c:pt idx="260">
                  <c:v>49.634475510992</c:v>
                </c:pt>
                <c:pt idx="261">
                  <c:v>49.3110404861015</c:v>
                </c:pt>
                <c:pt idx="262">
                  <c:v>48.9877741160812</c:v>
                </c:pt>
                <c:pt idx="263">
                  <c:v>48.6646811518327</c:v>
                </c:pt>
                <c:pt idx="264">
                  <c:v>48.3417663031515</c:v>
                </c:pt>
                <c:pt idx="265">
                  <c:v>48.0190342386734</c:v>
                </c:pt>
                <c:pt idx="266">
                  <c:v>47.6964895858258</c:v>
                </c:pt>
                <c:pt idx="267">
                  <c:v>47.3741369307836</c:v>
                </c:pt>
                <c:pt idx="268">
                  <c:v>47.0519808184282</c:v>
                </c:pt>
                <c:pt idx="269">
                  <c:v>46.7300257523123</c:v>
                </c:pt>
                <c:pt idx="270">
                  <c:v>46.4082761946279</c:v>
                </c:pt>
                <c:pt idx="271">
                  <c:v>46.0867365661788</c:v>
                </c:pt>
                <c:pt idx="272">
                  <c:v>45.7654112463574</c:v>
                </c:pt>
                <c:pt idx="273">
                  <c:v>45.4443045731255</c:v>
                </c:pt>
                <c:pt idx="274">
                  <c:v>45.1234208429988</c:v>
                </c:pt>
                <c:pt idx="275">
                  <c:v>44.8027643110363</c:v>
                </c:pt>
                <c:pt idx="276">
                  <c:v>44.482339190833</c:v>
                </c:pt>
                <c:pt idx="277">
                  <c:v>44.1621496545167</c:v>
                </c:pt>
                <c:pt idx="278">
                  <c:v>43.8421998327491</c:v>
                </c:pt>
                <c:pt idx="279">
                  <c:v>43.5224938147299</c:v>
                </c:pt>
                <c:pt idx="280">
                  <c:v>43.2030356482062</c:v>
                </c:pt>
                <c:pt idx="281">
                  <c:v>42.8838293394841</c:v>
                </c:pt>
                <c:pt idx="282">
                  <c:v>42.5648788534452</c:v>
                </c:pt>
                <c:pt idx="283">
                  <c:v>42.2461881135665</c:v>
                </c:pt>
                <c:pt idx="284">
                  <c:v>41.9277610019435</c:v>
                </c:pt>
                <c:pt idx="285">
                  <c:v>41.6096013593182</c:v>
                </c:pt>
                <c:pt idx="286">
                  <c:v>41.291712985109</c:v>
                </c:pt>
                <c:pt idx="287">
                  <c:v>40.9740996374455</c:v>
                </c:pt>
                <c:pt idx="288">
                  <c:v>40.6567650332067</c:v>
                </c:pt>
                <c:pt idx="289">
                  <c:v>40.3397128480615</c:v>
                </c:pt>
                <c:pt idx="290">
                  <c:v>40.0229467165146</c:v>
                </c:pt>
                <c:pt idx="291">
                  <c:v>39.7064702319539</c:v>
                </c:pt>
                <c:pt idx="292">
                  <c:v>39.3902869467021</c:v>
                </c:pt>
                <c:pt idx="293">
                  <c:v>39.0744003720724</c:v>
                </c:pt>
                <c:pt idx="294">
                  <c:v>38.7588139784256</c:v>
                </c:pt>
                <c:pt idx="295">
                  <c:v>38.4435311952325</c:v>
                </c:pt>
                <c:pt idx="296">
                  <c:v>38.1285554111375</c:v>
                </c:pt>
                <c:pt idx="297">
                  <c:v>37.8138899740275</c:v>
                </c:pt>
                <c:pt idx="298">
                  <c:v>37.0754194531868</c:v>
                </c:pt>
                <c:pt idx="299">
                  <c:v>35.9135305160751</c:v>
                </c:pt>
                <c:pt idx="300">
                  <c:v>34.7529770113856</c:v>
                </c:pt>
                <c:pt idx="301">
                  <c:v>33.5937847069228</c:v>
                </c:pt>
                <c:pt idx="302">
                  <c:v>32.4359788831891</c:v>
                </c:pt>
                <c:pt idx="303">
                  <c:v>31.2795843341624</c:v>
                </c:pt>
                <c:pt idx="304">
                  <c:v>30.1246253681631</c:v>
                </c:pt>
                <c:pt idx="305">
                  <c:v>28.9711258088078</c:v>
                </c:pt>
                <c:pt idx="306">
                  <c:v>27.8191089960482</c:v>
                </c:pt>
                <c:pt idx="307">
                  <c:v>26.6685977872944</c:v>
                </c:pt>
                <c:pt idx="308">
                  <c:v>25.519614558619</c:v>
                </c:pt>
                <c:pt idx="309">
                  <c:v>24.3721812060425</c:v>
                </c:pt>
                <c:pt idx="310">
                  <c:v>23.2263191468967</c:v>
                </c:pt>
                <c:pt idx="311">
                  <c:v>22.082049321265</c:v>
                </c:pt>
                <c:pt idx="312">
                  <c:v>20.9393921934981</c:v>
                </c:pt>
                <c:pt idx="313">
                  <c:v>19.7983677538031</c:v>
                </c:pt>
                <c:pt idx="314">
                  <c:v>18.6589955199037</c:v>
                </c:pt>
                <c:pt idx="315">
                  <c:v>17.5212945387715</c:v>
                </c:pt>
                <c:pt idx="316">
                  <c:v>16.3852833884247</c:v>
                </c:pt>
                <c:pt idx="317">
                  <c:v>15.2509801797938</c:v>
                </c:pt>
                <c:pt idx="318">
                  <c:v>14.1184025586523</c:v>
                </c:pt>
                <c:pt idx="319">
                  <c:v>12.9875677076106</c:v>
                </c:pt>
                <c:pt idx="320">
                  <c:v>11.8584923481711</c:v>
                </c:pt>
                <c:pt idx="321">
                  <c:v>10.8998786856407</c:v>
                </c:pt>
                <c:pt idx="322">
                  <c:v>10.1114953256634</c:v>
                </c:pt>
                <c:pt idx="323">
                  <c:v>9.32437034087042</c:v>
                </c:pt>
                <c:pt idx="324">
                  <c:v>8.53851031219071</c:v>
                </c:pt>
                <c:pt idx="325">
                  <c:v>7.75392160152908</c:v>
                </c:pt>
                <c:pt idx="326">
                  <c:v>6.97061035306587</c:v>
                </c:pt>
                <c:pt idx="327">
                  <c:v>6.18858249457118</c:v>
                </c:pt>
                <c:pt idx="328">
                  <c:v>5.40784373873326</c:v>
                </c:pt>
                <c:pt idx="329">
                  <c:v>4.62839958450033</c:v>
                </c:pt>
                <c:pt idx="330">
                  <c:v>3.85025531843537</c:v>
                </c:pt>
                <c:pt idx="331">
                  <c:v>3.07341601608331</c:v>
                </c:pt>
                <c:pt idx="332">
                  <c:v>2.2978865433501</c:v>
                </c:pt>
                <c:pt idx="333">
                  <c:v>1.52367155789307</c:v>
                </c:pt>
                <c:pt idx="334">
                  <c:v>0.750775510522214</c:v>
                </c:pt>
                <c:pt idx="335">
                  <c:v>-0.0207973533883773</c:v>
                </c:pt>
                <c:pt idx="336">
                  <c:v>-0.791042992479215</c:v>
                </c:pt>
                <c:pt idx="337">
                  <c:v>-1.55995756797487</c:v>
                </c:pt>
                <c:pt idx="338">
                  <c:v>-2.32753744224465</c:v>
                </c:pt>
                <c:pt idx="339">
                  <c:v>-3.09377917735506</c:v>
                </c:pt>
                <c:pt idx="340">
                  <c:v>-3.85867953361443</c:v>
                </c:pt>
                <c:pt idx="341">
                  <c:v>-4.62223546811033</c:v>
                </c:pt>
                <c:pt idx="342">
                  <c:v>-5.38444413324013</c:v>
                </c:pt>
                <c:pt idx="343">
                  <c:v>-6.14530287523522</c:v>
                </c:pt>
                <c:pt idx="344">
                  <c:v>-6.90480923267949</c:v>
                </c:pt>
                <c:pt idx="345">
                  <c:v>-7.66296093502225</c:v>
                </c:pt>
                <c:pt idx="346">
                  <c:v>-8.41975590108632</c:v>
                </c:pt>
                <c:pt idx="347">
                  <c:v>-9.17519223757167</c:v>
                </c:pt>
                <c:pt idx="348">
                  <c:v>-9.91107608122791</c:v>
                </c:pt>
                <c:pt idx="349">
                  <c:v>-10.6274395965553</c:v>
                </c:pt>
                <c:pt idx="350">
                  <c:v>-11.3425089874993</c:v>
                </c:pt>
                <c:pt idx="351">
                  <c:v>-12.0562835234816</c:v>
                </c:pt>
                <c:pt idx="352">
                  <c:v>-12.7687626358762</c:v>
                </c:pt>
                <c:pt idx="353">
                  <c:v>-13.4799459166346</c:v>
                </c:pt>
                <c:pt idx="354">
                  <c:v>-14.1898331169116</c:v>
                </c:pt>
                <c:pt idx="355">
                  <c:v>-14.8984241456902</c:v>
                </c:pt>
                <c:pt idx="356">
                  <c:v>-15.6057190684067</c:v>
                </c:pt>
                <c:pt idx="357">
                  <c:v>-16.3117181055771</c:v>
                </c:pt>
                <c:pt idx="358">
                  <c:v>-17.0164216314228</c:v>
                </c:pt>
                <c:pt idx="359">
                  <c:v>-17.7198301724992</c:v>
                </c:pt>
                <c:pt idx="360">
                  <c:v>-18.0436022304177</c:v>
                </c:pt>
                <c:pt idx="361">
                  <c:v>-17.9884880381141</c:v>
                </c:pt>
                <c:pt idx="362">
                  <c:v>-17.9335766434586</c:v>
                </c:pt>
                <c:pt idx="363">
                  <c:v>-17.8788670625619</c:v>
                </c:pt>
                <c:pt idx="364">
                  <c:v>-17.824358317568</c:v>
                </c:pt>
                <c:pt idx="365">
                  <c:v>-17.7700494366099</c:v>
                </c:pt>
                <c:pt idx="366">
                  <c:v>-17.715939453765</c:v>
                </c:pt>
                <c:pt idx="367">
                  <c:v>-17.6620274090118</c:v>
                </c:pt>
                <c:pt idx="368">
                  <c:v>-17.6083123481866</c:v>
                </c:pt>
                <c:pt idx="369">
                  <c:v>-17.5547933229401</c:v>
                </c:pt>
                <c:pt idx="370">
                  <c:v>-17.501469390695</c:v>
                </c:pt>
                <c:pt idx="371">
                  <c:v>-17.4483396146042</c:v>
                </c:pt>
                <c:pt idx="372">
                  <c:v>-17.3954030635081</c:v>
                </c:pt>
                <c:pt idx="373">
                  <c:v>-17.3426588118936</c:v>
                </c:pt>
                <c:pt idx="374">
                  <c:v>-17.290105939853</c:v>
                </c:pt>
                <c:pt idx="375">
                  <c:v>-17.2377435330429</c:v>
                </c:pt>
                <c:pt idx="376">
                  <c:v>-17.1855706826437</c:v>
                </c:pt>
                <c:pt idx="377">
                  <c:v>-17.1335864853199</c:v>
                </c:pt>
                <c:pt idx="378">
                  <c:v>-17.0817900431798</c:v>
                </c:pt>
                <c:pt idx="379">
                  <c:v>-17.0301804637364</c:v>
                </c:pt>
                <c:pt idx="380">
                  <c:v>-16.9787568598681</c:v>
                </c:pt>
                <c:pt idx="381">
                  <c:v>-16.92751834978</c:v>
                </c:pt>
                <c:pt idx="382">
                  <c:v>-16.8764640569655</c:v>
                </c:pt>
                <c:pt idx="383">
                  <c:v>-16.825593110168</c:v>
                </c:pt>
                <c:pt idx="384">
                  <c:v>-16.7749046433433</c:v>
                </c:pt>
                <c:pt idx="385">
                  <c:v>-16.724397795622</c:v>
                </c:pt>
                <c:pt idx="386">
                  <c:v>-16.6740717112722</c:v>
                </c:pt>
                <c:pt idx="387">
                  <c:v>-16.6239255396629</c:v>
                </c:pt>
                <c:pt idx="388">
                  <c:v>-16.5739584352272</c:v>
                </c:pt>
                <c:pt idx="389">
                  <c:v>-16.5241695574262</c:v>
                </c:pt>
                <c:pt idx="390">
                  <c:v>-16.4745580707132</c:v>
                </c:pt>
                <c:pt idx="391">
                  <c:v>-16.4251231444976</c:v>
                </c:pt>
                <c:pt idx="392">
                  <c:v>-16.3758639531101</c:v>
                </c:pt>
                <c:pt idx="393">
                  <c:v>-16.3267796757671</c:v>
                </c:pt>
                <c:pt idx="394">
                  <c:v>-16.2778694965364</c:v>
                </c:pt>
                <c:pt idx="395">
                  <c:v>-16.2291326043026</c:v>
                </c:pt>
                <c:pt idx="396">
                  <c:v>-16.1805681927328</c:v>
                </c:pt>
                <c:pt idx="397">
                  <c:v>-16.1321754602427</c:v>
                </c:pt>
                <c:pt idx="398">
                  <c:v>-16.0839536099632</c:v>
                </c:pt>
                <c:pt idx="399">
                  <c:v>-16.0359018497067</c:v>
                </c:pt>
                <c:pt idx="400">
                  <c:v>-15.9880193919346</c:v>
                </c:pt>
                <c:pt idx="401">
                  <c:v>-15.9403054537238</c:v>
                </c:pt>
                <c:pt idx="402">
                  <c:v>-15.4685988794684</c:v>
                </c:pt>
                <c:pt idx="403">
                  <c:v>-15.0132202296099</c:v>
                </c:pt>
                <c:pt idx="404">
                  <c:v>-14.5734346598637</c:v>
                </c:pt>
                <c:pt idx="405">
                  <c:v>-14.1485488510005</c:v>
                </c:pt>
                <c:pt idx="406">
                  <c:v>-13.7379082136827</c:v>
                </c:pt>
                <c:pt idx="407">
                  <c:v>-13.3408943113644</c:v>
                </c:pt>
                <c:pt idx="408">
                  <c:v>-12.9569224819684</c:v>
                </c:pt>
                <c:pt idx="409">
                  <c:v>-12.5854396409559</c:v>
                </c:pt>
                <c:pt idx="410">
                  <c:v>-12.2259222501026</c:v>
                </c:pt>
                <c:pt idx="411">
                  <c:v>-11.8778744378059</c:v>
                </c:pt>
                <c:pt idx="412">
                  <c:v>-11.5408262581041</c:v>
                </c:pt>
                <c:pt idx="413">
                  <c:v>-11.2143320767954</c:v>
                </c:pt>
                <c:pt idx="414">
                  <c:v>-10.8979690741336</c:v>
                </c:pt>
                <c:pt idx="415">
                  <c:v>-10.5913358545453</c:v>
                </c:pt>
                <c:pt idx="416">
                  <c:v>-10.2940511546924</c:v>
                </c:pt>
                <c:pt idx="417">
                  <c:v>-10.0057526419852</c:v>
                </c:pt>
                <c:pt idx="418">
                  <c:v>-9.72609579636221</c:v>
                </c:pt>
                <c:pt idx="419">
                  <c:v>-9.45475286878715</c:v>
                </c:pt>
                <c:pt idx="420">
                  <c:v>-9.19141191049129</c:v>
                </c:pt>
                <c:pt idx="421">
                  <c:v>-8.93577586750739</c:v>
                </c:pt>
                <c:pt idx="422">
                  <c:v>-8.68756173551123</c:v>
                </c:pt>
                <c:pt idx="423">
                  <c:v>-8.44649977041215</c:v>
                </c:pt>
                <c:pt idx="424">
                  <c:v>-8.21233275051869</c:v>
                </c:pt>
                <c:pt idx="425">
                  <c:v>-7.98481528645488</c:v>
                </c:pt>
                <c:pt idx="426">
                  <c:v>-7.76371317531944</c:v>
                </c:pt>
                <c:pt idx="427">
                  <c:v>-7.54880279586836</c:v>
                </c:pt>
                <c:pt idx="428">
                  <c:v>-7.33987054176305</c:v>
                </c:pt>
                <c:pt idx="429">
                  <c:v>-7.13671229016478</c:v>
                </c:pt>
                <c:pt idx="430">
                  <c:v>-6.93913290317327</c:v>
                </c:pt>
                <c:pt idx="431">
                  <c:v>-6.74694575980523</c:v>
                </c:pt>
                <c:pt idx="432">
                  <c:v>-6.5599723163897</c:v>
                </c:pt>
                <c:pt idx="433">
                  <c:v>-6.37804169342179</c:v>
                </c:pt>
                <c:pt idx="434">
                  <c:v>-6.20099028706765</c:v>
                </c:pt>
                <c:pt idx="435">
                  <c:v>-6.0286614036514</c:v>
                </c:pt>
                <c:pt idx="436">
                  <c:v>-5.86090491558128</c:v>
                </c:pt>
                <c:pt idx="437">
                  <c:v>-5.69757693728826</c:v>
                </c:pt>
                <c:pt idx="438">
                  <c:v>-5.53853951985628</c:v>
                </c:pt>
                <c:pt idx="439">
                  <c:v>-5.38366036312134</c:v>
                </c:pt>
                <c:pt idx="440">
                  <c:v>-5.23281254410565</c:v>
                </c:pt>
                <c:pt idx="441">
                  <c:v>-5.08587426073595</c:v>
                </c:pt>
                <c:pt idx="442">
                  <c:v>-4.94272858987039</c:v>
                </c:pt>
                <c:pt idx="443">
                  <c:v>-4.80326325872828</c:v>
                </c:pt>
                <c:pt idx="444">
                  <c:v>-4.6673704288813</c:v>
                </c:pt>
                <c:pt idx="445">
                  <c:v>-4.53494649202367</c:v>
                </c:pt>
                <c:pt idx="446">
                  <c:v>-4.40589187679367</c:v>
                </c:pt>
                <c:pt idx="447">
                  <c:v>-4.28011086596907</c:v>
                </c:pt>
                <c:pt idx="448">
                  <c:v>-4.15751142340558</c:v>
                </c:pt>
                <c:pt idx="449">
                  <c:v>-4.03800503013048</c:v>
                </c:pt>
                <c:pt idx="450">
                  <c:v>-3.92150652904347</c:v>
                </c:pt>
                <c:pt idx="451">
                  <c:v>-3.80793397771317</c:v>
                </c:pt>
                <c:pt idx="452">
                  <c:v>-3.69720850879215</c:v>
                </c:pt>
                <c:pt idx="453">
                  <c:v>-3.5892541976049</c:v>
                </c:pt>
                <c:pt idx="454">
                  <c:v>-3.48399793649198</c:v>
                </c:pt>
                <c:pt idx="455">
                  <c:v>-3.38136931552135</c:v>
                </c:pt>
                <c:pt idx="456">
                  <c:v>-3.28130050920237</c:v>
                </c:pt>
                <c:pt idx="457">
                  <c:v>-3.18372616886204</c:v>
                </c:pt>
                <c:pt idx="458">
                  <c:v>-3.08858332036401</c:v>
                </c:pt>
                <c:pt idx="459">
                  <c:v>-2.99581126687174</c:v>
                </c:pt>
                <c:pt idx="460">
                  <c:v>-2.90535149637556</c:v>
                </c:pt>
                <c:pt idx="461">
                  <c:v>-2.8171475937209</c:v>
                </c:pt>
                <c:pt idx="462">
                  <c:v>-2.7311451568913</c:v>
                </c:pt>
                <c:pt idx="463">
                  <c:v>-2.64729171731497</c:v>
                </c:pt>
                <c:pt idx="464">
                  <c:v>-2.56553666397755</c:v>
                </c:pt>
                <c:pt idx="465">
                  <c:v>-2.48583117113722</c:v>
                </c:pt>
                <c:pt idx="466">
                  <c:v>-2.40812812945019</c:v>
                </c:pt>
                <c:pt idx="467">
                  <c:v>-2.33238208032633</c:v>
                </c:pt>
                <c:pt idx="468">
                  <c:v>-2.25854915334527</c:v>
                </c:pt>
                <c:pt idx="469">
                  <c:v>-2.18658700657321</c:v>
                </c:pt>
                <c:pt idx="470">
                  <c:v>-2.11645476963002</c:v>
                </c:pt>
                <c:pt idx="471">
                  <c:v>-2.04811298936508</c:v>
                </c:pt>
                <c:pt idx="472">
                  <c:v>-1.98152357800801</c:v>
                </c:pt>
                <c:pt idx="473">
                  <c:v>-1.91664976366858</c:v>
                </c:pt>
                <c:pt idx="474">
                  <c:v>-1.85345604306673</c:v>
                </c:pt>
                <c:pt idx="475">
                  <c:v>-1.79190813638046</c:v>
                </c:pt>
                <c:pt idx="476">
                  <c:v>-1.7319729441056</c:v>
                </c:pt>
                <c:pt idx="477">
                  <c:v>-1.6736185058272</c:v>
                </c:pt>
                <c:pt idx="478">
                  <c:v>-1.61681396080755</c:v>
                </c:pt>
                <c:pt idx="479">
                  <c:v>-1.56152951030126</c:v>
                </c:pt>
                <c:pt idx="480">
                  <c:v>-1.50773638151225</c:v>
                </c:pt>
                <c:pt idx="481">
                  <c:v>-1.45540679311192</c:v>
                </c:pt>
                <c:pt idx="482">
                  <c:v>-1.40451392224215</c:v>
                </c:pt>
                <c:pt idx="483">
                  <c:v>-1.35503187293032</c:v>
                </c:pt>
                <c:pt idx="484">
                  <c:v>-1.30693564584723</c:v>
                </c:pt>
                <c:pt idx="485">
                  <c:v>-1.26020110934212</c:v>
                </c:pt>
                <c:pt idx="486">
                  <c:v>-1.2148049716921</c:v>
                </c:pt>
                <c:pt idx="487">
                  <c:v>-1.17072475450591</c:v>
                </c:pt>
                <c:pt idx="488">
                  <c:v>-1.12793876722487</c:v>
                </c:pt>
                <c:pt idx="489">
                  <c:v>-1.08642608266604</c:v>
                </c:pt>
                <c:pt idx="490">
                  <c:v>-1.04616651355479</c:v>
                </c:pt>
                <c:pt idx="491">
                  <c:v>-1.00714058999622</c:v>
                </c:pt>
                <c:pt idx="492">
                  <c:v>-0.969329537836156</c:v>
                </c:pt>
                <c:pt idx="493">
                  <c:v>-0.932715257864618</c:v>
                </c:pt>
                <c:pt idx="494">
                  <c:v>-0.897280305815551</c:v>
                </c:pt>
                <c:pt idx="495">
                  <c:v>-0.863007873118042</c:v>
                </c:pt>
                <c:pt idx="496">
                  <c:v>-0.829881768355182</c:v>
                </c:pt>
                <c:pt idx="497">
                  <c:v>-0.797886399387518</c:v>
                </c:pt>
                <c:pt idx="498">
                  <c:v>-0.767006756098655</c:v>
                </c:pt>
                <c:pt idx="499">
                  <c:v>-0.737228393720969</c:v>
                </c:pt>
                <c:pt idx="500">
                  <c:v>-0.708537416699621</c:v>
                </c:pt>
                <c:pt idx="501">
                  <c:v>-0.680920463053069</c:v>
                </c:pt>
                <c:pt idx="502">
                  <c:v>-0.654364689188129</c:v>
                </c:pt>
                <c:pt idx="503">
                  <c:v>-0.628857755127264</c:v>
                </c:pt>
                <c:pt idx="504">
                  <c:v>-0.6043878101053</c:v>
                </c:pt>
                <c:pt idx="505">
                  <c:v>-0.580943478492046</c:v>
                </c:pt>
                <c:pt idx="506">
                  <c:v>-0.558513845996526</c:v>
                </c:pt>
                <c:pt idx="507">
                  <c:v>-0.537088446107555</c:v>
                </c:pt>
                <c:pt idx="508">
                  <c:v>-0.51665724672446</c:v>
                </c:pt>
                <c:pt idx="509">
                  <c:v>-0.497210636930674</c:v>
                </c:pt>
                <c:pt idx="510">
                  <c:v>-0.478739413861997</c:v>
                </c:pt>
                <c:pt idx="511">
                  <c:v>-0.461234769620447</c:v>
                </c:pt>
                <c:pt idx="512">
                  <c:v>-0.444688278184009</c:v>
                </c:pt>
                <c:pt idx="513">
                  <c:v>-0.429091882262272</c:v>
                </c:pt>
                <c:pt idx="514">
                  <c:v>-0.414437880048126</c:v>
                </c:pt>
                <c:pt idx="515">
                  <c:v>-0.400718911816485</c:v>
                </c:pt>
                <c:pt idx="516">
                  <c:v>-0.387927946322522</c:v>
                </c:pt>
                <c:pt idx="517">
                  <c:v>-0.376058266954492</c:v>
                </c:pt>
                <c:pt idx="518">
                  <c:v>-0.365103457599793</c:v>
                </c:pt>
                <c:pt idx="519">
                  <c:v>-0.355057388187887</c:v>
                </c:pt>
                <c:pt idx="520">
                  <c:v>-0.345914199880032</c:v>
                </c:pt>
                <c:pt idx="521">
                  <c:v>-0.337668289883627</c:v>
                </c:pt>
                <c:pt idx="522">
                  <c:v>-0.33031429587835</c:v>
                </c:pt>
                <c:pt idx="523">
                  <c:v>-0.323847080052119</c:v>
                </c:pt>
                <c:pt idx="524">
                  <c:v>-0.318261712757043</c:v>
                </c:pt>
                <c:pt idx="525">
                  <c:v>-0.313553455808727</c:v>
                </c:pt>
                <c:pt idx="526">
                  <c:v>-0.309717745466112</c:v>
                </c:pt>
                <c:pt idx="527">
                  <c:v>-0.306750175143021</c:v>
                </c:pt>
                <c:pt idx="528">
                  <c:v>-0.304646477916104</c:v>
                </c:pt>
                <c:pt idx="529">
                  <c:v>-0.303402508906383</c:v>
                </c:pt>
                <c:pt idx="530">
                  <c:v>-0.303014227622373</c:v>
                </c:pt>
                <c:pt idx="531">
                  <c:v>-0.303477680361248</c:v>
                </c:pt>
                <c:pt idx="532">
                  <c:v>-0.304788982770275</c:v>
                </c:pt>
                <c:pt idx="533">
                  <c:v>-0.306944302673312</c:v>
                </c:pt>
                <c:pt idx="534">
                  <c:v>-0.309939843266589</c:v>
                </c:pt>
                <c:pt idx="535">
                  <c:v>-0.313771826784066</c:v>
                </c:pt>
                <c:pt idx="536">
                  <c:v>-0.318436478725889</c:v>
                </c:pt>
                <c:pt idx="537">
                  <c:v>-0.323930012734035</c:v>
                </c:pt>
                <c:pt idx="538">
                  <c:v>-0.330248616187877</c:v>
                </c:pt>
                <c:pt idx="539">
                  <c:v>-0.337388436579572</c:v>
                </c:pt>
                <c:pt idx="540">
                  <c:v>-0.345345568715665</c:v>
                </c:pt>
                <c:pt idx="541">
                  <c:v>-0.354116042777637</c:v>
                </c:pt>
                <c:pt idx="542">
                  <c:v>-0.363695813260903</c:v>
                </c:pt>
                <c:pt idx="543">
                  <c:v>-0.374080748799423</c:v>
                </c:pt>
                <c:pt idx="544">
                  <c:v>-0.38526662287195</c:v>
                </c:pt>
                <c:pt idx="545">
                  <c:v>-0.397249105376309</c:v>
                </c:pt>
                <c:pt idx="546">
                  <c:v>-0.410023755049944</c:v>
                </c:pt>
                <c:pt idx="547">
                  <c:v>-0.423586012708461</c:v>
                </c:pt>
                <c:pt idx="548">
                  <c:v>-0.437931195268877</c:v>
                </c:pt>
                <c:pt idx="549">
                  <c:v>-0.453054490520666</c:v>
                </c:pt>
                <c:pt idx="550">
                  <c:v>-0.468950952605367</c:v>
                </c:pt>
                <c:pt idx="551">
                  <c:v>-0.485615498164206</c:v>
                </c:pt>
                <c:pt idx="552">
                  <c:v>-0.503042903112874</c:v>
                </c:pt>
                <c:pt idx="553">
                  <c:v>-0.521227800002932</c:v>
                </c:pt>
                <c:pt idx="554">
                  <c:v>-0.540164675930289</c:v>
                </c:pt>
                <c:pt idx="555">
                  <c:v>-0.559847870952573</c:v>
                </c:pt>
                <c:pt idx="556">
                  <c:v>-0.580271576978901</c:v>
                </c:pt>
                <c:pt idx="557">
                  <c:v>-0.601429837097448</c:v>
                </c:pt>
                <c:pt idx="558">
                  <c:v>-0.623316545308215</c:v>
                </c:pt>
                <c:pt idx="559">
                  <c:v>-0.645925446630471</c:v>
                </c:pt>
                <c:pt idx="560">
                  <c:v>-0.669250137556357</c:v>
                </c:pt>
                <c:pt idx="561">
                  <c:v>-0.693284066824176</c:v>
                </c:pt>
                <c:pt idx="562">
                  <c:v>-0.718020536486794</c:v>
                </c:pt>
                <c:pt idx="563">
                  <c:v>-0.743452703252416</c:v>
                </c:pt>
                <c:pt idx="564">
                  <c:v>-0.769573580076726</c:v>
                </c:pt>
                <c:pt idx="565">
                  <c:v>-0.796376037986961</c:v>
                </c:pt>
                <c:pt idx="566">
                  <c:v>-0.823852808120015</c:v>
                </c:pt>
                <c:pt idx="567">
                  <c:v>-0.851996483957994</c:v>
                </c:pt>
                <c:pt idx="568">
                  <c:v>-0.880799523745935</c:v>
                </c:pt>
                <c:pt idx="569">
                  <c:v>-0.910254253077535</c:v>
                </c:pt>
                <c:pt idx="570">
                  <c:v>-0.940352867635778</c:v>
                </c:pt>
                <c:pt idx="571">
                  <c:v>-0.971087436076298</c:v>
                </c:pt>
                <c:pt idx="572">
                  <c:v>-1.00244990304219</c:v>
                </c:pt>
                <c:pt idx="573">
                  <c:v>-1.03443209229977</c:v>
                </c:pt>
                <c:pt idx="574">
                  <c:v>-1.0670257099854</c:v>
                </c:pt>
                <c:pt idx="575">
                  <c:v>-1.1002223479543</c:v>
                </c:pt>
                <c:pt idx="576">
                  <c:v>-1.13401348722274</c:v>
                </c:pt>
                <c:pt idx="577">
                  <c:v>-1.16839050149539</c:v>
                </c:pt>
                <c:pt idx="578">
                  <c:v>-1.2033446607705</c:v>
                </c:pt>
                <c:pt idx="579">
                  <c:v>-1.23886713501542</c:v>
                </c:pt>
                <c:pt idx="580">
                  <c:v>-1.27494899790599</c:v>
                </c:pt>
                <c:pt idx="581">
                  <c:v>-1.31158123062306</c:v>
                </c:pt>
                <c:pt idx="582">
                  <c:v>-1.3487547257003</c:v>
                </c:pt>
                <c:pt idx="583">
                  <c:v>-1.38646029091727</c:v>
                </c:pt>
                <c:pt idx="584">
                  <c:v>-1.42468865323238</c:v>
                </c:pt>
                <c:pt idx="585">
                  <c:v>-1.46343046275021</c:v>
                </c:pt>
                <c:pt idx="586">
                  <c:v>-1.50267629671836</c:v>
                </c:pt>
                <c:pt idx="587">
                  <c:v>-1.54241666354882</c:v>
                </c:pt>
                <c:pt idx="588">
                  <c:v>-1.58264200685911</c:v>
                </c:pt>
                <c:pt idx="589">
                  <c:v>-1.62334270952894</c:v>
                </c:pt>
                <c:pt idx="590">
                  <c:v>-1.66450909776775</c:v>
                </c:pt>
                <c:pt idx="591">
                  <c:v>-1.70613144518929</c:v>
                </c:pt>
                <c:pt idx="592">
                  <c:v>-1.7481999768889</c:v>
                </c:pt>
                <c:pt idx="593">
                  <c:v>-1.79070487351985</c:v>
                </c:pt>
                <c:pt idx="594">
                  <c:v>-1.8336362753649</c:v>
                </c:pt>
                <c:pt idx="595">
                  <c:v>-1.87698428639945</c:v>
                </c:pt>
                <c:pt idx="596">
                  <c:v>-1.92073897834284</c:v>
                </c:pt>
                <c:pt idx="597">
                  <c:v>-1.96489039469437</c:v>
                </c:pt>
                <c:pt idx="598">
                  <c:v>-2.00942855475083</c:v>
                </c:pt>
                <c:pt idx="599">
                  <c:v>-2.05434345760236</c:v>
                </c:pt>
                <c:pt idx="600">
                  <c:v>-2.09962508610358</c:v>
                </c:pt>
                <c:pt idx="601">
                  <c:v>-2.14526341081712</c:v>
                </c:pt>
                <c:pt idx="602">
                  <c:v>-2.19124839392664</c:v>
                </c:pt>
                <c:pt idx="603">
                  <c:v>-2.23756999311665</c:v>
                </c:pt>
                <c:pt idx="604">
                  <c:v>-2.28421816541649</c:v>
                </c:pt>
                <c:pt idx="605">
                  <c:v>-2.33118287100591</c:v>
                </c:pt>
                <c:pt idx="606">
                  <c:v>-2.37845407697985</c:v>
                </c:pt>
                <c:pt idx="607">
                  <c:v>-2.42602176107</c:v>
                </c:pt>
                <c:pt idx="608">
                  <c:v>-2.47387591532099</c:v>
                </c:pt>
                <c:pt idx="609">
                  <c:v>-2.52200654971894</c:v>
                </c:pt>
                <c:pt idx="610">
                  <c:v>-2.57040369577035</c:v>
                </c:pt>
                <c:pt idx="611">
                  <c:v>-2.61905741002939</c:v>
                </c:pt>
                <c:pt idx="612">
                  <c:v>-2.66795777757163</c:v>
                </c:pt>
                <c:pt idx="613">
                  <c:v>-2.71709491541242</c:v>
                </c:pt>
                <c:pt idx="614">
                  <c:v>-2.76645897586823</c:v>
                </c:pt>
                <c:pt idx="615">
                  <c:v>-2.81604014985938</c:v>
                </c:pt>
                <c:pt idx="616">
                  <c:v>-2.86582867015243</c:v>
                </c:pt>
                <c:pt idx="617">
                  <c:v>-2.91581481454103</c:v>
                </c:pt>
                <c:pt idx="618">
                  <c:v>-2.96598890896366</c:v>
                </c:pt>
                <c:pt idx="619">
                  <c:v>-3.01634133055709</c:v>
                </c:pt>
                <c:pt idx="620">
                  <c:v>-3.06686251064429</c:v>
                </c:pt>
                <c:pt idx="621">
                  <c:v>-3.11754293765571</c:v>
                </c:pt>
                <c:pt idx="622">
                  <c:v>-3.16837315998291</c:v>
                </c:pt>
                <c:pt idx="623">
                  <c:v>-3.21934378876353</c:v>
                </c:pt>
                <c:pt idx="624">
                  <c:v>-3.27044550059675</c:v>
                </c:pt>
                <c:pt idx="625">
                  <c:v>-3.32166904018851</c:v>
                </c:pt>
                <c:pt idx="626">
                  <c:v>-3.37300522292559</c:v>
                </c:pt>
                <c:pt idx="627">
                  <c:v>-3.42444493737814</c:v>
                </c:pt>
                <c:pt idx="628">
                  <c:v>-3.47597914772989</c:v>
                </c:pt>
                <c:pt idx="629">
                  <c:v>-3.52759889613572</c:v>
                </c:pt>
                <c:pt idx="630">
                  <c:v>-3.57929530500595</c:v>
                </c:pt>
                <c:pt idx="631">
                  <c:v>-3.63105957921728</c:v>
                </c:pt>
                <c:pt idx="632">
                  <c:v>-3.68288300824986</c:v>
                </c:pt>
                <c:pt idx="633">
                  <c:v>-3.73475696825042</c:v>
                </c:pt>
                <c:pt idx="634">
                  <c:v>-3.78667292402122</c:v>
                </c:pt>
                <c:pt idx="635">
                  <c:v>-3.83862243093488</c:v>
                </c:pt>
                <c:pt idx="636">
                  <c:v>-3.89059713677494</c:v>
                </c:pt>
                <c:pt idx="637">
                  <c:v>-3.9425887835023</c:v>
                </c:pt>
                <c:pt idx="638">
                  <c:v>-3.99458920894756</c:v>
                </c:pt>
                <c:pt idx="639">
                  <c:v>-4.04659034842958</c:v>
                </c:pt>
                <c:pt idx="640">
                  <c:v>-4.09858423630036</c:v>
                </c:pt>
                <c:pt idx="641">
                  <c:v>-4.15056300741655</c:v>
                </c:pt>
                <c:pt idx="642">
                  <c:v>-4.20251889853804</c:v>
                </c:pt>
                <c:pt idx="643">
                  <c:v>-4.2544442496539</c:v>
                </c:pt>
                <c:pt idx="644">
                  <c:v>-4.3063315052362</c:v>
                </c:pt>
                <c:pt idx="645">
                  <c:v>-4.35817321542222</c:v>
                </c:pt>
                <c:pt idx="646">
                  <c:v>-4.40996203712551</c:v>
                </c:pt>
                <c:pt idx="647">
                  <c:v>-4.46169073507653</c:v>
                </c:pt>
                <c:pt idx="648">
                  <c:v>-4.51335218279342</c:v>
                </c:pt>
                <c:pt idx="649">
                  <c:v>-4.56493936348366</c:v>
                </c:pt>
                <c:pt idx="650">
                  <c:v>-4.61644537087721</c:v>
                </c:pt>
                <c:pt idx="651">
                  <c:v>-4.66786340999213</c:v>
                </c:pt>
                <c:pt idx="652">
                  <c:v>-4.71918679783323</c:v>
                </c:pt>
                <c:pt idx="653">
                  <c:v>-4.77040896402484</c:v>
                </c:pt>
                <c:pt idx="654">
                  <c:v>-4.82152345137838</c:v>
                </c:pt>
                <c:pt idx="655">
                  <c:v>-4.87252391639578</c:v>
                </c:pt>
                <c:pt idx="656">
                  <c:v>-4.92340412970957</c:v>
                </c:pt>
                <c:pt idx="657">
                  <c:v>-4.9741579764608</c:v>
                </c:pt>
                <c:pt idx="658">
                  <c:v>-5.02477945661558</c:v>
                </c:pt>
                <c:pt idx="659">
                  <c:v>-5.07526268522142</c:v>
                </c:pt>
                <c:pt idx="660">
                  <c:v>-5.12560189260435</c:v>
                </c:pt>
                <c:pt idx="661">
                  <c:v>-5.17579142450795</c:v>
                </c:pt>
                <c:pt idx="662">
                  <c:v>-5.22582574217533</c:v>
                </c:pt>
                <c:pt idx="663">
                  <c:v>-5.27569942237524</c:v>
                </c:pt>
                <c:pt idx="664">
                  <c:v>-5.3254071573734</c:v>
                </c:pt>
                <c:pt idx="665">
                  <c:v>-5.37494375485019</c:v>
                </c:pt>
                <c:pt idx="666">
                  <c:v>-5.42430413776596</c:v>
                </c:pt>
                <c:pt idx="667">
                  <c:v>-5.47348334417502</c:v>
                </c:pt>
                <c:pt idx="668">
                  <c:v>-5.52247652698964</c:v>
                </c:pt>
                <c:pt idx="669">
                  <c:v>-5.57127895369508</c:v>
                </c:pt>
                <c:pt idx="670">
                  <c:v>-5.6198860060171</c:v>
                </c:pt>
                <c:pt idx="671">
                  <c:v>-5.66829317954295</c:v>
                </c:pt>
                <c:pt idx="672">
                  <c:v>-5.71649608329722</c:v>
                </c:pt>
                <c:pt idx="673">
                  <c:v>-5.76449043927369</c:v>
                </c:pt>
                <c:pt idx="674">
                  <c:v>-5.81227208192453</c:v>
                </c:pt>
                <c:pt idx="675">
                  <c:v>-5.85983695760792</c:v>
                </c:pt>
                <c:pt idx="676">
                  <c:v>-5.90718112399552</c:v>
                </c:pt>
                <c:pt idx="677">
                  <c:v>-5.95430074944089</c:v>
                </c:pt>
                <c:pt idx="678">
                  <c:v>-6.00119211231016</c:v>
                </c:pt>
                <c:pt idx="679">
                  <c:v>-6.04785160027621</c:v>
                </c:pt>
                <c:pt idx="680">
                  <c:v>-6.09427570957755</c:v>
                </c:pt>
                <c:pt idx="681">
                  <c:v>-6.14046104424311</c:v>
                </c:pt>
                <c:pt idx="682">
                  <c:v>-6.18640431528432</c:v>
                </c:pt>
                <c:pt idx="683">
                  <c:v>-6.23210233985544</c:v>
                </c:pt>
                <c:pt idx="684">
                  <c:v>-6.27755204038359</c:v>
                </c:pt>
                <c:pt idx="685">
                  <c:v>-6.32275044366959</c:v>
                </c:pt>
                <c:pt idx="686">
                  <c:v>-6.36769467996077</c:v>
                </c:pt>
                <c:pt idx="687">
                  <c:v>-6.41238198199698</c:v>
                </c:pt>
                <c:pt idx="688">
                  <c:v>-6.45680968403099</c:v>
                </c:pt>
                <c:pt idx="689">
                  <c:v>-6.50097522082441</c:v>
                </c:pt>
                <c:pt idx="690">
                  <c:v>-6.54487612662028</c:v>
                </c:pt>
                <c:pt idx="691">
                  <c:v>-6.58851003409348</c:v>
                </c:pt>
                <c:pt idx="692">
                  <c:v>-6.63187467328012</c:v>
                </c:pt>
                <c:pt idx="693">
                  <c:v>-6.67496787048693</c:v>
                </c:pt>
                <c:pt idx="694">
                  <c:v>-6.71778754718182</c:v>
                </c:pt>
                <c:pt idx="695">
                  <c:v>-6.76033171886674</c:v>
                </c:pt>
                <c:pt idx="696">
                  <c:v>-6.80259849393369</c:v>
                </c:pt>
                <c:pt idx="697">
                  <c:v>-6.84458607250521</c:v>
                </c:pt>
                <c:pt idx="698">
                  <c:v>-6.88629274526021</c:v>
                </c:pt>
                <c:pt idx="699">
                  <c:v>-6.92771689224613</c:v>
                </c:pt>
                <c:pt idx="700">
                  <c:v>-6.96885698167858</c:v>
                </c:pt>
                <c:pt idx="701">
                  <c:v>-7.00971156872926</c:v>
                </c:pt>
                <c:pt idx="702">
                  <c:v>-7.05027929430327</c:v>
                </c:pt>
                <c:pt idx="703">
                  <c:v>-7.0905588838067</c:v>
                </c:pt>
                <c:pt idx="704">
                  <c:v>-7.13054914590532</c:v>
                </c:pt>
                <c:pt idx="705">
                  <c:v>-7.17024897127548</c:v>
                </c:pt>
                <c:pt idx="706">
                  <c:v>-7.20965733134793</c:v>
                </c:pt>
                <c:pt idx="707">
                  <c:v>-7.24877327704551</c:v>
                </c:pt>
                <c:pt idx="708">
                  <c:v>-7.28759593751554</c:v>
                </c:pt>
                <c:pt idx="709">
                  <c:v>-7.32612451885768</c:v>
                </c:pt>
                <c:pt idx="710">
                  <c:v>-7.36435830284822</c:v>
                </c:pt>
                <c:pt idx="711">
                  <c:v>-7.40229664566142</c:v>
                </c:pt>
                <c:pt idx="712">
                  <c:v>-7.4399389765887</c:v>
                </c:pt>
                <c:pt idx="713">
                  <c:v>-7.47728479675654</c:v>
                </c:pt>
                <c:pt idx="714">
                  <c:v>-7.51433367784371</c:v>
                </c:pt>
                <c:pt idx="715">
                  <c:v>-7.55108526079852</c:v>
                </c:pt>
                <c:pt idx="716">
                  <c:v>-7.58753925455687</c:v>
                </c:pt>
                <c:pt idx="717">
                  <c:v>-7.6236954347617</c:v>
                </c:pt>
                <c:pt idx="718">
                  <c:v>-7.65955364248452</c:v>
                </c:pt>
                <c:pt idx="719">
                  <c:v>-7.69511378294959</c:v>
                </c:pt>
                <c:pt idx="720">
                  <c:v>-7.73037582426144</c:v>
                </c:pt>
                <c:pt idx="721">
                  <c:v>-7.7653397961363</c:v>
                </c:pt>
                <c:pt idx="722">
                  <c:v>-7.80000578863786</c:v>
                </c:pt>
                <c:pt idx="723">
                  <c:v>-7.83437395091823</c:v>
                </c:pt>
                <c:pt idx="724">
                  <c:v>-7.86844448996426</c:v>
                </c:pt>
                <c:pt idx="725">
                  <c:v>-7.86847819645027</c:v>
                </c:pt>
                <c:pt idx="726">
                  <c:v>-7.86851190264217</c:v>
                </c:pt>
                <c:pt idx="727">
                  <c:v>-7.86854560853997</c:v>
                </c:pt>
                <c:pt idx="728">
                  <c:v>-7.86857931414365</c:v>
                </c:pt>
                <c:pt idx="729">
                  <c:v>-7.86861301945323</c:v>
                </c:pt>
                <c:pt idx="730">
                  <c:v>-7.8686467244687</c:v>
                </c:pt>
                <c:pt idx="731">
                  <c:v>-7.86868042919006</c:v>
                </c:pt>
                <c:pt idx="732">
                  <c:v>-7.86871413361732</c:v>
                </c:pt>
                <c:pt idx="733">
                  <c:v>-7.86874783775047</c:v>
                </c:pt>
                <c:pt idx="734">
                  <c:v>-7.86878154158952</c:v>
                </c:pt>
                <c:pt idx="735">
                  <c:v>-7.86881524513446</c:v>
                </c:pt>
                <c:pt idx="736">
                  <c:v>-7.86884894838529</c:v>
                </c:pt>
                <c:pt idx="737">
                  <c:v>-7.86888265134201</c:v>
                </c:pt>
                <c:pt idx="738">
                  <c:v>-7.86891635400464</c:v>
                </c:pt>
                <c:pt idx="739">
                  <c:v>-7.86895005637316</c:v>
                </c:pt>
                <c:pt idx="740">
                  <c:v>-7.86898375844757</c:v>
                </c:pt>
                <c:pt idx="741">
                  <c:v>-7.86901746022788</c:v>
                </c:pt>
                <c:pt idx="742">
                  <c:v>-7.86905116171409</c:v>
                </c:pt>
                <c:pt idx="743">
                  <c:v>-7.86908486290619</c:v>
                </c:pt>
                <c:pt idx="744">
                  <c:v>-7.86911856380419</c:v>
                </c:pt>
                <c:pt idx="745">
                  <c:v>-7.86915226440809</c:v>
                </c:pt>
                <c:pt idx="746">
                  <c:v>-7.86918596471788</c:v>
                </c:pt>
                <c:pt idx="747">
                  <c:v>-7.86921966473358</c:v>
                </c:pt>
                <c:pt idx="748">
                  <c:v>-7.86925336445517</c:v>
                </c:pt>
                <c:pt idx="749">
                  <c:v>-7.86928706388266</c:v>
                </c:pt>
                <c:pt idx="750">
                  <c:v>-7.86932076301604</c:v>
                </c:pt>
                <c:pt idx="751">
                  <c:v>-7.86935446185533</c:v>
                </c:pt>
                <c:pt idx="752">
                  <c:v>-7.86938816040052</c:v>
                </c:pt>
                <c:pt idx="753">
                  <c:v>-7.8694218586516</c:v>
                </c:pt>
                <c:pt idx="754">
                  <c:v>-7.86945555660859</c:v>
                </c:pt>
                <c:pt idx="755">
                  <c:v>-7.86948925427148</c:v>
                </c:pt>
                <c:pt idx="756">
                  <c:v>-7.86952295164026</c:v>
                </c:pt>
                <c:pt idx="757">
                  <c:v>-7.86955664871495</c:v>
                </c:pt>
                <c:pt idx="758">
                  <c:v>-7.86959034549554</c:v>
                </c:pt>
                <c:pt idx="759">
                  <c:v>-7.86962404198203</c:v>
                </c:pt>
                <c:pt idx="760">
                  <c:v>-7.86965773817442</c:v>
                </c:pt>
                <c:pt idx="761">
                  <c:v>-7.86969143407272</c:v>
                </c:pt>
                <c:pt idx="762">
                  <c:v>-7.86972512967691</c:v>
                </c:pt>
                <c:pt idx="763">
                  <c:v>-7.86975882498701</c:v>
                </c:pt>
                <c:pt idx="764">
                  <c:v>-7.86979252000301</c:v>
                </c:pt>
                <c:pt idx="765">
                  <c:v>-7.86982621472492</c:v>
                </c:pt>
                <c:pt idx="766">
                  <c:v>-7.86985990915273</c:v>
                </c:pt>
                <c:pt idx="767">
                  <c:v>-7.86989360328644</c:v>
                </c:pt>
                <c:pt idx="768">
                  <c:v>-7.86992729712606</c:v>
                </c:pt>
                <c:pt idx="769">
                  <c:v>-7.86996099067158</c:v>
                </c:pt>
                <c:pt idx="770">
                  <c:v>-7.86999468392301</c:v>
                </c:pt>
                <c:pt idx="771">
                  <c:v>-7.87002837688034</c:v>
                </c:pt>
                <c:pt idx="772">
                  <c:v>-7.87006206954358</c:v>
                </c:pt>
                <c:pt idx="773">
                  <c:v>-7.87009576191272</c:v>
                </c:pt>
                <c:pt idx="774">
                  <c:v>-7.87012945398777</c:v>
                </c:pt>
                <c:pt idx="775">
                  <c:v>-7.87016314576873</c:v>
                </c:pt>
                <c:pt idx="776">
                  <c:v>-7.87019683725559</c:v>
                </c:pt>
                <c:pt idx="777">
                  <c:v>-7.87023052844836</c:v>
                </c:pt>
                <c:pt idx="778">
                  <c:v>-7.87026421934703</c:v>
                </c:pt>
                <c:pt idx="779">
                  <c:v>-7.87029790995162</c:v>
                </c:pt>
                <c:pt idx="780">
                  <c:v>-7.87033160026211</c:v>
                </c:pt>
                <c:pt idx="781">
                  <c:v>-7.87036529027851</c:v>
                </c:pt>
                <c:pt idx="782">
                  <c:v>-7.87039898000082</c:v>
                </c:pt>
                <c:pt idx="783">
                  <c:v>-7.87043266942904</c:v>
                </c:pt>
                <c:pt idx="784">
                  <c:v>-7.87046635856316</c:v>
                </c:pt>
                <c:pt idx="785">
                  <c:v>-7.8705000474032</c:v>
                </c:pt>
                <c:pt idx="786">
                  <c:v>-7.87053373594914</c:v>
                </c:pt>
                <c:pt idx="787">
                  <c:v>-7.870567424201</c:v>
                </c:pt>
                <c:pt idx="788">
                  <c:v>-7.87060111215877</c:v>
                </c:pt>
                <c:pt idx="789">
                  <c:v>-7.87063479982244</c:v>
                </c:pt>
                <c:pt idx="790">
                  <c:v>-7.87066848719203</c:v>
                </c:pt>
                <c:pt idx="791">
                  <c:v>-7.87070217426752</c:v>
                </c:pt>
                <c:pt idx="792">
                  <c:v>-7.87073586104894</c:v>
                </c:pt>
                <c:pt idx="793">
                  <c:v>-7.87076954753626</c:v>
                </c:pt>
                <c:pt idx="794">
                  <c:v>-7.87080323372949</c:v>
                </c:pt>
                <c:pt idx="795">
                  <c:v>-7.87083691962864</c:v>
                </c:pt>
                <c:pt idx="796">
                  <c:v>-7.8708706052337</c:v>
                </c:pt>
                <c:pt idx="797">
                  <c:v>-7.87090429054467</c:v>
                </c:pt>
                <c:pt idx="798">
                  <c:v>-7.87093797556156</c:v>
                </c:pt>
                <c:pt idx="799">
                  <c:v>-7.87097166028435</c:v>
                </c:pt>
                <c:pt idx="800">
                  <c:v>-7.87100534471307</c:v>
                </c:pt>
                <c:pt idx="801">
                  <c:v>-7.8710390288477</c:v>
                </c:pt>
                <c:pt idx="802">
                  <c:v>-7.87107271268823</c:v>
                </c:pt>
                <c:pt idx="803">
                  <c:v>-7.87110639623469</c:v>
                </c:pt>
                <c:pt idx="804">
                  <c:v>-7.87114007948706</c:v>
                </c:pt>
                <c:pt idx="805">
                  <c:v>-7.87117376244535</c:v>
                </c:pt>
                <c:pt idx="806">
                  <c:v>-7.87120744510955</c:v>
                </c:pt>
                <c:pt idx="807">
                  <c:v>-7.87124112747967</c:v>
                </c:pt>
                <c:pt idx="808">
                  <c:v>-7.87127480955571</c:v>
                </c:pt>
                <c:pt idx="809">
                  <c:v>-7.87130849133766</c:v>
                </c:pt>
                <c:pt idx="810">
                  <c:v>-7.87134217282553</c:v>
                </c:pt>
                <c:pt idx="811">
                  <c:v>-7.87137585401931</c:v>
                </c:pt>
                <c:pt idx="812">
                  <c:v>-7.87140953491902</c:v>
                </c:pt>
                <c:pt idx="813">
                  <c:v>-7.87144321552464</c:v>
                </c:pt>
                <c:pt idx="814">
                  <c:v>-7.87147689583618</c:v>
                </c:pt>
                <c:pt idx="815">
                  <c:v>-7.87151057585364</c:v>
                </c:pt>
                <c:pt idx="816">
                  <c:v>-7.87154425557702</c:v>
                </c:pt>
                <c:pt idx="817">
                  <c:v>-7.87157793500631</c:v>
                </c:pt>
                <c:pt idx="818">
                  <c:v>-7.87161161414153</c:v>
                </c:pt>
                <c:pt idx="819">
                  <c:v>-7.87164529298267</c:v>
                </c:pt>
                <c:pt idx="820">
                  <c:v>-7.87167897152972</c:v>
                </c:pt>
                <c:pt idx="821">
                  <c:v>-7.8717126497827</c:v>
                </c:pt>
                <c:pt idx="822">
                  <c:v>-7.87174632774159</c:v>
                </c:pt>
                <c:pt idx="823">
                  <c:v>-7.87178000540641</c:v>
                </c:pt>
                <c:pt idx="824">
                  <c:v>-7.87181368277715</c:v>
                </c:pt>
                <c:pt idx="825">
                  <c:v>-7.87184735985381</c:v>
                </c:pt>
                <c:pt idx="826">
                  <c:v>-7.8718810366364</c:v>
                </c:pt>
                <c:pt idx="827">
                  <c:v>-7.8719147131249</c:v>
                </c:pt>
                <c:pt idx="828">
                  <c:v>-7.87194838931933</c:v>
                </c:pt>
                <c:pt idx="829">
                  <c:v>-7.87198206521968</c:v>
                </c:pt>
                <c:pt idx="830">
                  <c:v>-7.87201574082595</c:v>
                </c:pt>
                <c:pt idx="831">
                  <c:v>-7.87204941613815</c:v>
                </c:pt>
                <c:pt idx="832">
                  <c:v>-7.87208309115627</c:v>
                </c:pt>
                <c:pt idx="833">
                  <c:v>-7.87211676588031</c:v>
                </c:pt>
                <c:pt idx="834">
                  <c:v>-7.87215044031028</c:v>
                </c:pt>
                <c:pt idx="835">
                  <c:v>-7.87218411444618</c:v>
                </c:pt>
                <c:pt idx="836">
                  <c:v>-7.872217788288</c:v>
                </c:pt>
                <c:pt idx="837">
                  <c:v>-7.87225146183574</c:v>
                </c:pt>
                <c:pt idx="838">
                  <c:v>-7.87228513508941</c:v>
                </c:pt>
                <c:pt idx="839">
                  <c:v>-7.872318808049</c:v>
                </c:pt>
                <c:pt idx="840">
                  <c:v>-7.87235248071453</c:v>
                </c:pt>
                <c:pt idx="841">
                  <c:v>-7.87238615308598</c:v>
                </c:pt>
                <c:pt idx="842">
                  <c:v>-7.87241982516335</c:v>
                </c:pt>
                <c:pt idx="843">
                  <c:v>-7.87245349694665</c:v>
                </c:pt>
                <c:pt idx="844">
                  <c:v>-7.87248716843588</c:v>
                </c:pt>
                <c:pt idx="845">
                  <c:v>-7.87252083963104</c:v>
                </c:pt>
                <c:pt idx="846">
                  <c:v>-7.87255451053213</c:v>
                </c:pt>
                <c:pt idx="847">
                  <c:v>-7.87258818113914</c:v>
                </c:pt>
                <c:pt idx="848">
                  <c:v>-7.87262185145209</c:v>
                </c:pt>
                <c:pt idx="849">
                  <c:v>-7.87265552147096</c:v>
                </c:pt>
                <c:pt idx="850">
                  <c:v>-7.87268919119576</c:v>
                </c:pt>
                <c:pt idx="851">
                  <c:v>-7.87272286062649</c:v>
                </c:pt>
                <c:pt idx="852">
                  <c:v>-7.87275652976315</c:v>
                </c:pt>
                <c:pt idx="853">
                  <c:v>-7.87279019860574</c:v>
                </c:pt>
                <c:pt idx="854">
                  <c:v>-7.87282386715426</c:v>
                </c:pt>
                <c:pt idx="855">
                  <c:v>-7.87285753540872</c:v>
                </c:pt>
                <c:pt idx="856">
                  <c:v>-7.8728912033691</c:v>
                </c:pt>
                <c:pt idx="857">
                  <c:v>-7.87292487103541</c:v>
                </c:pt>
                <c:pt idx="858">
                  <c:v>-7.87295853840765</c:v>
                </c:pt>
                <c:pt idx="859">
                  <c:v>-7.87299220548583</c:v>
                </c:pt>
                <c:pt idx="860">
                  <c:v>-7.87302587226995</c:v>
                </c:pt>
                <c:pt idx="861">
                  <c:v>-7.87305953875999</c:v>
                </c:pt>
                <c:pt idx="862">
                  <c:v>-7.87309320495597</c:v>
                </c:pt>
                <c:pt idx="863">
                  <c:v>-7.87312687085787</c:v>
                </c:pt>
                <c:pt idx="864">
                  <c:v>-7.87316053646572</c:v>
                </c:pt>
                <c:pt idx="865">
                  <c:v>-7.87319420177949</c:v>
                </c:pt>
                <c:pt idx="866">
                  <c:v>-7.8732278667992</c:v>
                </c:pt>
                <c:pt idx="867">
                  <c:v>-7.87326153152485</c:v>
                </c:pt>
                <c:pt idx="868">
                  <c:v>-7.87329519595643</c:v>
                </c:pt>
                <c:pt idx="869">
                  <c:v>-7.87332886009395</c:v>
                </c:pt>
                <c:pt idx="870">
                  <c:v>-7.8733625239374</c:v>
                </c:pt>
                <c:pt idx="871">
                  <c:v>-7.87339618748679</c:v>
                </c:pt>
                <c:pt idx="872">
                  <c:v>-7.87342985074211</c:v>
                </c:pt>
                <c:pt idx="873">
                  <c:v>-7.87346351370337</c:v>
                </c:pt>
                <c:pt idx="874">
                  <c:v>-7.87349717637056</c:v>
                </c:pt>
                <c:pt idx="875">
                  <c:v>-7.8735308387437</c:v>
                </c:pt>
                <c:pt idx="876">
                  <c:v>-7.87356450082277</c:v>
                </c:pt>
                <c:pt idx="877">
                  <c:v>-7.87359816260778</c:v>
                </c:pt>
                <c:pt idx="878">
                  <c:v>-7.87363182409872</c:v>
                </c:pt>
                <c:pt idx="879">
                  <c:v>-7.87366548529561</c:v>
                </c:pt>
                <c:pt idx="880">
                  <c:v>-7.87369914619843</c:v>
                </c:pt>
                <c:pt idx="881">
                  <c:v>-7.87373280680719</c:v>
                </c:pt>
                <c:pt idx="882">
                  <c:v>-7.87376646712189</c:v>
                </c:pt>
                <c:pt idx="883">
                  <c:v>-7.87380012714253</c:v>
                </c:pt>
                <c:pt idx="884">
                  <c:v>-7.87383378686911</c:v>
                </c:pt>
                <c:pt idx="885">
                  <c:v>-7.87386744630163</c:v>
                </c:pt>
                <c:pt idx="886">
                  <c:v>-7.87390110544009</c:v>
                </c:pt>
                <c:pt idx="887">
                  <c:v>-7.87393476428449</c:v>
                </c:pt>
                <c:pt idx="888">
                  <c:v>-7.87396842283483</c:v>
                </c:pt>
                <c:pt idx="889">
                  <c:v>-7.87400208109112</c:v>
                </c:pt>
                <c:pt idx="890">
                  <c:v>-7.87403573905334</c:v>
                </c:pt>
                <c:pt idx="891">
                  <c:v>-7.87406939672151</c:v>
                </c:pt>
                <c:pt idx="892">
                  <c:v>-7.87410305409562</c:v>
                </c:pt>
                <c:pt idx="893">
                  <c:v>-7.87413671117567</c:v>
                </c:pt>
                <c:pt idx="894">
                  <c:v>-7.87417036796167</c:v>
                </c:pt>
                <c:pt idx="895">
                  <c:v>-7.8742040244536</c:v>
                </c:pt>
                <c:pt idx="896">
                  <c:v>-7.87423768065149</c:v>
                </c:pt>
                <c:pt idx="897">
                  <c:v>-7.87427133655531</c:v>
                </c:pt>
                <c:pt idx="898">
                  <c:v>-7.87430499216508</c:v>
                </c:pt>
                <c:pt idx="899">
                  <c:v>-7.8743386474808</c:v>
                </c:pt>
                <c:pt idx="900">
                  <c:v>-7.87437230250246</c:v>
                </c:pt>
                <c:pt idx="901">
                  <c:v>-7.87440595723006</c:v>
                </c:pt>
                <c:pt idx="902">
                  <c:v>-7.87443961166361</c:v>
                </c:pt>
                <c:pt idx="903">
                  <c:v>-7.87447326580311</c:v>
                </c:pt>
                <c:pt idx="904">
                  <c:v>-7.87450691964855</c:v>
                </c:pt>
                <c:pt idx="905">
                  <c:v>-7.87454057319993</c:v>
                </c:pt>
                <c:pt idx="906">
                  <c:v>-7.87457422645727</c:v>
                </c:pt>
                <c:pt idx="907">
                  <c:v>-7.87460787942055</c:v>
                </c:pt>
                <c:pt idx="908">
                  <c:v>-7.87464153208978</c:v>
                </c:pt>
                <c:pt idx="909">
                  <c:v>-7.87467518446495</c:v>
                </c:pt>
                <c:pt idx="910">
                  <c:v>-7.87470883654608</c:v>
                </c:pt>
                <c:pt idx="911">
                  <c:v>-7.87474248833315</c:v>
                </c:pt>
                <c:pt idx="912">
                  <c:v>-7.87477613982617</c:v>
                </c:pt>
                <c:pt idx="913">
                  <c:v>-7.87480979102513</c:v>
                </c:pt>
                <c:pt idx="914">
                  <c:v>-7.87484344193005</c:v>
                </c:pt>
                <c:pt idx="915">
                  <c:v>-7.87487709254092</c:v>
                </c:pt>
                <c:pt idx="916">
                  <c:v>-7.87491074285774</c:v>
                </c:pt>
                <c:pt idx="917">
                  <c:v>-7.8749443928805</c:v>
                </c:pt>
                <c:pt idx="918">
                  <c:v>-7.87497804260922</c:v>
                </c:pt>
                <c:pt idx="919">
                  <c:v>-7.87501169204389</c:v>
                </c:pt>
                <c:pt idx="920">
                  <c:v>-7.87504534118451</c:v>
                </c:pt>
                <c:pt idx="921">
                  <c:v>-7.87507899003108</c:v>
                </c:pt>
                <c:pt idx="922">
                  <c:v>-7.8751126385836</c:v>
                </c:pt>
                <c:pt idx="923">
                  <c:v>-7.87514628684207</c:v>
                </c:pt>
                <c:pt idx="924">
                  <c:v>-7.8751799348065</c:v>
                </c:pt>
                <c:pt idx="925">
                  <c:v>-7.87521358247688</c:v>
                </c:pt>
                <c:pt idx="926">
                  <c:v>-7.87524722985321</c:v>
                </c:pt>
                <c:pt idx="927">
                  <c:v>-7.87528087693549</c:v>
                </c:pt>
                <c:pt idx="928">
                  <c:v>-7.87531452372373</c:v>
                </c:pt>
                <c:pt idx="929">
                  <c:v>-7.87534817021793</c:v>
                </c:pt>
                <c:pt idx="930">
                  <c:v>-7.87538181641807</c:v>
                </c:pt>
                <c:pt idx="931">
                  <c:v>-7.87541546232417</c:v>
                </c:pt>
                <c:pt idx="932">
                  <c:v>-7.87544910793623</c:v>
                </c:pt>
                <c:pt idx="933">
                  <c:v>-7.87548275325424</c:v>
                </c:pt>
                <c:pt idx="934">
                  <c:v>-7.8755163982782</c:v>
                </c:pt>
                <c:pt idx="935">
                  <c:v>-7.87555004300812</c:v>
                </c:pt>
                <c:pt idx="936">
                  <c:v>-7.875583687444</c:v>
                </c:pt>
                <c:pt idx="937">
                  <c:v>-7.87561733158584</c:v>
                </c:pt>
                <c:pt idx="938">
                  <c:v>-7.87565097543363</c:v>
                </c:pt>
                <c:pt idx="939">
                  <c:v>-7.87568461898737</c:v>
                </c:pt>
                <c:pt idx="940">
                  <c:v>-7.87571826224708</c:v>
                </c:pt>
                <c:pt idx="941">
                  <c:v>-7.87575190521274</c:v>
                </c:pt>
                <c:pt idx="942">
                  <c:v>-7.87578554788436</c:v>
                </c:pt>
                <c:pt idx="943">
                  <c:v>-7.87581919026193</c:v>
                </c:pt>
                <c:pt idx="944">
                  <c:v>-7.87585283234547</c:v>
                </c:pt>
                <c:pt idx="945">
                  <c:v>-7.87588647413497</c:v>
                </c:pt>
                <c:pt idx="946">
                  <c:v>-7.87592011563042</c:v>
                </c:pt>
                <c:pt idx="947">
                  <c:v>-7.87595375683183</c:v>
                </c:pt>
                <c:pt idx="948">
                  <c:v>-7.87598739773921</c:v>
                </c:pt>
                <c:pt idx="949">
                  <c:v>-7.87602103835254</c:v>
                </c:pt>
                <c:pt idx="950">
                  <c:v>-7.87605467867183</c:v>
                </c:pt>
                <c:pt idx="951">
                  <c:v>-7.87608831869709</c:v>
                </c:pt>
                <c:pt idx="952">
                  <c:v>-7.8761219584283</c:v>
                </c:pt>
                <c:pt idx="953">
                  <c:v>-7.87615559786548</c:v>
                </c:pt>
                <c:pt idx="954">
                  <c:v>-7.87618923700862</c:v>
                </c:pt>
                <c:pt idx="955">
                  <c:v>-7.87622287585772</c:v>
                </c:pt>
                <c:pt idx="956">
                  <c:v>-7.87625651441278</c:v>
                </c:pt>
                <c:pt idx="957">
                  <c:v>-7.87629015267381</c:v>
                </c:pt>
                <c:pt idx="958">
                  <c:v>-7.87632379064079</c:v>
                </c:pt>
                <c:pt idx="959">
                  <c:v>-7.87635742831374</c:v>
                </c:pt>
                <c:pt idx="960">
                  <c:v>-7.87639106569266</c:v>
                </c:pt>
                <c:pt idx="961">
                  <c:v>-7.87642470277753</c:v>
                </c:pt>
                <c:pt idx="962">
                  <c:v>-7.87645833956837</c:v>
                </c:pt>
                <c:pt idx="963">
                  <c:v>-7.87649197606518</c:v>
                </c:pt>
                <c:pt idx="964">
                  <c:v>-7.87652561226796</c:v>
                </c:pt>
                <c:pt idx="965">
                  <c:v>-7.87655924817669</c:v>
                </c:pt>
                <c:pt idx="966">
                  <c:v>-7.87659288379139</c:v>
                </c:pt>
                <c:pt idx="967">
                  <c:v>-7.87662651911206</c:v>
                </c:pt>
                <c:pt idx="968">
                  <c:v>-7.87666015413869</c:v>
                </c:pt>
                <c:pt idx="969">
                  <c:v>-7.87669378887129</c:v>
                </c:pt>
                <c:pt idx="970">
                  <c:v>-7.87672742330985</c:v>
                </c:pt>
                <c:pt idx="971">
                  <c:v>-7.87676105745439</c:v>
                </c:pt>
                <c:pt idx="972">
                  <c:v>-7.87679469130489</c:v>
                </c:pt>
                <c:pt idx="973">
                  <c:v>-7.87682832486135</c:v>
                </c:pt>
                <c:pt idx="974">
                  <c:v>-7.87686195812379</c:v>
                </c:pt>
                <c:pt idx="975">
                  <c:v>-7.8768955910922</c:v>
                </c:pt>
                <c:pt idx="976">
                  <c:v>-7.87692922376656</c:v>
                </c:pt>
                <c:pt idx="977">
                  <c:v>-7.87696285614691</c:v>
                </c:pt>
                <c:pt idx="978">
                  <c:v>-7.87699648823322</c:v>
                </c:pt>
                <c:pt idx="979">
                  <c:v>-7.8770301200255</c:v>
                </c:pt>
                <c:pt idx="980">
                  <c:v>-7.87706375152375</c:v>
                </c:pt>
                <c:pt idx="981">
                  <c:v>-7.87709738272797</c:v>
                </c:pt>
                <c:pt idx="982">
                  <c:v>-7.87713101363816</c:v>
                </c:pt>
                <c:pt idx="983">
                  <c:v>-7.87716464425432</c:v>
                </c:pt>
                <c:pt idx="984">
                  <c:v>-7.87719827457645</c:v>
                </c:pt>
                <c:pt idx="985">
                  <c:v>-7.87723190460455</c:v>
                </c:pt>
                <c:pt idx="986">
                  <c:v>-7.87726553433863</c:v>
                </c:pt>
                <c:pt idx="987">
                  <c:v>-7.87729916377868</c:v>
                </c:pt>
                <c:pt idx="988">
                  <c:v>-7.87733279292469</c:v>
                </c:pt>
                <c:pt idx="989">
                  <c:v>-7.87736642177669</c:v>
                </c:pt>
                <c:pt idx="990">
                  <c:v>-7.87740005033465</c:v>
                </c:pt>
                <c:pt idx="991">
                  <c:v>-7.87743367859859</c:v>
                </c:pt>
                <c:pt idx="992">
                  <c:v>-7.8774673065685</c:v>
                </c:pt>
                <c:pt idx="993">
                  <c:v>-7.87750093424439</c:v>
                </c:pt>
                <c:pt idx="994">
                  <c:v>-7.87753456162625</c:v>
                </c:pt>
                <c:pt idx="995">
                  <c:v>-7.87756818871408</c:v>
                </c:pt>
                <c:pt idx="996">
                  <c:v>-7.87760181550789</c:v>
                </c:pt>
                <c:pt idx="997">
                  <c:v>-7.87763544200768</c:v>
                </c:pt>
                <c:pt idx="998">
                  <c:v>-7.87766906821343</c:v>
                </c:pt>
                <c:pt idx="999">
                  <c:v>-7.87770269412517</c:v>
                </c:pt>
                <c:pt idx="1000">
                  <c:v>-7.87773631974288</c:v>
                </c:pt>
              </c:numCache>
            </c:numRef>
          </c:yVal>
          <c:smooth val="0"/>
        </c:ser>
        <c:axId val="36945276"/>
        <c:axId val="58264859"/>
      </c:scatterChart>
      <c:valAx>
        <c:axId val="36945276"/>
        <c:scaling>
          <c:orientation val="minMax"/>
        </c:scaling>
        <c:delete val="0"/>
        <c:axPos val="b"/>
        <c:majorGridlines>
          <c:spPr>
            <a:ln w="3240">
              <a:solidFill>
                <a:srgbClr val="000000"/>
              </a:solidFill>
              <a:prstDash val="sysDash"/>
              <a:round/>
            </a:ln>
          </c:spPr>
        </c:majorGridlines>
        <c:title>
          <c:tx>
            <c:rich>
              <a:bodyPr rot="0"/>
              <a:lstStyle/>
              <a:p>
                <a:pPr>
                  <a:defRPr b="1" sz="1000" spc="-1" strike="noStrike">
                    <a:solidFill>
                      <a:srgbClr val="000000"/>
                    </a:solidFill>
                    <a:latin typeface="Arial"/>
                    <a:ea typeface="Arial"/>
                  </a:defRPr>
                </a:pPr>
                <a:r>
                  <a:rPr b="1"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58264859"/>
        <c:crosses val="autoZero"/>
        <c:crossBetween val="midCat"/>
      </c:valAx>
      <c:valAx>
        <c:axId val="58264859"/>
        <c:scaling>
          <c:orientation val="minMax"/>
        </c:scaling>
        <c:delete val="0"/>
        <c:axPos val="l"/>
        <c:majorGridlines>
          <c:spPr>
            <a:ln w="3240">
              <a:solidFill>
                <a:srgbClr val="000000"/>
              </a:solidFill>
              <a:prstDash val="sysDash"/>
              <a:round/>
            </a:ln>
          </c:spPr>
        </c:majorGridlines>
        <c:title>
          <c:tx>
            <c:rich>
              <a:bodyPr rot="-5400000"/>
              <a:lstStyle/>
              <a:p>
                <a:pPr>
                  <a:defRPr b="1" lang="fr-FR" sz="1000" spc="-1" strike="noStrike">
                    <a:solidFill>
                      <a:srgbClr val="000000"/>
                    </a:solidFill>
                    <a:latin typeface="Arial"/>
                    <a:ea typeface="Arial"/>
                  </a:defRPr>
                </a:pPr>
                <a:r>
                  <a:rPr b="1" lang="fr-FR" sz="1000" spc="-1" strike="noStrike">
                    <a:solidFill>
                      <a:srgbClr val="000000"/>
                    </a:solidFill>
                    <a:latin typeface="Arial"/>
                    <a:ea typeface="Arial"/>
                  </a:rPr>
                  <a:t>Accélérations [m/s²]_</a:t>
                </a:r>
              </a:p>
            </c:rich>
          </c:tx>
          <c:layout>
            <c:manualLayout>
              <c:xMode val="edge"/>
              <c:yMode val="edge"/>
              <c:x val="0.027152586712372"/>
              <c:y val="0.29702060637879"/>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36945276"/>
        <c:crosses val="autoZero"/>
        <c:crossBetween val="midCat"/>
      </c:valAx>
      <c:spPr>
        <a:noFill/>
        <a:ln w="12600">
          <a:solidFill>
            <a:srgbClr val="808080"/>
          </a:solidFill>
          <a:round/>
        </a:ln>
      </c:spPr>
    </c:plotArea>
    <c:legend>
      <c:legendPos val="r"/>
      <c:layout>
        <c:manualLayout>
          <c:xMode val="edge"/>
          <c:yMode val="edge"/>
          <c:x val="0.661950180755707"/>
          <c:y val="0.257777777777778"/>
          <c:w val="0.309748675283514"/>
          <c:h val="0.157777777777778"/>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Positions</a:t>
            </a:r>
          </a:p>
        </c:rich>
      </c:tx>
      <c:overlay val="0"/>
      <c:spPr>
        <a:noFill/>
        <a:ln w="0">
          <a:noFill/>
        </a:ln>
      </c:spPr>
    </c:title>
    <c:autoTitleDeleted val="0"/>
    <c:plotArea>
      <c:layout>
        <c:manualLayout>
          <c:layoutTarget val="inner"/>
          <c:xMode val="edge"/>
          <c:yMode val="edge"/>
          <c:x val="0.116729060484417"/>
          <c:y val="0.0947630922693267"/>
          <c:w val="0.864282170402778"/>
          <c:h val="0.738417115106969"/>
        </c:manualLayout>
      </c:layout>
      <c:scatterChart>
        <c:scatterStyle val="line"/>
        <c:varyColors val="0"/>
        <c:ser>
          <c:idx val="0"/>
          <c:order val="0"/>
          <c:tx>
            <c:strRef>
              <c:f>Courbes!$B$144</c:f>
              <c:strCache>
                <c:ptCount val="1"/>
                <c:pt idx="0">
                  <c:v>Portée</c:v>
                </c:pt>
              </c:strCache>
            </c:strRef>
          </c:tx>
          <c:spPr>
            <a:solidFill>
              <a:srgbClr val="800000"/>
            </a:solidFill>
            <a:ln w="25560">
              <a:solidFill>
                <a:srgbClr val="80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34.8000000000002</c:v>
                </c:pt>
                <c:pt idx="709">
                  <c:v>34.9000000000002</c:v>
                </c:pt>
                <c:pt idx="710">
                  <c:v>35.0000000000002</c:v>
                </c:pt>
                <c:pt idx="711">
                  <c:v>35.1000000000002</c:v>
                </c:pt>
                <c:pt idx="712">
                  <c:v>35.2000000000002</c:v>
                </c:pt>
                <c:pt idx="713">
                  <c:v>35.3000000000002</c:v>
                </c:pt>
                <c:pt idx="714">
                  <c:v>35.4000000000002</c:v>
                </c:pt>
                <c:pt idx="715">
                  <c:v>35.5000000000002</c:v>
                </c:pt>
                <c:pt idx="716">
                  <c:v>35.6000000000002</c:v>
                </c:pt>
                <c:pt idx="717">
                  <c:v>35.7000000000002</c:v>
                </c:pt>
                <c:pt idx="718">
                  <c:v>35.8000000000002</c:v>
                </c:pt>
                <c:pt idx="719">
                  <c:v>35.9000000000002</c:v>
                </c:pt>
                <c:pt idx="720">
                  <c:v>36.0000000000002</c:v>
                </c:pt>
                <c:pt idx="721">
                  <c:v>36.1000000000002</c:v>
                </c:pt>
                <c:pt idx="722">
                  <c:v>36.2000000000002</c:v>
                </c:pt>
                <c:pt idx="723">
                  <c:v>36.3000000000002</c:v>
                </c:pt>
                <c:pt idx="724">
                  <c:v>36.3001000000002</c:v>
                </c:pt>
                <c:pt idx="725">
                  <c:v>36.3002000000002</c:v>
                </c:pt>
                <c:pt idx="726">
                  <c:v>36.3003000000002</c:v>
                </c:pt>
                <c:pt idx="727">
                  <c:v>36.3004000000002</c:v>
                </c:pt>
                <c:pt idx="728">
                  <c:v>36.3005000000002</c:v>
                </c:pt>
                <c:pt idx="729">
                  <c:v>36.3006000000002</c:v>
                </c:pt>
                <c:pt idx="730">
                  <c:v>36.3007000000002</c:v>
                </c:pt>
                <c:pt idx="731">
                  <c:v>36.3008000000002</c:v>
                </c:pt>
                <c:pt idx="732">
                  <c:v>36.3009000000002</c:v>
                </c:pt>
                <c:pt idx="733">
                  <c:v>36.3010000000002</c:v>
                </c:pt>
                <c:pt idx="734">
                  <c:v>36.3011000000002</c:v>
                </c:pt>
                <c:pt idx="735">
                  <c:v>36.3012000000002</c:v>
                </c:pt>
                <c:pt idx="736">
                  <c:v>36.3013000000002</c:v>
                </c:pt>
                <c:pt idx="737">
                  <c:v>36.3014000000003</c:v>
                </c:pt>
                <c:pt idx="738">
                  <c:v>36.3015000000003</c:v>
                </c:pt>
                <c:pt idx="739">
                  <c:v>36.3016000000003</c:v>
                </c:pt>
                <c:pt idx="740">
                  <c:v>36.3017000000003</c:v>
                </c:pt>
                <c:pt idx="741">
                  <c:v>36.3018000000003</c:v>
                </c:pt>
                <c:pt idx="742">
                  <c:v>36.3019000000003</c:v>
                </c:pt>
                <c:pt idx="743">
                  <c:v>36.3020000000003</c:v>
                </c:pt>
                <c:pt idx="744">
                  <c:v>36.3021000000003</c:v>
                </c:pt>
                <c:pt idx="745">
                  <c:v>36.3022000000003</c:v>
                </c:pt>
                <c:pt idx="746">
                  <c:v>36.3023000000003</c:v>
                </c:pt>
                <c:pt idx="747">
                  <c:v>36.3024000000003</c:v>
                </c:pt>
                <c:pt idx="748">
                  <c:v>36.3025000000003</c:v>
                </c:pt>
                <c:pt idx="749">
                  <c:v>36.3026000000003</c:v>
                </c:pt>
                <c:pt idx="750">
                  <c:v>36.3027000000003</c:v>
                </c:pt>
                <c:pt idx="751">
                  <c:v>36.3028000000003</c:v>
                </c:pt>
                <c:pt idx="752">
                  <c:v>36.3029000000003</c:v>
                </c:pt>
                <c:pt idx="753">
                  <c:v>36.3030000000003</c:v>
                </c:pt>
                <c:pt idx="754">
                  <c:v>36.3031000000003</c:v>
                </c:pt>
                <c:pt idx="755">
                  <c:v>36.3032000000003</c:v>
                </c:pt>
                <c:pt idx="756">
                  <c:v>36.3033000000003</c:v>
                </c:pt>
                <c:pt idx="757">
                  <c:v>36.3034000000003</c:v>
                </c:pt>
                <c:pt idx="758">
                  <c:v>36.3035000000003</c:v>
                </c:pt>
                <c:pt idx="759">
                  <c:v>36.3036000000003</c:v>
                </c:pt>
                <c:pt idx="760">
                  <c:v>36.3037000000003</c:v>
                </c:pt>
                <c:pt idx="761">
                  <c:v>36.3038000000003</c:v>
                </c:pt>
                <c:pt idx="762">
                  <c:v>36.3039000000003</c:v>
                </c:pt>
                <c:pt idx="763">
                  <c:v>36.3040000000003</c:v>
                </c:pt>
                <c:pt idx="764">
                  <c:v>36.3041000000003</c:v>
                </c:pt>
                <c:pt idx="765">
                  <c:v>36.3042000000003</c:v>
                </c:pt>
                <c:pt idx="766">
                  <c:v>36.3043000000003</c:v>
                </c:pt>
                <c:pt idx="767">
                  <c:v>36.3044000000004</c:v>
                </c:pt>
                <c:pt idx="768">
                  <c:v>36.3045000000004</c:v>
                </c:pt>
                <c:pt idx="769">
                  <c:v>36.3046000000004</c:v>
                </c:pt>
                <c:pt idx="770">
                  <c:v>36.3047000000004</c:v>
                </c:pt>
                <c:pt idx="771">
                  <c:v>36.3048000000004</c:v>
                </c:pt>
                <c:pt idx="772">
                  <c:v>36.3049000000004</c:v>
                </c:pt>
                <c:pt idx="773">
                  <c:v>36.3050000000004</c:v>
                </c:pt>
                <c:pt idx="774">
                  <c:v>36.3051000000004</c:v>
                </c:pt>
                <c:pt idx="775">
                  <c:v>36.3052000000004</c:v>
                </c:pt>
                <c:pt idx="776">
                  <c:v>36.3053000000004</c:v>
                </c:pt>
                <c:pt idx="777">
                  <c:v>36.3054000000004</c:v>
                </c:pt>
                <c:pt idx="778">
                  <c:v>36.3055000000004</c:v>
                </c:pt>
                <c:pt idx="779">
                  <c:v>36.3056000000004</c:v>
                </c:pt>
                <c:pt idx="780">
                  <c:v>36.3057000000004</c:v>
                </c:pt>
                <c:pt idx="781">
                  <c:v>36.3058000000004</c:v>
                </c:pt>
                <c:pt idx="782">
                  <c:v>36.3059000000004</c:v>
                </c:pt>
                <c:pt idx="783">
                  <c:v>36.3060000000004</c:v>
                </c:pt>
                <c:pt idx="784">
                  <c:v>36.3061000000004</c:v>
                </c:pt>
                <c:pt idx="785">
                  <c:v>36.3062000000004</c:v>
                </c:pt>
                <c:pt idx="786">
                  <c:v>36.3063000000004</c:v>
                </c:pt>
                <c:pt idx="787">
                  <c:v>36.3064000000004</c:v>
                </c:pt>
                <c:pt idx="788">
                  <c:v>36.3065000000004</c:v>
                </c:pt>
                <c:pt idx="789">
                  <c:v>36.3066000000004</c:v>
                </c:pt>
                <c:pt idx="790">
                  <c:v>36.3067000000004</c:v>
                </c:pt>
                <c:pt idx="791">
                  <c:v>36.3068000000004</c:v>
                </c:pt>
                <c:pt idx="792">
                  <c:v>36.3069000000004</c:v>
                </c:pt>
                <c:pt idx="793">
                  <c:v>36.3070000000004</c:v>
                </c:pt>
                <c:pt idx="794">
                  <c:v>36.3071000000004</c:v>
                </c:pt>
                <c:pt idx="795">
                  <c:v>36.3072000000004</c:v>
                </c:pt>
                <c:pt idx="796">
                  <c:v>36.3073000000004</c:v>
                </c:pt>
                <c:pt idx="797">
                  <c:v>36.3074000000005</c:v>
                </c:pt>
                <c:pt idx="798">
                  <c:v>36.3075000000005</c:v>
                </c:pt>
                <c:pt idx="799">
                  <c:v>36.3076000000005</c:v>
                </c:pt>
                <c:pt idx="800">
                  <c:v>36.3077000000005</c:v>
                </c:pt>
                <c:pt idx="801">
                  <c:v>36.3078000000005</c:v>
                </c:pt>
                <c:pt idx="802">
                  <c:v>36.3079000000005</c:v>
                </c:pt>
                <c:pt idx="803">
                  <c:v>36.3080000000005</c:v>
                </c:pt>
                <c:pt idx="804">
                  <c:v>36.3081000000005</c:v>
                </c:pt>
                <c:pt idx="805">
                  <c:v>36.3082000000005</c:v>
                </c:pt>
                <c:pt idx="806">
                  <c:v>36.3083000000005</c:v>
                </c:pt>
                <c:pt idx="807">
                  <c:v>36.3084000000005</c:v>
                </c:pt>
                <c:pt idx="808">
                  <c:v>36.3085000000005</c:v>
                </c:pt>
                <c:pt idx="809">
                  <c:v>36.3086000000005</c:v>
                </c:pt>
                <c:pt idx="810">
                  <c:v>36.3087000000005</c:v>
                </c:pt>
                <c:pt idx="811">
                  <c:v>36.3088000000005</c:v>
                </c:pt>
                <c:pt idx="812">
                  <c:v>36.3089000000005</c:v>
                </c:pt>
                <c:pt idx="813">
                  <c:v>36.3090000000005</c:v>
                </c:pt>
                <c:pt idx="814">
                  <c:v>36.3091000000005</c:v>
                </c:pt>
                <c:pt idx="815">
                  <c:v>36.3092000000005</c:v>
                </c:pt>
                <c:pt idx="816">
                  <c:v>36.3093000000005</c:v>
                </c:pt>
                <c:pt idx="817">
                  <c:v>36.3094000000005</c:v>
                </c:pt>
                <c:pt idx="818">
                  <c:v>36.3095000000005</c:v>
                </c:pt>
                <c:pt idx="819">
                  <c:v>36.3096000000005</c:v>
                </c:pt>
                <c:pt idx="820">
                  <c:v>36.3097000000005</c:v>
                </c:pt>
                <c:pt idx="821">
                  <c:v>36.3098000000005</c:v>
                </c:pt>
                <c:pt idx="822">
                  <c:v>36.3099000000005</c:v>
                </c:pt>
                <c:pt idx="823">
                  <c:v>36.3100000000005</c:v>
                </c:pt>
                <c:pt idx="824">
                  <c:v>36.3101000000005</c:v>
                </c:pt>
                <c:pt idx="825">
                  <c:v>36.3102000000005</c:v>
                </c:pt>
                <c:pt idx="826">
                  <c:v>36.3103000000005</c:v>
                </c:pt>
                <c:pt idx="827">
                  <c:v>36.3104000000006</c:v>
                </c:pt>
                <c:pt idx="828">
                  <c:v>36.3105000000006</c:v>
                </c:pt>
                <c:pt idx="829">
                  <c:v>36.3106000000006</c:v>
                </c:pt>
                <c:pt idx="830">
                  <c:v>36.3107000000006</c:v>
                </c:pt>
                <c:pt idx="831">
                  <c:v>36.3108000000006</c:v>
                </c:pt>
                <c:pt idx="832">
                  <c:v>36.3109000000006</c:v>
                </c:pt>
                <c:pt idx="833">
                  <c:v>36.3110000000006</c:v>
                </c:pt>
                <c:pt idx="834">
                  <c:v>36.3111000000006</c:v>
                </c:pt>
                <c:pt idx="835">
                  <c:v>36.3112000000006</c:v>
                </c:pt>
                <c:pt idx="836">
                  <c:v>36.3113000000006</c:v>
                </c:pt>
                <c:pt idx="837">
                  <c:v>36.3114000000006</c:v>
                </c:pt>
                <c:pt idx="838">
                  <c:v>36.3115000000006</c:v>
                </c:pt>
                <c:pt idx="839">
                  <c:v>36.3116000000006</c:v>
                </c:pt>
                <c:pt idx="840">
                  <c:v>36.3117000000006</c:v>
                </c:pt>
                <c:pt idx="841">
                  <c:v>36.3118000000006</c:v>
                </c:pt>
                <c:pt idx="842">
                  <c:v>36.3119000000006</c:v>
                </c:pt>
                <c:pt idx="843">
                  <c:v>36.3120000000006</c:v>
                </c:pt>
                <c:pt idx="844">
                  <c:v>36.3121000000006</c:v>
                </c:pt>
                <c:pt idx="845">
                  <c:v>36.3122000000006</c:v>
                </c:pt>
                <c:pt idx="846">
                  <c:v>36.3123000000006</c:v>
                </c:pt>
                <c:pt idx="847">
                  <c:v>36.3124000000006</c:v>
                </c:pt>
                <c:pt idx="848">
                  <c:v>36.3125000000006</c:v>
                </c:pt>
                <c:pt idx="849">
                  <c:v>36.3126000000006</c:v>
                </c:pt>
                <c:pt idx="850">
                  <c:v>36.3127000000006</c:v>
                </c:pt>
                <c:pt idx="851">
                  <c:v>36.3128000000006</c:v>
                </c:pt>
                <c:pt idx="852">
                  <c:v>36.3129000000006</c:v>
                </c:pt>
                <c:pt idx="853">
                  <c:v>36.3130000000006</c:v>
                </c:pt>
                <c:pt idx="854">
                  <c:v>36.3131000000006</c:v>
                </c:pt>
                <c:pt idx="855">
                  <c:v>36.3132000000006</c:v>
                </c:pt>
                <c:pt idx="856">
                  <c:v>36.3133000000006</c:v>
                </c:pt>
                <c:pt idx="857">
                  <c:v>36.3134000000007</c:v>
                </c:pt>
                <c:pt idx="858">
                  <c:v>36.3135000000007</c:v>
                </c:pt>
                <c:pt idx="859">
                  <c:v>36.3136000000007</c:v>
                </c:pt>
                <c:pt idx="860">
                  <c:v>36.3137000000007</c:v>
                </c:pt>
                <c:pt idx="861">
                  <c:v>36.3138000000007</c:v>
                </c:pt>
                <c:pt idx="862">
                  <c:v>36.3139000000007</c:v>
                </c:pt>
                <c:pt idx="863">
                  <c:v>36.3140000000007</c:v>
                </c:pt>
                <c:pt idx="864">
                  <c:v>36.3141000000007</c:v>
                </c:pt>
                <c:pt idx="865">
                  <c:v>36.3142000000007</c:v>
                </c:pt>
                <c:pt idx="866">
                  <c:v>36.3143000000007</c:v>
                </c:pt>
                <c:pt idx="867">
                  <c:v>36.3144000000007</c:v>
                </c:pt>
                <c:pt idx="868">
                  <c:v>36.3145000000007</c:v>
                </c:pt>
                <c:pt idx="869">
                  <c:v>36.3146000000007</c:v>
                </c:pt>
                <c:pt idx="870">
                  <c:v>36.3147000000007</c:v>
                </c:pt>
                <c:pt idx="871">
                  <c:v>36.3148000000007</c:v>
                </c:pt>
                <c:pt idx="872">
                  <c:v>36.3149000000007</c:v>
                </c:pt>
                <c:pt idx="873">
                  <c:v>36.3150000000007</c:v>
                </c:pt>
                <c:pt idx="874">
                  <c:v>36.3151000000007</c:v>
                </c:pt>
                <c:pt idx="875">
                  <c:v>36.3152000000007</c:v>
                </c:pt>
                <c:pt idx="876">
                  <c:v>36.3153000000007</c:v>
                </c:pt>
                <c:pt idx="877">
                  <c:v>36.3154000000007</c:v>
                </c:pt>
                <c:pt idx="878">
                  <c:v>36.3155000000007</c:v>
                </c:pt>
                <c:pt idx="879">
                  <c:v>36.3156000000007</c:v>
                </c:pt>
                <c:pt idx="880">
                  <c:v>36.3157000000007</c:v>
                </c:pt>
                <c:pt idx="881">
                  <c:v>36.3158000000007</c:v>
                </c:pt>
                <c:pt idx="882">
                  <c:v>36.3159000000007</c:v>
                </c:pt>
                <c:pt idx="883">
                  <c:v>36.3160000000007</c:v>
                </c:pt>
                <c:pt idx="884">
                  <c:v>36.3161000000007</c:v>
                </c:pt>
                <c:pt idx="885">
                  <c:v>36.3162000000007</c:v>
                </c:pt>
                <c:pt idx="886">
                  <c:v>36.3163000000007</c:v>
                </c:pt>
                <c:pt idx="887">
                  <c:v>36.3164000000008</c:v>
                </c:pt>
                <c:pt idx="888">
                  <c:v>36.3165000000008</c:v>
                </c:pt>
                <c:pt idx="889">
                  <c:v>36.3166000000008</c:v>
                </c:pt>
                <c:pt idx="890">
                  <c:v>36.3167000000008</c:v>
                </c:pt>
                <c:pt idx="891">
                  <c:v>36.3168000000008</c:v>
                </c:pt>
                <c:pt idx="892">
                  <c:v>36.3169000000008</c:v>
                </c:pt>
                <c:pt idx="893">
                  <c:v>36.3170000000008</c:v>
                </c:pt>
                <c:pt idx="894">
                  <c:v>36.3171000000008</c:v>
                </c:pt>
                <c:pt idx="895">
                  <c:v>36.3172000000008</c:v>
                </c:pt>
                <c:pt idx="896">
                  <c:v>36.3173000000008</c:v>
                </c:pt>
                <c:pt idx="897">
                  <c:v>36.3174000000008</c:v>
                </c:pt>
                <c:pt idx="898">
                  <c:v>36.3175000000008</c:v>
                </c:pt>
                <c:pt idx="899">
                  <c:v>36.3176000000008</c:v>
                </c:pt>
                <c:pt idx="900">
                  <c:v>36.3177000000008</c:v>
                </c:pt>
                <c:pt idx="901">
                  <c:v>36.3178000000008</c:v>
                </c:pt>
                <c:pt idx="902">
                  <c:v>36.3179000000008</c:v>
                </c:pt>
                <c:pt idx="903">
                  <c:v>36.3180000000008</c:v>
                </c:pt>
                <c:pt idx="904">
                  <c:v>36.3181000000008</c:v>
                </c:pt>
                <c:pt idx="905">
                  <c:v>36.3182000000008</c:v>
                </c:pt>
                <c:pt idx="906">
                  <c:v>36.3183000000008</c:v>
                </c:pt>
                <c:pt idx="907">
                  <c:v>36.3184000000008</c:v>
                </c:pt>
                <c:pt idx="908">
                  <c:v>36.3185000000008</c:v>
                </c:pt>
                <c:pt idx="909">
                  <c:v>36.3186000000008</c:v>
                </c:pt>
                <c:pt idx="910">
                  <c:v>36.3187000000008</c:v>
                </c:pt>
                <c:pt idx="911">
                  <c:v>36.3188000000008</c:v>
                </c:pt>
                <c:pt idx="912">
                  <c:v>36.3189000000008</c:v>
                </c:pt>
                <c:pt idx="913">
                  <c:v>36.3190000000008</c:v>
                </c:pt>
                <c:pt idx="914">
                  <c:v>36.3191000000008</c:v>
                </c:pt>
                <c:pt idx="915">
                  <c:v>36.3192000000008</c:v>
                </c:pt>
                <c:pt idx="916">
                  <c:v>36.3193000000008</c:v>
                </c:pt>
                <c:pt idx="917">
                  <c:v>36.3194000000009</c:v>
                </c:pt>
                <c:pt idx="918">
                  <c:v>36.3195000000009</c:v>
                </c:pt>
                <c:pt idx="919">
                  <c:v>36.3196000000009</c:v>
                </c:pt>
                <c:pt idx="920">
                  <c:v>36.3197000000009</c:v>
                </c:pt>
                <c:pt idx="921">
                  <c:v>36.3198000000009</c:v>
                </c:pt>
                <c:pt idx="922">
                  <c:v>36.3199000000009</c:v>
                </c:pt>
                <c:pt idx="923">
                  <c:v>36.3200000000009</c:v>
                </c:pt>
                <c:pt idx="924">
                  <c:v>36.3201000000009</c:v>
                </c:pt>
                <c:pt idx="925">
                  <c:v>36.3202000000009</c:v>
                </c:pt>
                <c:pt idx="926">
                  <c:v>36.3203000000009</c:v>
                </c:pt>
                <c:pt idx="927">
                  <c:v>36.3204000000009</c:v>
                </c:pt>
                <c:pt idx="928">
                  <c:v>36.3205000000009</c:v>
                </c:pt>
                <c:pt idx="929">
                  <c:v>36.3206000000009</c:v>
                </c:pt>
                <c:pt idx="930">
                  <c:v>36.3207000000009</c:v>
                </c:pt>
                <c:pt idx="931">
                  <c:v>36.3208000000009</c:v>
                </c:pt>
                <c:pt idx="932">
                  <c:v>36.3209000000009</c:v>
                </c:pt>
                <c:pt idx="933">
                  <c:v>36.3210000000009</c:v>
                </c:pt>
                <c:pt idx="934">
                  <c:v>36.3211000000009</c:v>
                </c:pt>
                <c:pt idx="935">
                  <c:v>36.3212000000009</c:v>
                </c:pt>
                <c:pt idx="936">
                  <c:v>36.3213000000009</c:v>
                </c:pt>
                <c:pt idx="937">
                  <c:v>36.3214000000009</c:v>
                </c:pt>
                <c:pt idx="938">
                  <c:v>36.3215000000009</c:v>
                </c:pt>
                <c:pt idx="939">
                  <c:v>36.3216000000009</c:v>
                </c:pt>
                <c:pt idx="940">
                  <c:v>36.3217000000009</c:v>
                </c:pt>
                <c:pt idx="941">
                  <c:v>36.3218000000009</c:v>
                </c:pt>
                <c:pt idx="942">
                  <c:v>36.3219000000009</c:v>
                </c:pt>
                <c:pt idx="943">
                  <c:v>36.3220000000009</c:v>
                </c:pt>
                <c:pt idx="944">
                  <c:v>36.3221000000009</c:v>
                </c:pt>
                <c:pt idx="945">
                  <c:v>36.3222000000009</c:v>
                </c:pt>
                <c:pt idx="946">
                  <c:v>36.3223000000009</c:v>
                </c:pt>
                <c:pt idx="947">
                  <c:v>36.322400000001</c:v>
                </c:pt>
                <c:pt idx="948">
                  <c:v>36.322500000001</c:v>
                </c:pt>
                <c:pt idx="949">
                  <c:v>36.322600000001</c:v>
                </c:pt>
                <c:pt idx="950">
                  <c:v>36.322700000001</c:v>
                </c:pt>
                <c:pt idx="951">
                  <c:v>36.322800000001</c:v>
                </c:pt>
                <c:pt idx="952">
                  <c:v>36.322900000001</c:v>
                </c:pt>
                <c:pt idx="953">
                  <c:v>36.323000000001</c:v>
                </c:pt>
                <c:pt idx="954">
                  <c:v>36.323100000001</c:v>
                </c:pt>
                <c:pt idx="955">
                  <c:v>36.323200000001</c:v>
                </c:pt>
                <c:pt idx="956">
                  <c:v>36.323300000001</c:v>
                </c:pt>
                <c:pt idx="957">
                  <c:v>36.323400000001</c:v>
                </c:pt>
                <c:pt idx="958">
                  <c:v>36.323500000001</c:v>
                </c:pt>
                <c:pt idx="959">
                  <c:v>36.323600000001</c:v>
                </c:pt>
                <c:pt idx="960">
                  <c:v>36.323700000001</c:v>
                </c:pt>
                <c:pt idx="961">
                  <c:v>36.323800000001</c:v>
                </c:pt>
                <c:pt idx="962">
                  <c:v>36.323900000001</c:v>
                </c:pt>
                <c:pt idx="963">
                  <c:v>36.324000000001</c:v>
                </c:pt>
                <c:pt idx="964">
                  <c:v>36.324100000001</c:v>
                </c:pt>
                <c:pt idx="965">
                  <c:v>36.324200000001</c:v>
                </c:pt>
                <c:pt idx="966">
                  <c:v>36.324300000001</c:v>
                </c:pt>
                <c:pt idx="967">
                  <c:v>36.324400000001</c:v>
                </c:pt>
                <c:pt idx="968">
                  <c:v>36.324500000001</c:v>
                </c:pt>
                <c:pt idx="969">
                  <c:v>36.324600000001</c:v>
                </c:pt>
                <c:pt idx="970">
                  <c:v>36.324700000001</c:v>
                </c:pt>
                <c:pt idx="971">
                  <c:v>36.324800000001</c:v>
                </c:pt>
                <c:pt idx="972">
                  <c:v>36.324900000001</c:v>
                </c:pt>
                <c:pt idx="973">
                  <c:v>36.325000000001</c:v>
                </c:pt>
                <c:pt idx="974">
                  <c:v>36.325100000001</c:v>
                </c:pt>
                <c:pt idx="975">
                  <c:v>36.325200000001</c:v>
                </c:pt>
                <c:pt idx="976">
                  <c:v>36.325300000001</c:v>
                </c:pt>
                <c:pt idx="977">
                  <c:v>36.325400000001</c:v>
                </c:pt>
                <c:pt idx="978">
                  <c:v>36.3255000000011</c:v>
                </c:pt>
                <c:pt idx="979">
                  <c:v>36.3256000000011</c:v>
                </c:pt>
                <c:pt idx="980">
                  <c:v>36.3257000000011</c:v>
                </c:pt>
                <c:pt idx="981">
                  <c:v>36.3258000000011</c:v>
                </c:pt>
                <c:pt idx="982">
                  <c:v>36.3259000000011</c:v>
                </c:pt>
                <c:pt idx="983">
                  <c:v>36.3260000000011</c:v>
                </c:pt>
                <c:pt idx="984">
                  <c:v>36.3261000000011</c:v>
                </c:pt>
                <c:pt idx="985">
                  <c:v>36.3262000000011</c:v>
                </c:pt>
                <c:pt idx="986">
                  <c:v>36.3263000000011</c:v>
                </c:pt>
                <c:pt idx="987">
                  <c:v>36.3264000000011</c:v>
                </c:pt>
                <c:pt idx="988">
                  <c:v>36.3265000000011</c:v>
                </c:pt>
                <c:pt idx="989">
                  <c:v>36.3266000000011</c:v>
                </c:pt>
                <c:pt idx="990">
                  <c:v>36.3267000000011</c:v>
                </c:pt>
                <c:pt idx="991">
                  <c:v>36.3268000000011</c:v>
                </c:pt>
                <c:pt idx="992">
                  <c:v>36.3269000000011</c:v>
                </c:pt>
                <c:pt idx="993">
                  <c:v>36.3270000000011</c:v>
                </c:pt>
                <c:pt idx="994">
                  <c:v>36.3271000000011</c:v>
                </c:pt>
                <c:pt idx="995">
                  <c:v>36.3272000000011</c:v>
                </c:pt>
                <c:pt idx="996">
                  <c:v>36.3273000000011</c:v>
                </c:pt>
                <c:pt idx="997">
                  <c:v>36.3274000000011</c:v>
                </c:pt>
                <c:pt idx="998">
                  <c:v>36.3275000000011</c:v>
                </c:pt>
                <c:pt idx="999">
                  <c:v>36.3276000000011</c:v>
                </c:pt>
                <c:pt idx="1000">
                  <c:v>36.3277000000011</c:v>
                </c:pt>
              </c:numCache>
            </c:numRef>
          </c:xVal>
          <c:yVal>
            <c:numRef>
              <c:f>Calculs!$J$4:$J$1004</c:f>
              <c:numCache>
                <c:formatCode>General</c:formatCode>
                <c:ptCount val="1001"/>
                <c:pt idx="0">
                  <c:v>0</c:v>
                </c:pt>
                <c:pt idx="1">
                  <c:v>8.30156361478988E-006</c:v>
                </c:pt>
                <c:pt idx="2">
                  <c:v>0.000217614475849965</c:v>
                </c:pt>
                <c:pt idx="3">
                  <c:v>0.000996863103219984</c:v>
                </c:pt>
                <c:pt idx="4">
                  <c:v>0.00271524568320063</c:v>
                </c:pt>
                <c:pt idx="5">
                  <c:v>0.00574234949463947</c:v>
                </c:pt>
                <c:pt idx="6">
                  <c:v>0.0103547686078428</c:v>
                </c:pt>
                <c:pt idx="7">
                  <c:v>0.0166424784455426</c:v>
                </c:pt>
                <c:pt idx="8">
                  <c:v>0.024602041888126</c:v>
                </c:pt>
                <c:pt idx="9">
                  <c:v>0.0342300014564965</c:v>
                </c:pt>
                <c:pt idx="10">
                  <c:v>0.0455228793833773</c:v>
                </c:pt>
                <c:pt idx="11">
                  <c:v>0.0584771776855138</c:v>
                </c:pt>
                <c:pt idx="12">
                  <c:v>0.073089378236769</c:v>
                </c:pt>
                <c:pt idx="13">
                  <c:v>0.0893559428421045</c:v>
                </c:pt>
                <c:pt idx="14">
                  <c:v>0.107273313312441</c:v>
                </c:pt>
                <c:pt idx="15">
                  <c:v>0.126837911540392</c:v>
                </c:pt>
                <c:pt idx="16">
                  <c:v>0.148046139576862</c:v>
                </c:pt>
                <c:pt idx="17">
                  <c:v>0.170894379708506</c:v>
                </c:pt>
                <c:pt idx="18">
                  <c:v>0.195378994536035</c:v>
                </c:pt>
                <c:pt idx="19">
                  <c:v>0.221496327053377</c:v>
                </c:pt>
                <c:pt idx="20">
                  <c:v>0.249242700727663</c:v>
                </c:pt>
                <c:pt idx="21">
                  <c:v>0.278614419580052</c:v>
                </c:pt>
                <c:pt idx="22">
                  <c:v>0.309607768267376</c:v>
                </c:pt>
                <c:pt idx="23">
                  <c:v>0.342219012164602</c:v>
                </c:pt>
                <c:pt idx="24">
                  <c:v>0.376444397448095</c:v>
                </c:pt>
                <c:pt idx="25">
                  <c:v>0.412280151179696</c:v>
                </c:pt>
                <c:pt idx="26">
                  <c:v>0.449722481391577</c:v>
                </c:pt>
                <c:pt idx="27">
                  <c:v>0.488767577171891</c:v>
                </c:pt>
                <c:pt idx="28">
                  <c:v>0.529411608751195</c:v>
                </c:pt>
                <c:pt idx="29">
                  <c:v>0.571650727589643</c:v>
                </c:pt>
                <c:pt idx="30">
                  <c:v>0.615481066464944</c:v>
                </c:pt>
                <c:pt idx="31">
                  <c:v>0.660898739561065</c:v>
                </c:pt>
                <c:pt idx="32">
                  <c:v>0.70789984255769</c:v>
                </c:pt>
                <c:pt idx="33">
                  <c:v>0.756564375617165</c:v>
                </c:pt>
                <c:pt idx="34">
                  <c:v>0.806975233441316</c:v>
                </c:pt>
                <c:pt idx="35">
                  <c:v>0.859134232680584</c:v>
                </c:pt>
                <c:pt idx="36">
                  <c:v>0.91304303213357</c:v>
                </c:pt>
                <c:pt idx="37">
                  <c:v>0.968703097550777</c:v>
                </c:pt>
                <c:pt idx="38">
                  <c:v>1.02611571102363</c:v>
                </c:pt>
                <c:pt idx="39">
                  <c:v>1.08528197960223</c:v>
                </c:pt>
                <c:pt idx="40">
                  <c:v>1.14620284322594</c:v>
                </c:pt>
                <c:pt idx="41">
                  <c:v>1.20887908203956</c:v>
                </c:pt>
                <c:pt idx="42">
                  <c:v>1.27331132315857</c:v>
                </c:pt>
                <c:pt idx="43">
                  <c:v>1.33950004693881</c:v>
                </c:pt>
                <c:pt idx="44">
                  <c:v>1.40744559279911</c:v>
                </c:pt>
                <c:pt idx="45">
                  <c:v>1.47714816463969</c:v>
                </c:pt>
                <c:pt idx="46">
                  <c:v>1.548607835894</c:v>
                </c:pt>
                <c:pt idx="47">
                  <c:v>1.62182455424745</c:v>
                </c:pt>
                <c:pt idx="48">
                  <c:v>1.69679814605269</c:v>
                </c:pt>
                <c:pt idx="49">
                  <c:v>1.77352832046779</c:v>
                </c:pt>
                <c:pt idx="50">
                  <c:v>1.85201467334113</c:v>
                </c:pt>
                <c:pt idx="51">
                  <c:v>1.93225720846631</c:v>
                </c:pt>
                <c:pt idx="52">
                  <c:v>2.01425686276862</c:v>
                </c:pt>
                <c:pt idx="53">
                  <c:v>2.09801499735053</c:v>
                </c:pt>
                <c:pt idx="54">
                  <c:v>2.18353288403846</c:v>
                </c:pt>
                <c:pt idx="55">
                  <c:v>2.27081170794099</c:v>
                </c:pt>
                <c:pt idx="56">
                  <c:v>2.35985256987081</c:v>
                </c:pt>
                <c:pt idx="57">
                  <c:v>2.45065648864015</c:v>
                </c:pt>
                <c:pt idx="58">
                  <c:v>2.54322440323873</c:v>
                </c:pt>
                <c:pt idx="59">
                  <c:v>2.63755717490247</c:v>
                </c:pt>
                <c:pt idx="60">
                  <c:v>2.73365558908039</c:v>
                </c:pt>
                <c:pt idx="61">
                  <c:v>2.83152035730658</c:v>
                </c:pt>
                <c:pt idx="62">
                  <c:v>2.93115211898356</c:v>
                </c:pt>
                <c:pt idx="63">
                  <c:v>3.03255144308287</c:v>
                </c:pt>
                <c:pt idx="64">
                  <c:v>3.13571882976802</c:v>
                </c:pt>
                <c:pt idx="65">
                  <c:v>3.24065471194493</c:v>
                </c:pt>
                <c:pt idx="66">
                  <c:v>3.34735945674429</c:v>
                </c:pt>
                <c:pt idx="67">
                  <c:v>3.45583336693989</c:v>
                </c:pt>
                <c:pt idx="68">
                  <c:v>3.56607668230703</c:v>
                </c:pt>
                <c:pt idx="69">
                  <c:v>3.67808958092436</c:v>
                </c:pt>
                <c:pt idx="70">
                  <c:v>3.79187218042262</c:v>
                </c:pt>
                <c:pt idx="71">
                  <c:v>3.90742453918325</c:v>
                </c:pt>
                <c:pt idx="72">
                  <c:v>4.02474665748977</c:v>
                </c:pt>
                <c:pt idx="73">
                  <c:v>4.14383847863462</c:v>
                </c:pt>
                <c:pt idx="74">
                  <c:v>4.26469988998389</c:v>
                </c:pt>
                <c:pt idx="75">
                  <c:v>4.38733072400225</c:v>
                </c:pt>
                <c:pt idx="76">
                  <c:v>4.51173075924024</c:v>
                </c:pt>
                <c:pt idx="77">
                  <c:v>4.63789972128595</c:v>
                </c:pt>
                <c:pt idx="78">
                  <c:v>4.76583728368293</c:v>
                </c:pt>
                <c:pt idx="79">
                  <c:v>4.89554306881612</c:v>
                </c:pt>
                <c:pt idx="80">
                  <c:v>5.02701664876743</c:v>
                </c:pt>
                <c:pt idx="81">
                  <c:v>5.16025754614249</c:v>
                </c:pt>
                <c:pt idx="82">
                  <c:v>5.29526523487008</c:v>
                </c:pt>
                <c:pt idx="83">
                  <c:v>5.43203914097554</c:v>
                </c:pt>
                <c:pt idx="84">
                  <c:v>5.5705786433294</c:v>
                </c:pt>
                <c:pt idx="85">
                  <c:v>5.71088307437261</c:v>
                </c:pt>
                <c:pt idx="86">
                  <c:v>5.85295172081921</c:v>
                </c:pt>
                <c:pt idx="87">
                  <c:v>5.99678382433778</c:v>
                </c:pt>
                <c:pt idx="88">
                  <c:v>6.14237858221251</c:v>
                </c:pt>
                <c:pt idx="89">
                  <c:v>6.28973514798487</c:v>
                </c:pt>
                <c:pt idx="90">
                  <c:v>6.43885263207675</c:v>
                </c:pt>
                <c:pt idx="91">
                  <c:v>6.58973010239602</c:v>
                </c:pt>
                <c:pt idx="92">
                  <c:v>6.74236658492513</c:v>
                </c:pt>
                <c:pt idx="93">
                  <c:v>6.89676106429364</c:v>
                </c:pt>
                <c:pt idx="94">
                  <c:v>7.0529124843353</c:v>
                </c:pt>
                <c:pt idx="95">
                  <c:v>7.21081974863045</c:v>
                </c:pt>
                <c:pt idx="96">
                  <c:v>7.37048172103423</c:v>
                </c:pt>
                <c:pt idx="97">
                  <c:v>7.53189722619141</c:v>
                </c:pt>
                <c:pt idx="98">
                  <c:v>7.69506505003815</c:v>
                </c:pt>
                <c:pt idx="99">
                  <c:v>7.85998394029148</c:v>
                </c:pt>
                <c:pt idx="100">
                  <c:v>8.02665260692689</c:v>
                </c:pt>
                <c:pt idx="101">
                  <c:v>8.19506946450929</c:v>
                </c:pt>
                <c:pt idx="102">
                  <c:v>8.36523237338471</c:v>
                </c:pt>
                <c:pt idx="103">
                  <c:v>8.5371388968427</c:v>
                </c:pt>
                <c:pt idx="104">
                  <c:v>8.71078655942932</c:v>
                </c:pt>
                <c:pt idx="105">
                  <c:v>8.88617284743595</c:v>
                </c:pt>
                <c:pt idx="106">
                  <c:v>9.06329520937757</c:v>
                </c:pt>
                <c:pt idx="107">
                  <c:v>9.24215105646099</c:v>
                </c:pt>
                <c:pt idx="108">
                  <c:v>9.42273776304331</c:v>
                </c:pt>
                <c:pt idx="109">
                  <c:v>9.60505266708114</c:v>
                </c:pt>
                <c:pt idx="110">
                  <c:v>9.78909307057078</c:v>
                </c:pt>
                <c:pt idx="111">
                  <c:v>9.97485623997978</c:v>
                </c:pt>
                <c:pt idx="112">
                  <c:v>10.1623394066703</c:v>
                </c:pt>
                <c:pt idx="113">
                  <c:v>10.3515397673141</c:v>
                </c:pt>
                <c:pt idx="114">
                  <c:v>10.5424544843005</c:v>
                </c:pt>
                <c:pt idx="115">
                  <c:v>10.7350806861363</c:v>
                </c:pt>
                <c:pt idx="116">
                  <c:v>10.9294154678385</c:v>
                </c:pt>
                <c:pt idx="117">
                  <c:v>11.1254558913209</c:v>
                </c:pt>
                <c:pt idx="118">
                  <c:v>11.323198985773</c:v>
                </c:pt>
                <c:pt idx="119">
                  <c:v>11.5226417480334</c:v>
                </c:pt>
                <c:pt idx="120">
                  <c:v>11.7237811429561</c:v>
                </c:pt>
                <c:pt idx="121">
                  <c:v>11.9266141037716</c:v>
                </c:pt>
                <c:pt idx="122">
                  <c:v>12.1311375324418</c:v>
                </c:pt>
                <c:pt idx="123">
                  <c:v>12.3373483000096</c:v>
                </c:pt>
                <c:pt idx="124">
                  <c:v>12.5452432469423</c:v>
                </c:pt>
                <c:pt idx="125">
                  <c:v>12.7548191834708</c:v>
                </c:pt>
                <c:pt idx="126">
                  <c:v>12.9660728899235</c:v>
                </c:pt>
                <c:pt idx="127">
                  <c:v>13.1790011170542</c:v>
                </c:pt>
                <c:pt idx="128">
                  <c:v>13.3936005863672</c:v>
                </c:pt>
                <c:pt idx="129">
                  <c:v>13.609867990436</c:v>
                </c:pt>
                <c:pt idx="130">
                  <c:v>13.8277999932185</c:v>
                </c:pt>
                <c:pt idx="131">
                  <c:v>14.0473932303678</c:v>
                </c:pt>
                <c:pt idx="132">
                  <c:v>14.2686443095388</c:v>
                </c:pt>
                <c:pt idx="133">
                  <c:v>14.4915498106901</c:v>
                </c:pt>
                <c:pt idx="134">
                  <c:v>14.7161062863833</c:v>
                </c:pt>
                <c:pt idx="135">
                  <c:v>14.942310262077</c:v>
                </c:pt>
                <c:pt idx="136">
                  <c:v>15.1701582364183</c:v>
                </c:pt>
                <c:pt idx="137">
                  <c:v>15.39964668153</c:v>
                </c:pt>
                <c:pt idx="138">
                  <c:v>15.6307720432944</c:v>
                </c:pt>
                <c:pt idx="139">
                  <c:v>15.8635307416341</c:v>
                </c:pt>
                <c:pt idx="140">
                  <c:v>16.097919170789</c:v>
                </c:pt>
                <c:pt idx="141">
                  <c:v>16.3339336995903</c:v>
                </c:pt>
                <c:pt idx="142">
                  <c:v>16.5715706717316</c:v>
                </c:pt>
                <c:pt idx="143">
                  <c:v>16.8108264060366</c:v>
                </c:pt>
                <c:pt idx="144">
                  <c:v>17.0516971967238</c:v>
                </c:pt>
                <c:pt idx="145">
                  <c:v>17.294179313669</c:v>
                </c:pt>
                <c:pt idx="146">
                  <c:v>17.5382690026642</c:v>
                </c:pt>
                <c:pt idx="147">
                  <c:v>17.7839624856741</c:v>
                </c:pt>
                <c:pt idx="148">
                  <c:v>18.0312559610898</c:v>
                </c:pt>
                <c:pt idx="149">
                  <c:v>18.2801456039805</c:v>
                </c:pt>
                <c:pt idx="150">
                  <c:v>18.5306275663416</c:v>
                </c:pt>
                <c:pt idx="151">
                  <c:v>18.7826980694912</c:v>
                </c:pt>
                <c:pt idx="152">
                  <c:v>19.0363534967229</c:v>
                </c:pt>
                <c:pt idx="153">
                  <c:v>19.2915903016917</c:v>
                </c:pt>
                <c:pt idx="154">
                  <c:v>19.5484049165283</c:v>
                </c:pt>
                <c:pt idx="155">
                  <c:v>19.8067937520616</c:v>
                </c:pt>
                <c:pt idx="156">
                  <c:v>20.0667531980385</c:v>
                </c:pt>
                <c:pt idx="157">
                  <c:v>20.3282796233424</c:v>
                </c:pt>
                <c:pt idx="158">
                  <c:v>20.5913693762085</c:v>
                </c:pt>
                <c:pt idx="159">
                  <c:v>20.8560187844386</c:v>
                </c:pt>
                <c:pt idx="160">
                  <c:v>21.1222241556134</c:v>
                </c:pt>
                <c:pt idx="161">
                  <c:v>21.3899817773028</c:v>
                </c:pt>
                <c:pt idx="162">
                  <c:v>21.6592879172748</c:v>
                </c:pt>
                <c:pt idx="163">
                  <c:v>21.9301388237025</c:v>
                </c:pt>
                <c:pt idx="164">
                  <c:v>22.2025307253692</c:v>
                </c:pt>
                <c:pt idx="165">
                  <c:v>22.4764598318725</c:v>
                </c:pt>
                <c:pt idx="166">
                  <c:v>22.7519223338257</c:v>
                </c:pt>
                <c:pt idx="167">
                  <c:v>23.0289144030588</c:v>
                </c:pt>
                <c:pt idx="168">
                  <c:v>23.3074321928168</c:v>
                </c:pt>
                <c:pt idx="169">
                  <c:v>23.587471837957</c:v>
                </c:pt>
                <c:pt idx="170">
                  <c:v>23.8690294551454</c:v>
                </c:pt>
                <c:pt idx="171">
                  <c:v>24.15210114305</c:v>
                </c:pt>
                <c:pt idx="172">
                  <c:v>24.4366829825342</c:v>
                </c:pt>
                <c:pt idx="173">
                  <c:v>24.7227710368482</c:v>
                </c:pt>
                <c:pt idx="174">
                  <c:v>25.0103613518186</c:v>
                </c:pt>
                <c:pt idx="175">
                  <c:v>25.2994499560371</c:v>
                </c:pt>
                <c:pt idx="176">
                  <c:v>25.5900328610478</c:v>
                </c:pt>
                <c:pt idx="177">
                  <c:v>25.8821060615327</c:v>
                </c:pt>
                <c:pt idx="178">
                  <c:v>26.1756655354969</c:v>
                </c:pt>
                <c:pt idx="179">
                  <c:v>26.470707244451</c:v>
                </c:pt>
                <c:pt idx="180">
                  <c:v>26.7672271335935</c:v>
                </c:pt>
                <c:pt idx="181">
                  <c:v>27.0652211319915</c:v>
                </c:pt>
                <c:pt idx="182">
                  <c:v>27.36468515276</c:v>
                </c:pt>
                <c:pt idx="183">
                  <c:v>27.66561509324</c:v>
                </c:pt>
                <c:pt idx="184">
                  <c:v>27.9680068351757</c:v>
                </c:pt>
                <c:pt idx="185">
                  <c:v>28.2718562448903</c:v>
                </c:pt>
                <c:pt idx="186">
                  <c:v>28.5771591734604</c:v>
                </c:pt>
                <c:pt idx="187">
                  <c:v>28.8839114568895</c:v>
                </c:pt>
                <c:pt idx="188">
                  <c:v>29.1921089162807</c:v>
                </c:pt>
                <c:pt idx="189">
                  <c:v>29.5017473580075</c:v>
                </c:pt>
                <c:pt idx="190">
                  <c:v>29.8128225738837</c:v>
                </c:pt>
                <c:pt idx="191">
                  <c:v>30.1253303413331</c:v>
                </c:pt>
                <c:pt idx="192">
                  <c:v>30.4392664235565</c:v>
                </c:pt>
                <c:pt idx="193">
                  <c:v>30.7546265696992</c:v>
                </c:pt>
                <c:pt idx="194">
                  <c:v>31.0714065150161</c:v>
                </c:pt>
                <c:pt idx="195">
                  <c:v>31.389601981037</c:v>
                </c:pt>
                <c:pt idx="196">
                  <c:v>31.7092086757299</c:v>
                </c:pt>
                <c:pt idx="197">
                  <c:v>32.0302222936633</c:v>
                </c:pt>
                <c:pt idx="198">
                  <c:v>32.3526385161685</c:v>
                </c:pt>
                <c:pt idx="199">
                  <c:v>32.6764530114995</c:v>
                </c:pt>
                <c:pt idx="200">
                  <c:v>33.001661434993</c:v>
                </c:pt>
                <c:pt idx="201">
                  <c:v>33.3282594292267</c:v>
                </c:pt>
                <c:pt idx="202">
                  <c:v>33.6562426241769</c:v>
                </c:pt>
                <c:pt idx="203">
                  <c:v>33.9856066373753</c:v>
                </c:pt>
                <c:pt idx="204">
                  <c:v>34.3163470740645</c:v>
                </c:pt>
                <c:pt idx="205">
                  <c:v>34.6484595273527</c:v>
                </c:pt>
                <c:pt idx="206">
                  <c:v>34.9819395783675</c:v>
                </c:pt>
                <c:pt idx="207">
                  <c:v>35.3167827964085</c:v>
                </c:pt>
                <c:pt idx="208">
                  <c:v>35.6529847390995</c:v>
                </c:pt>
                <c:pt idx="209">
                  <c:v>35.990540952539</c:v>
                </c:pt>
                <c:pt idx="210">
                  <c:v>36.3294469714506</c:v>
                </c:pt>
                <c:pt idx="211">
                  <c:v>36.6696983193319</c:v>
                </c:pt>
                <c:pt idx="212">
                  <c:v>37.0112905086028</c:v>
                </c:pt>
                <c:pt idx="213">
                  <c:v>37.3542190407525</c:v>
                </c:pt>
                <c:pt idx="214">
                  <c:v>37.6984794064862</c:v>
                </c:pt>
                <c:pt idx="215">
                  <c:v>38.0440670858706</c:v>
                </c:pt>
                <c:pt idx="216">
                  <c:v>38.3909775484782</c:v>
                </c:pt>
                <c:pt idx="217">
                  <c:v>38.7392062535314</c:v>
                </c:pt>
                <c:pt idx="218">
                  <c:v>39.0887486500452</c:v>
                </c:pt>
                <c:pt idx="219">
                  <c:v>39.4396001769691</c:v>
                </c:pt>
                <c:pt idx="220">
                  <c:v>39.7917562633285</c:v>
                </c:pt>
                <c:pt idx="221">
                  <c:v>40.1452123283645</c:v>
                </c:pt>
                <c:pt idx="222">
                  <c:v>40.499963781674</c:v>
                </c:pt>
                <c:pt idx="223">
                  <c:v>40.8560060233476</c:v>
                </c:pt>
                <c:pt idx="224">
                  <c:v>41.2133344441077</c:v>
                </c:pt>
                <c:pt idx="225">
                  <c:v>41.5719444254453</c:v>
                </c:pt>
                <c:pt idx="226">
                  <c:v>41.931831339756</c:v>
                </c:pt>
                <c:pt idx="227">
                  <c:v>42.2929905504753</c:v>
                </c:pt>
                <c:pt idx="228">
                  <c:v>42.6554174122128</c:v>
                </c:pt>
                <c:pt idx="229">
                  <c:v>43.0191072708859</c:v>
                </c:pt>
                <c:pt idx="230">
                  <c:v>43.3840554638526</c:v>
                </c:pt>
                <c:pt idx="231">
                  <c:v>43.7502573200432</c:v>
                </c:pt>
                <c:pt idx="232">
                  <c:v>44.1177081600915</c:v>
                </c:pt>
                <c:pt idx="233">
                  <c:v>44.486403296465</c:v>
                </c:pt>
                <c:pt idx="234">
                  <c:v>44.8563380335946</c:v>
                </c:pt>
                <c:pt idx="235">
                  <c:v>45.227507668003</c:v>
                </c:pt>
                <c:pt idx="236">
                  <c:v>45.5999074884327</c:v>
                </c:pt>
                <c:pt idx="237">
                  <c:v>45.9735327759731</c:v>
                </c:pt>
                <c:pt idx="238">
                  <c:v>46.3483788041864</c:v>
                </c:pt>
                <c:pt idx="239">
                  <c:v>46.7244408392337</c:v>
                </c:pt>
                <c:pt idx="240">
                  <c:v>47.1017141399991</c:v>
                </c:pt>
                <c:pt idx="241">
                  <c:v>47.4801939582138</c:v>
                </c:pt>
                <c:pt idx="242">
                  <c:v>47.8598755385794</c:v>
                </c:pt>
                <c:pt idx="243">
                  <c:v>48.2407541188897</c:v>
                </c:pt>
                <c:pt idx="244">
                  <c:v>48.6228249301526</c:v>
                </c:pt>
                <c:pt idx="245">
                  <c:v>49.006083196711</c:v>
                </c:pt>
                <c:pt idx="246">
                  <c:v>49.3905241363621</c:v>
                </c:pt>
                <c:pt idx="247">
                  <c:v>49.7761429604775</c:v>
                </c:pt>
                <c:pt idx="248">
                  <c:v>50.1629348741206</c:v>
                </c:pt>
                <c:pt idx="249">
                  <c:v>50.5508950761651</c:v>
                </c:pt>
                <c:pt idx="250">
                  <c:v>50.9400187594114</c:v>
                </c:pt>
                <c:pt idx="251">
                  <c:v>51.3303006861455</c:v>
                </c:pt>
                <c:pt idx="252">
                  <c:v>51.721734763205</c:v>
                </c:pt>
                <c:pt idx="253">
                  <c:v>52.1143144664265</c:v>
                </c:pt>
                <c:pt idx="254">
                  <c:v>52.5080332656055</c:v>
                </c:pt>
                <c:pt idx="255">
                  <c:v>52.90288462465</c:v>
                </c:pt>
                <c:pt idx="256">
                  <c:v>53.2988620017338</c:v>
                </c:pt>
                <c:pt idx="257">
                  <c:v>53.6959588494482</c:v>
                </c:pt>
                <c:pt idx="258">
                  <c:v>54.0941686149523</c:v>
                </c:pt>
                <c:pt idx="259">
                  <c:v>54.4934847401221</c:v>
                </c:pt>
                <c:pt idx="260">
                  <c:v>54.8939006616991</c:v>
                </c:pt>
                <c:pt idx="261">
                  <c:v>55.2954098114363</c:v>
                </c:pt>
                <c:pt idx="262">
                  <c:v>55.6980056162445</c:v>
                </c:pt>
                <c:pt idx="263">
                  <c:v>56.101681498336</c:v>
                </c:pt>
                <c:pt idx="264">
                  <c:v>56.5064308753686</c:v>
                </c:pt>
                <c:pt idx="265">
                  <c:v>56.9122471605865</c:v>
                </c:pt>
                <c:pt idx="266">
                  <c:v>57.3191237629619</c:v>
                </c:pt>
                <c:pt idx="267">
                  <c:v>57.7270540873342</c:v>
                </c:pt>
                <c:pt idx="268">
                  <c:v>58.1360315345484</c:v>
                </c:pt>
                <c:pt idx="269">
                  <c:v>58.546049501592</c:v>
                </c:pt>
                <c:pt idx="270">
                  <c:v>58.9571013817313</c:v>
                </c:pt>
                <c:pt idx="271">
                  <c:v>59.3691805646461</c:v>
                </c:pt>
                <c:pt idx="272">
                  <c:v>59.7822804365631</c:v>
                </c:pt>
                <c:pt idx="273">
                  <c:v>60.1963943803883</c:v>
                </c:pt>
                <c:pt idx="274">
                  <c:v>60.6115157758386</c:v>
                </c:pt>
                <c:pt idx="275">
                  <c:v>61.0276379995711</c:v>
                </c:pt>
                <c:pt idx="276">
                  <c:v>61.4447544253127</c:v>
                </c:pt>
                <c:pt idx="277">
                  <c:v>61.8628584239873</c:v>
                </c:pt>
                <c:pt idx="278">
                  <c:v>62.2819433638426</c:v>
                </c:pt>
                <c:pt idx="279">
                  <c:v>62.7020026105751</c:v>
                </c:pt>
                <c:pt idx="280">
                  <c:v>63.1230295274547</c:v>
                </c:pt>
                <c:pt idx="281">
                  <c:v>63.5450174754474</c:v>
                </c:pt>
                <c:pt idx="282">
                  <c:v>63.9679598133372</c:v>
                </c:pt>
                <c:pt idx="283">
                  <c:v>64.391849897847</c:v>
                </c:pt>
                <c:pt idx="284">
                  <c:v>64.8166810837579</c:v>
                </c:pt>
                <c:pt idx="285">
                  <c:v>65.2424467240279</c:v>
                </c:pt>
                <c:pt idx="286">
                  <c:v>65.6691401699086</c:v>
                </c:pt>
                <c:pt idx="287">
                  <c:v>66.0967547710621</c:v>
                </c:pt>
                <c:pt idx="288">
                  <c:v>66.5252838756753</c:v>
                </c:pt>
                <c:pt idx="289">
                  <c:v>66.9547208305741</c:v>
                </c:pt>
                <c:pt idx="290">
                  <c:v>67.3850589813357</c:v>
                </c:pt>
                <c:pt idx="291">
                  <c:v>67.8162916724009</c:v>
                </c:pt>
                <c:pt idx="292">
                  <c:v>68.2484122471836</c:v>
                </c:pt>
                <c:pt idx="293">
                  <c:v>68.6814140481809</c:v>
                </c:pt>
                <c:pt idx="294">
                  <c:v>69.1152904170807</c:v>
                </c:pt>
                <c:pt idx="295">
                  <c:v>69.5500346948692</c:v>
                </c:pt>
                <c:pt idx="296">
                  <c:v>69.9856402219367</c:v>
                </c:pt>
                <c:pt idx="297">
                  <c:v>70.4221003381823</c:v>
                </c:pt>
                <c:pt idx="298">
                  <c:v>70.8594036069256</c:v>
                </c:pt>
                <c:pt idx="299">
                  <c:v>71.2975290360916</c:v>
                </c:pt>
                <c:pt idx="300">
                  <c:v>71.7364508565766</c:v>
                </c:pt>
                <c:pt idx="301">
                  <c:v>72.1761433036303</c:v>
                </c:pt>
                <c:pt idx="302">
                  <c:v>72.6165806175325</c:v>
                </c:pt>
                <c:pt idx="303">
                  <c:v>73.0577370442555</c:v>
                </c:pt>
                <c:pt idx="304">
                  <c:v>73.4995868361142</c:v>
                </c:pt>
                <c:pt idx="305">
                  <c:v>73.9421042524026</c:v>
                </c:pt>
                <c:pt idx="306">
                  <c:v>74.3852635600171</c:v>
                </c:pt>
                <c:pt idx="307">
                  <c:v>74.8290390340671</c:v>
                </c:pt>
                <c:pt idx="308">
                  <c:v>75.2734049584721</c:v>
                </c:pt>
                <c:pt idx="309">
                  <c:v>75.7183356265462</c:v>
                </c:pt>
                <c:pt idx="310">
                  <c:v>76.1638053415692</c:v>
                </c:pt>
                <c:pt idx="311">
                  <c:v>76.6097884173451</c:v>
                </c:pt>
                <c:pt idx="312">
                  <c:v>77.0562591787474</c:v>
                </c:pt>
                <c:pt idx="313">
                  <c:v>77.503191962252</c:v>
                </c:pt>
                <c:pt idx="314">
                  <c:v>77.9505611164566</c:v>
                </c:pt>
                <c:pt idx="315">
                  <c:v>78.3983410025876</c:v>
                </c:pt>
                <c:pt idx="316">
                  <c:v>78.8465059949948</c:v>
                </c:pt>
                <c:pt idx="317">
                  <c:v>79.2950304816322</c:v>
                </c:pt>
                <c:pt idx="318">
                  <c:v>79.7438888645274</c:v>
                </c:pt>
                <c:pt idx="319">
                  <c:v>80.1930555602371</c:v>
                </c:pt>
                <c:pt idx="320">
                  <c:v>80.6425050002915</c:v>
                </c:pt>
                <c:pt idx="321">
                  <c:v>81.0922135526592</c:v>
                </c:pt>
                <c:pt idx="322">
                  <c:v>81.5421614431728</c:v>
                </c:pt>
                <c:pt idx="323">
                  <c:v>81.9923308323634</c:v>
                </c:pt>
                <c:pt idx="324">
                  <c:v>82.4427038922098</c:v>
                </c:pt>
                <c:pt idx="325">
                  <c:v>82.8932628063193</c:v>
                </c:pt>
                <c:pt idx="326">
                  <c:v>83.3439897701037</c:v>
                </c:pt>
                <c:pt idx="327">
                  <c:v>83.7948669909476</c:v>
                </c:pt>
                <c:pt idx="328">
                  <c:v>84.2458766883728</c:v>
                </c:pt>
                <c:pt idx="329">
                  <c:v>84.6970010941945</c:v>
                </c:pt>
                <c:pt idx="330">
                  <c:v>85.1482224526732</c:v>
                </c:pt>
                <c:pt idx="331">
                  <c:v>85.5995230206601</c:v>
                </c:pt>
                <c:pt idx="332">
                  <c:v>86.0508850677364</c:v>
                </c:pt>
                <c:pt idx="333">
                  <c:v>86.5022908763471</c:v>
                </c:pt>
                <c:pt idx="334">
                  <c:v>86.9537227419284</c:v>
                </c:pt>
                <c:pt idx="335">
                  <c:v>87.4051629730301</c:v>
                </c:pt>
                <c:pt idx="336">
                  <c:v>87.8565938914315</c:v>
                </c:pt>
                <c:pt idx="337">
                  <c:v>88.3079978322517</c:v>
                </c:pt>
                <c:pt idx="338">
                  <c:v>88.7593571440544</c:v>
                </c:pt>
                <c:pt idx="339">
                  <c:v>89.2106541889464</c:v>
                </c:pt>
                <c:pt idx="340">
                  <c:v>89.6618713426708</c:v>
                </c:pt>
                <c:pt idx="341">
                  <c:v>90.1129909946946</c:v>
                </c:pt>
                <c:pt idx="342">
                  <c:v>90.5639955482906</c:v>
                </c:pt>
                <c:pt idx="343">
                  <c:v>91.0148674206129</c:v>
                </c:pt>
                <c:pt idx="344">
                  <c:v>91.4655890427678</c:v>
                </c:pt>
                <c:pt idx="345">
                  <c:v>91.9161428598787</c:v>
                </c:pt>
                <c:pt idx="346">
                  <c:v>92.3665113311452</c:v>
                </c:pt>
                <c:pt idx="347">
                  <c:v>92.8166769298968</c:v>
                </c:pt>
                <c:pt idx="348">
                  <c:v>93.2666223535513</c:v>
                </c:pt>
                <c:pt idx="349">
                  <c:v>93.7163307334874</c:v>
                </c:pt>
                <c:pt idx="350">
                  <c:v>94.1657854247855</c:v>
                </c:pt>
                <c:pt idx="351">
                  <c:v>94.6149697960391</c:v>
                </c:pt>
                <c:pt idx="352">
                  <c:v>95.0638672293708</c:v>
                </c:pt>
                <c:pt idx="353">
                  <c:v>95.5124611204444</c:v>
                </c:pt>
                <c:pt idx="354">
                  <c:v>95.9607348784708</c:v>
                </c:pt>
                <c:pt idx="355">
                  <c:v>96.4086719262106</c:v>
                </c:pt>
                <c:pt idx="356">
                  <c:v>96.8562556999706</c:v>
                </c:pt>
                <c:pt idx="357">
                  <c:v>97.3034696495957</c:v>
                </c:pt>
                <c:pt idx="358">
                  <c:v>97.7502972384566</c:v>
                </c:pt>
                <c:pt idx="359">
                  <c:v>98.1967219434317</c:v>
                </c:pt>
                <c:pt idx="360">
                  <c:v>98.6427316462815</c:v>
                </c:pt>
                <c:pt idx="361">
                  <c:v>99.0883230228669</c:v>
                </c:pt>
                <c:pt idx="362">
                  <c:v>99.5334971430984</c:v>
                </c:pt>
                <c:pt idx="363">
                  <c:v>99.9782550730609</c:v>
                </c:pt>
                <c:pt idx="364">
                  <c:v>100.422597875033</c:v>
                </c:pt>
                <c:pt idx="365">
                  <c:v>100.866526607504</c:v>
                </c:pt>
                <c:pt idx="366">
                  <c:v>101.310042325196</c:v>
                </c:pt>
                <c:pt idx="367">
                  <c:v>101.753146079077</c:v>
                </c:pt>
                <c:pt idx="368">
                  <c:v>102.195838916384</c:v>
                </c:pt>
                <c:pt idx="369">
                  <c:v>102.638121880637</c:v>
                </c:pt>
                <c:pt idx="370">
                  <c:v>103.079996011662</c:v>
                </c:pt>
                <c:pt idx="371">
                  <c:v>103.521462345604</c:v>
                </c:pt>
                <c:pt idx="372">
                  <c:v>103.962521914947</c:v>
                </c:pt>
                <c:pt idx="373">
                  <c:v>104.403175748531</c:v>
                </c:pt>
                <c:pt idx="374">
                  <c:v>104.843424871572</c:v>
                </c:pt>
                <c:pt idx="375">
                  <c:v>105.283270305677</c:v>
                </c:pt>
                <c:pt idx="376">
                  <c:v>105.722713068859</c:v>
                </c:pt>
                <c:pt idx="377">
                  <c:v>106.161754175561</c:v>
                </c:pt>
                <c:pt idx="378">
                  <c:v>106.600394636669</c:v>
                </c:pt>
                <c:pt idx="379">
                  <c:v>107.038635459526</c:v>
                </c:pt>
                <c:pt idx="380">
                  <c:v>107.476477647957</c:v>
                </c:pt>
                <c:pt idx="381">
                  <c:v>107.913922202279</c:v>
                </c:pt>
                <c:pt idx="382">
                  <c:v>108.350970119319</c:v>
                </c:pt>
                <c:pt idx="383">
                  <c:v>108.787622392433</c:v>
                </c:pt>
                <c:pt idx="384">
                  <c:v>109.223880011522</c:v>
                </c:pt>
                <c:pt idx="385">
                  <c:v>109.659743963047</c:v>
                </c:pt>
                <c:pt idx="386">
                  <c:v>110.095215230045</c:v>
                </c:pt>
                <c:pt idx="387">
                  <c:v>110.530294792148</c:v>
                </c:pt>
                <c:pt idx="388">
                  <c:v>110.964983625596</c:v>
                </c:pt>
                <c:pt idx="389">
                  <c:v>111.399282703256</c:v>
                </c:pt>
                <c:pt idx="390">
                  <c:v>111.833192994636</c:v>
                </c:pt>
                <c:pt idx="391">
                  <c:v>112.266715465902</c:v>
                </c:pt>
                <c:pt idx="392">
                  <c:v>112.69985107989</c:v>
                </c:pt>
                <c:pt idx="393">
                  <c:v>113.132600796131</c:v>
                </c:pt>
                <c:pt idx="394">
                  <c:v>113.564965570854</c:v>
                </c:pt>
                <c:pt idx="395">
                  <c:v>113.996946357013</c:v>
                </c:pt>
                <c:pt idx="396">
                  <c:v>114.428544104294</c:v>
                </c:pt>
                <c:pt idx="397">
                  <c:v>114.859759759137</c:v>
                </c:pt>
                <c:pt idx="398">
                  <c:v>115.290594264745</c:v>
                </c:pt>
                <c:pt idx="399">
                  <c:v>115.721048561104</c:v>
                </c:pt>
                <c:pt idx="400">
                  <c:v>116.151123584996</c:v>
                </c:pt>
                <c:pt idx="401">
                  <c:v>120.43108615586</c:v>
                </c:pt>
                <c:pt idx="402">
                  <c:v>124.673722828817</c:v>
                </c:pt>
                <c:pt idx="403">
                  <c:v>128.879940956821</c:v>
                </c:pt>
                <c:pt idx="404">
                  <c:v>133.05061774256</c:v>
                </c:pt>
                <c:pt idx="405">
                  <c:v>137.186601602068</c:v>
                </c:pt>
                <c:pt idx="406">
                  <c:v>141.288713451821</c:v>
                </c:pt>
                <c:pt idx="407">
                  <c:v>145.357747924443</c:v>
                </c:pt>
                <c:pt idx="408">
                  <c:v>149.394474517759</c:v>
                </c:pt>
                <c:pt idx="409">
                  <c:v>153.399638681535</c:v>
                </c:pt>
                <c:pt idx="410">
                  <c:v>157.373962845959</c:v>
                </c:pt>
                <c:pt idx="411">
                  <c:v>161.318147395583</c:v>
                </c:pt>
                <c:pt idx="412">
                  <c:v>165.232871592175</c:v>
                </c:pt>
                <c:pt idx="413">
                  <c:v>169.118794449688</c:v>
                </c:pt>
                <c:pt idx="414">
                  <c:v>172.97655556431</c:v>
                </c:pt>
                <c:pt idx="415">
                  <c:v>176.806775902338</c:v>
                </c:pt>
                <c:pt idx="416">
                  <c:v>180.610058548456</c:v>
                </c:pt>
                <c:pt idx="417">
                  <c:v>184.386989416769</c:v>
                </c:pt>
                <c:pt idx="418">
                  <c:v>188.138137926819</c:v>
                </c:pt>
                <c:pt idx="419">
                  <c:v>191.864057646643</c:v>
                </c:pt>
                <c:pt idx="420">
                  <c:v>195.56528690478</c:v>
                </c:pt>
                <c:pt idx="421">
                  <c:v>199.242349373027</c:v>
                </c:pt>
                <c:pt idx="422">
                  <c:v>202.895754621604</c:v>
                </c:pt>
                <c:pt idx="423">
                  <c:v>206.525998648293</c:v>
                </c:pt>
                <c:pt idx="424">
                  <c:v>210.133564382998</c:v>
                </c:pt>
                <c:pt idx="425">
                  <c:v>213.718922169092</c:v>
                </c:pt>
                <c:pt idx="426">
                  <c:v>217.282530222825</c:v>
                </c:pt>
                <c:pt idx="427">
                  <c:v>220.824835071978</c:v>
                </c:pt>
                <c:pt idx="428">
                  <c:v>224.346271974882</c:v>
                </c:pt>
                <c:pt idx="429">
                  <c:v>227.847265320852</c:v>
                </c:pt>
                <c:pt idx="430">
                  <c:v>231.328229013003</c:v>
                </c:pt>
                <c:pt idx="431">
                  <c:v>234.789566834388</c:v>
                </c:pt>
                <c:pt idx="432">
                  <c:v>238.2316727983</c:v>
                </c:pt>
                <c:pt idx="433">
                  <c:v>241.65493148356</c:v>
                </c:pt>
                <c:pt idx="434">
                  <c:v>245.05971835556</c:v>
                </c:pt>
                <c:pt idx="435">
                  <c:v>248.446400073758</c:v>
                </c:pt>
                <c:pt idx="436">
                  <c:v>251.815334786317</c:v>
                </c:pt>
                <c:pt idx="437">
                  <c:v>255.166872412512</c:v>
                </c:pt>
                <c:pt idx="438">
                  <c:v>258.501354913506</c:v>
                </c:pt>
                <c:pt idx="439">
                  <c:v>261.819116552054</c:v>
                </c:pt>
                <c:pt idx="440">
                  <c:v>265.120484141669</c:v>
                </c:pt>
                <c:pt idx="441">
                  <c:v>268.405777285748</c:v>
                </c:pt>
                <c:pt idx="442">
                  <c:v>271.675308607123</c:v>
                </c:pt>
                <c:pt idx="443">
                  <c:v>274.929383968491</c:v>
                </c:pt>
                <c:pt idx="444">
                  <c:v>278.168302684136</c:v>
                </c:pt>
                <c:pt idx="445">
                  <c:v>281.392357723334</c:v>
                </c:pt>
                <c:pt idx="446">
                  <c:v>284.60183590583</c:v>
                </c:pt>
                <c:pt idx="447">
                  <c:v>287.79701808972</c:v>
                </c:pt>
                <c:pt idx="448">
                  <c:v>290.978179352083</c:v>
                </c:pt>
                <c:pt idx="449">
                  <c:v>294.145589162675</c:v>
                </c:pt>
                <c:pt idx="450">
                  <c:v>297.299511550981</c:v>
                </c:pt>
                <c:pt idx="451">
                  <c:v>300.440205266902</c:v>
                </c:pt>
                <c:pt idx="452">
                  <c:v>303.567923935356</c:v>
                </c:pt>
                <c:pt idx="453">
                  <c:v>306.682916205014</c:v>
                </c:pt>
                <c:pt idx="454">
                  <c:v>309.78542589145</c:v>
                </c:pt>
                <c:pt idx="455">
                  <c:v>312.875692114879</c:v>
                </c:pt>
                <c:pt idx="456">
                  <c:v>315.953949432739</c:v>
                </c:pt>
                <c:pt idx="457">
                  <c:v>319.020427967281</c:v>
                </c:pt>
                <c:pt idx="458">
                  <c:v>322.075353528375</c:v>
                </c:pt>
                <c:pt idx="459">
                  <c:v>325.118947731699</c:v>
                </c:pt>
                <c:pt idx="460">
                  <c:v>328.151428112475</c:v>
                </c:pt>
                <c:pt idx="461">
                  <c:v>331.173008234924</c:v>
                </c:pt>
                <c:pt idx="462">
                  <c:v>334.183897797556</c:v>
                </c:pt>
                <c:pt idx="463">
                  <c:v>337.18430273447</c:v>
                </c:pt>
                <c:pt idx="464">
                  <c:v>340.174425312756</c:v>
                </c:pt>
                <c:pt idx="465">
                  <c:v>343.154464226148</c:v>
                </c:pt>
                <c:pt idx="466">
                  <c:v>346.124614685021</c:v>
                </c:pt>
                <c:pt idx="467">
                  <c:v>349.085068502844</c:v>
                </c:pt>
                <c:pt idx="468">
                  <c:v>352.036014179179</c:v>
                </c:pt>
                <c:pt idx="469">
                  <c:v>354.977636979327</c:v>
                </c:pt>
                <c:pt idx="470">
                  <c:v>357.910119010677</c:v>
                </c:pt>
                <c:pt idx="471">
                  <c:v>360.833639295863</c:v>
                </c:pt>
                <c:pt idx="472">
                  <c:v>363.748373842763</c:v>
                </c:pt>
                <c:pt idx="473">
                  <c:v>366.654495711422</c:v>
                </c:pt>
                <c:pt idx="474">
                  <c:v>369.552175077939</c:v>
                </c:pt>
                <c:pt idx="475">
                  <c:v>372.441579295365</c:v>
                </c:pt>
                <c:pt idx="476">
                  <c:v>375.322872951645</c:v>
                </c:pt>
                <c:pt idx="477">
                  <c:v>378.196217924641</c:v>
                </c:pt>
                <c:pt idx="478">
                  <c:v>381.061773434251</c:v>
                </c:pt>
                <c:pt idx="479">
                  <c:v>383.919696091643</c:v>
                </c:pt>
                <c:pt idx="480">
                  <c:v>386.770139945606</c:v>
                </c:pt>
                <c:pt idx="481">
                  <c:v>389.613256526023</c:v>
                </c:pt>
                <c:pt idx="482">
                  <c:v>392.449194884453</c:v>
                </c:pt>
                <c:pt idx="483">
                  <c:v>395.27810163181</c:v>
                </c:pt>
                <c:pt idx="484">
                  <c:v>398.100120973105</c:v>
                </c:pt>
                <c:pt idx="485">
                  <c:v>400.91539473923</c:v>
                </c:pt>
                <c:pt idx="486">
                  <c:v>403.724062415725</c:v>
                </c:pt>
                <c:pt idx="487">
                  <c:v>406.526261168502</c:v>
                </c:pt>
                <c:pt idx="488">
                  <c:v>409.322125866429</c:v>
                </c:pt>
                <c:pt idx="489">
                  <c:v>412.111789100747</c:v>
                </c:pt>
                <c:pt idx="490">
                  <c:v>414.895381201202</c:v>
                </c:pt>
                <c:pt idx="491">
                  <c:v>417.673030248829</c:v>
                </c:pt>
                <c:pt idx="492">
                  <c:v>420.444862085277</c:v>
                </c:pt>
                <c:pt idx="493">
                  <c:v>423.211000318574</c:v>
                </c:pt>
                <c:pt idx="494">
                  <c:v>425.971566325203</c:v>
                </c:pt>
                <c:pt idx="495">
                  <c:v>428.726679248383</c:v>
                </c:pt>
                <c:pt idx="496">
                  <c:v>431.476455992391</c:v>
                </c:pt>
                <c:pt idx="497">
                  <c:v>434.221011212815</c:v>
                </c:pt>
                <c:pt idx="498">
                  <c:v>436.960457302558</c:v>
                </c:pt>
                <c:pt idx="499">
                  <c:v>439.694904373461</c:v>
                </c:pt>
                <c:pt idx="500">
                  <c:v>442.424460233371</c:v>
                </c:pt>
                <c:pt idx="501">
                  <c:v>445.149230358515</c:v>
                </c:pt>
                <c:pt idx="502">
                  <c:v>447.869317860995</c:v>
                </c:pt>
                <c:pt idx="503">
                  <c:v>450.584823451286</c:v>
                </c:pt>
                <c:pt idx="504">
                  <c:v>453.295845395575</c:v>
                </c:pt>
                <c:pt idx="505">
                  <c:v>456.002479467824</c:v>
                </c:pt>
                <c:pt idx="506">
                  <c:v>458.704818896476</c:v>
                </c:pt>
                <c:pt idx="507">
                  <c:v>461.402954305703</c:v>
                </c:pt>
                <c:pt idx="508">
                  <c:v>464.096973651201</c:v>
                </c:pt>
                <c:pt idx="509">
                  <c:v>466.786962150543</c:v>
                </c:pt>
                <c:pt idx="510">
                  <c:v>469.473002208175</c:v>
                </c:pt>
                <c:pt idx="511">
                  <c:v>472.155173335224</c:v>
                </c:pt>
                <c:pt idx="512">
                  <c:v>474.833552064369</c:v>
                </c:pt>
                <c:pt idx="513">
                  <c:v>477.508211860133</c:v>
                </c:pt>
                <c:pt idx="514">
                  <c:v>480.179223025065</c:v>
                </c:pt>
                <c:pt idx="515">
                  <c:v>482.846652602422</c:v>
                </c:pt>
                <c:pt idx="516">
                  <c:v>485.510564276111</c:v>
                </c:pt>
                <c:pt idx="517">
                  <c:v>488.171018268771</c:v>
                </c:pt>
                <c:pt idx="518">
                  <c:v>490.828071239089</c:v>
                </c:pt>
                <c:pt idx="519">
                  <c:v>493.481776179546</c:v>
                </c:pt>
                <c:pt idx="520">
                  <c:v>496.13218231598</c:v>
                </c:pt>
                <c:pt idx="521">
                  <c:v>498.779335010493</c:v>
                </c:pt>
                <c:pt idx="522">
                  <c:v>501.423275669297</c:v>
                </c:pt>
                <c:pt idx="523">
                  <c:v>504.064041657257</c:v>
                </c:pt>
                <c:pt idx="524">
                  <c:v>506.701666220844</c:v>
                </c:pt>
                <c:pt idx="525">
                  <c:v>509.336178421263</c:v>
                </c:pt>
                <c:pt idx="526">
                  <c:v>511.96760307943</c:v>
                </c:pt>
                <c:pt idx="527">
                  <c:v>514.595960734335</c:v>
                </c:pt>
                <c:pt idx="528">
                  <c:v>517.221267616161</c:v>
                </c:pt>
                <c:pt idx="529">
                  <c:v>519.843535635252</c:v>
                </c:pt>
                <c:pt idx="530">
                  <c:v>522.46277238776</c:v>
                </c:pt>
                <c:pt idx="531">
                  <c:v>525.078981178431</c:v>
                </c:pt>
                <c:pt idx="532">
                  <c:v>527.692161060646</c:v>
                </c:pt>
                <c:pt idx="533">
                  <c:v>530.302306893484</c:v>
                </c:pt>
                <c:pt idx="534">
                  <c:v>532.909409415174</c:v>
                </c:pt>
                <c:pt idx="535">
                  <c:v>535.513455332028</c:v>
                </c:pt>
                <c:pt idx="536">
                  <c:v>538.114427421636</c:v>
                </c:pt>
                <c:pt idx="537">
                  <c:v>540.712304648854</c:v>
                </c:pt>
                <c:pt idx="538">
                  <c:v>543.307062293006</c:v>
                </c:pt>
                <c:pt idx="539">
                  <c:v>545.898672084529</c:v>
                </c:pt>
                <c:pt idx="540">
                  <c:v>548.487102349326</c:v>
                </c:pt>
                <c:pt idx="541">
                  <c:v>551.072318159032</c:v>
                </c:pt>
                <c:pt idx="542">
                  <c:v>553.654281485514</c:v>
                </c:pt>
                <c:pt idx="543">
                  <c:v>556.232951357972</c:v>
                </c:pt>
                <c:pt idx="544">
                  <c:v>558.808284021189</c:v>
                </c:pt>
                <c:pt idx="545">
                  <c:v>561.380233093586</c:v>
                </c:pt>
                <c:pt idx="546">
                  <c:v>563.948749723921</c:v>
                </c:pt>
                <c:pt idx="547">
                  <c:v>566.513782745641</c:v>
                </c:pt>
                <c:pt idx="548">
                  <c:v>569.075278828046</c:v>
                </c:pt>
                <c:pt idx="549">
                  <c:v>571.633182623589</c:v>
                </c:pt>
                <c:pt idx="550">
                  <c:v>574.187436910772</c:v>
                </c:pt>
                <c:pt idx="551">
                  <c:v>576.737982732255</c:v>
                </c:pt>
                <c:pt idx="552">
                  <c:v>579.284759527873</c:v>
                </c:pt>
                <c:pt idx="553">
                  <c:v>581.82770526239</c:v>
                </c:pt>
                <c:pt idx="554">
                  <c:v>584.366756547894</c:v>
                </c:pt>
                <c:pt idx="555">
                  <c:v>586.901848760813</c:v>
                </c:pt>
                <c:pt idx="556">
                  <c:v>589.432916153575</c:v>
                </c:pt>
                <c:pt idx="557">
                  <c:v>591.959891961025</c:v>
                </c:pt>
                <c:pt idx="558">
                  <c:v>594.482708501698</c:v>
                </c:pt>
                <c:pt idx="559">
                  <c:v>597.001297274113</c:v>
                </c:pt>
                <c:pt idx="560">
                  <c:v>599.515589048261</c:v>
                </c:pt>
                <c:pt idx="561">
                  <c:v>602.025513952475</c:v>
                </c:pt>
                <c:pt idx="562">
                  <c:v>604.531001555877</c:v>
                </c:pt>
                <c:pt idx="563">
                  <c:v>607.031980946611</c:v>
                </c:pt>
                <c:pt idx="564">
                  <c:v>609.528380806054</c:v>
                </c:pt>
                <c:pt idx="565">
                  <c:v>612.020129479229</c:v>
                </c:pt>
                <c:pt idx="566">
                  <c:v>614.507155041586</c:v>
                </c:pt>
                <c:pt idx="567">
                  <c:v>616.989385362379</c:v>
                </c:pt>
                <c:pt idx="568">
                  <c:v>619.466748164792</c:v>
                </c:pt>
                <c:pt idx="569">
                  <c:v>621.939171083024</c:v>
                </c:pt>
                <c:pt idx="570">
                  <c:v>624.40658171647</c:v>
                </c:pt>
                <c:pt idx="571">
                  <c:v>626.86890768119</c:v>
                </c:pt>
                <c:pt idx="572">
                  <c:v>629.326076658802</c:v>
                </c:pt>
                <c:pt idx="573">
                  <c:v>631.778016442941</c:v>
                </c:pt>
                <c:pt idx="574">
                  <c:v>634.224654983433</c:v>
                </c:pt>
                <c:pt idx="575">
                  <c:v>636.665920428305</c:v>
                </c:pt>
                <c:pt idx="576">
                  <c:v>639.101741163744</c:v>
                </c:pt>
                <c:pt idx="577">
                  <c:v>641.53204585213</c:v>
                </c:pt>
                <c:pt idx="578">
                  <c:v>643.956763468236</c:v>
                </c:pt>
                <c:pt idx="579">
                  <c:v>646.375823333707</c:v>
                </c:pt>
                <c:pt idx="580">
                  <c:v>648.789155149892</c:v>
                </c:pt>
                <c:pt idx="581">
                  <c:v>651.196689029126</c:v>
                </c:pt>
                <c:pt idx="582">
                  <c:v>653.598355524543</c:v>
                </c:pt>
                <c:pt idx="583">
                  <c:v>655.994085658486</c:v>
                </c:pt>
                <c:pt idx="584">
                  <c:v>658.383810949588</c:v>
                </c:pt>
                <c:pt idx="585">
                  <c:v>660.767463438589</c:v>
                </c:pt>
                <c:pt idx="586">
                  <c:v>663.14497571295</c:v>
                </c:pt>
                <c:pt idx="587">
                  <c:v>665.516280930311</c:v>
                </c:pt>
                <c:pt idx="588">
                  <c:v>667.881312840862</c:v>
                </c:pt>
                <c:pt idx="589">
                  <c:v>670.240005808661</c:v>
                </c:pt>
                <c:pt idx="590">
                  <c:v>672.592294831946</c:v>
                </c:pt>
                <c:pt idx="591">
                  <c:v>674.938115562501</c:v>
                </c:pt>
                <c:pt idx="592">
                  <c:v>677.277404324083</c:v>
                </c:pt>
                <c:pt idx="593">
                  <c:v>679.610098129986</c:v>
                </c:pt>
                <c:pt idx="594">
                  <c:v>681.936134699742</c:v>
                </c:pt>
                <c:pt idx="595">
                  <c:v>684.255452475017</c:v>
                </c:pt>
                <c:pt idx="596">
                  <c:v>686.567990634717</c:v>
                </c:pt>
                <c:pt idx="597">
                  <c:v>688.873689109344</c:v>
                </c:pt>
                <c:pt idx="598">
                  <c:v>691.172488594613</c:v>
                </c:pt>
                <c:pt idx="599">
                  <c:v>693.46433056438</c:v>
                </c:pt>
                <c:pt idx="600">
                  <c:v>695.74915728288</c:v>
                </c:pt>
                <c:pt idx="601">
                  <c:v>698.026911816314</c:v>
                </c:pt>
                <c:pt idx="602">
                  <c:v>700.297538043796</c:v>
                </c:pt>
                <c:pt idx="603">
                  <c:v>702.56098066769</c:v>
                </c:pt>
                <c:pt idx="604">
                  <c:v>704.817185223351</c:v>
                </c:pt>
                <c:pt idx="605">
                  <c:v>707.066098088281</c:v>
                </c:pt>
                <c:pt idx="606">
                  <c:v>709.307666490733</c:v>
                </c:pt>
                <c:pt idx="607">
                  <c:v>711.541838517766</c:v>
                </c:pt>
                <c:pt idx="608">
                  <c:v>713.768563122772</c:v>
                </c:pt>
                <c:pt idx="609">
                  <c:v>715.987790132493</c:v>
                </c:pt>
                <c:pt idx="610">
                  <c:v>718.199470253529</c:v>
                </c:pt>
                <c:pt idx="611">
                  <c:v>720.403555078371</c:v>
                </c:pt>
                <c:pt idx="612">
                  <c:v>722.599997090954</c:v>
                </c:pt>
                <c:pt idx="613">
                  <c:v>724.788749671751</c:v>
                </c:pt>
                <c:pt idx="614">
                  <c:v>726.96976710242</c:v>
                </c:pt>
                <c:pt idx="615">
                  <c:v>729.143004570012</c:v>
                </c:pt>
                <c:pt idx="616">
                  <c:v>731.308418170754</c:v>
                </c:pt>
                <c:pt idx="617">
                  <c:v>733.465964913419</c:v>
                </c:pt>
                <c:pt idx="618">
                  <c:v>735.615602722287</c:v>
                </c:pt>
                <c:pt idx="619">
                  <c:v>737.757290439715</c:v>
                </c:pt>
                <c:pt idx="620">
                  <c:v>739.890987828321</c:v>
                </c:pt>
                <c:pt idx="621">
                  <c:v>742.016655572794</c:v>
                </c:pt>
                <c:pt idx="622">
                  <c:v>744.134255281337</c:v>
                </c:pt>
                <c:pt idx="623">
                  <c:v>746.243749486751</c:v>
                </c:pt>
                <c:pt idx="624">
                  <c:v>748.345101647173</c:v>
                </c:pt>
                <c:pt idx="625">
                  <c:v>750.438276146477</c:v>
                </c:pt>
                <c:pt idx="626">
                  <c:v>752.523238294339</c:v>
                </c:pt>
                <c:pt idx="627">
                  <c:v>754.599954325979</c:v>
                </c:pt>
                <c:pt idx="628">
                  <c:v>756.668391401591</c:v>
                </c:pt>
                <c:pt idx="629">
                  <c:v>758.728517605464</c:v>
                </c:pt>
                <c:pt idx="630">
                  <c:v>760.780301944803</c:v>
                </c:pt>
                <c:pt idx="631">
                  <c:v>762.823714348258</c:v>
                </c:pt>
                <c:pt idx="632">
                  <c:v>764.85872566417</c:v>
                </c:pt>
                <c:pt idx="633">
                  <c:v>766.885307658537</c:v>
                </c:pt>
                <c:pt idx="634">
                  <c:v>768.90343301271</c:v>
                </c:pt>
                <c:pt idx="635">
                  <c:v>770.913075320829</c:v>
                </c:pt>
                <c:pt idx="636">
                  <c:v>772.914209087</c:v>
                </c:pt>
                <c:pt idx="637">
                  <c:v>774.906809722222</c:v>
                </c:pt>
                <c:pt idx="638">
                  <c:v>776.890853541071</c:v>
                </c:pt>
                <c:pt idx="639">
                  <c:v>778.866317758153</c:v>
                </c:pt>
                <c:pt idx="640">
                  <c:v>780.83318048432</c:v>
                </c:pt>
                <c:pt idx="641">
                  <c:v>782.79142072267</c:v>
                </c:pt>
                <c:pt idx="642">
                  <c:v>784.741018364325</c:v>
                </c:pt>
                <c:pt idx="643">
                  <c:v>786.681954183998</c:v>
                </c:pt>
                <c:pt idx="644">
                  <c:v>788.614209835365</c:v>
                </c:pt>
                <c:pt idx="645">
                  <c:v>790.537767846226</c:v>
                </c:pt>
                <c:pt idx="646">
                  <c:v>792.452611613482</c:v>
                </c:pt>
                <c:pt idx="647">
                  <c:v>794.358725397926</c:v>
                </c:pt>
                <c:pt idx="648">
                  <c:v>796.256094318851</c:v>
                </c:pt>
                <c:pt idx="649">
                  <c:v>798.144704348483</c:v>
                </c:pt>
                <c:pt idx="650">
                  <c:v>800.02454230625</c:v>
                </c:pt>
                <c:pt idx="651">
                  <c:v>801.895595852884</c:v>
                </c:pt>
                <c:pt idx="652">
                  <c:v>803.757853484366</c:v>
                </c:pt>
                <c:pt idx="653">
                  <c:v>805.611304525721</c:v>
                </c:pt>
                <c:pt idx="654">
                  <c:v>807.455939124667</c:v>
                </c:pt>
                <c:pt idx="655">
                  <c:v>809.291748245123</c:v>
                </c:pt>
                <c:pt idx="656">
                  <c:v>811.118723660575</c:v>
                </c:pt>
                <c:pt idx="657">
                  <c:v>812.936857947327</c:v>
                </c:pt>
                <c:pt idx="658">
                  <c:v>814.746144477608</c:v>
                </c:pt>
                <c:pt idx="659">
                  <c:v>816.546577412575</c:v>
                </c:pt>
                <c:pt idx="660">
                  <c:v>818.33815169519</c:v>
                </c:pt>
                <c:pt idx="661">
                  <c:v>820.120863042996</c:v>
                </c:pt>
                <c:pt idx="662">
                  <c:v>821.894707940781</c:v>
                </c:pt>
                <c:pt idx="663">
                  <c:v>823.659683633145</c:v>
                </c:pt>
                <c:pt idx="664">
                  <c:v>825.415788116973</c:v>
                </c:pt>
                <c:pt idx="665">
                  <c:v>827.163020133813</c:v>
                </c:pt>
                <c:pt idx="666">
                  <c:v>828.901379162174</c:v>
                </c:pt>
                <c:pt idx="667">
                  <c:v>830.630865409736</c:v>
                </c:pt>
                <c:pt idx="668">
                  <c:v>832.35147980549</c:v>
                </c:pt>
                <c:pt idx="669">
                  <c:v>834.063223991799</c:v>
                </c:pt>
                <c:pt idx="670">
                  <c:v>835.766100316395</c:v>
                </c:pt>
                <c:pt idx="671">
                  <c:v>837.460111824312</c:v>
                </c:pt>
                <c:pt idx="672">
                  <c:v>839.145262249755</c:v>
                </c:pt>
                <c:pt idx="673">
                  <c:v>840.821556007924</c:v>
                </c:pt>
                <c:pt idx="674">
                  <c:v>842.48899818677</c:v>
                </c:pt>
                <c:pt idx="675">
                  <c:v>844.147594538722</c:v>
                </c:pt>
                <c:pt idx="676">
                  <c:v>845.797351472355</c:v>
                </c:pt>
                <c:pt idx="677">
                  <c:v>847.43827604403</c:v>
                </c:pt>
                <c:pt idx="678">
                  <c:v>849.070375949491</c:v>
                </c:pt>
                <c:pt idx="679">
                  <c:v>850.693659515431</c:v>
                </c:pt>
                <c:pt idx="680">
                  <c:v>852.308135691034</c:v>
                </c:pt>
                <c:pt idx="681">
                  <c:v>853.913814039485</c:v>
                </c:pt>
                <c:pt idx="682">
                  <c:v>855.510704729466</c:v>
                </c:pt>
                <c:pt idx="683">
                  <c:v>857.098818526629</c:v>
                </c:pt>
                <c:pt idx="684">
                  <c:v>858.678166785054</c:v>
                </c:pt>
                <c:pt idx="685">
                  <c:v>860.248761438701</c:v>
                </c:pt>
                <c:pt idx="686">
                  <c:v>861.810614992848</c:v>
                </c:pt>
                <c:pt idx="687">
                  <c:v>863.363740515527</c:v>
                </c:pt>
                <c:pt idx="688">
                  <c:v>864.908151628958</c:v>
                </c:pt>
                <c:pt idx="689">
                  <c:v>866.443862500984</c:v>
                </c:pt>
                <c:pt idx="690">
                  <c:v>867.970887836509</c:v>
                </c:pt>
                <c:pt idx="691">
                  <c:v>869.489242868944</c:v>
                </c:pt>
                <c:pt idx="692">
                  <c:v>870.998943351661</c:v>
                </c:pt>
                <c:pt idx="693">
                  <c:v>872.500005549463</c:v>
                </c:pt>
                <c:pt idx="694">
                  <c:v>873.992446230064</c:v>
                </c:pt>
                <c:pt idx="695">
                  <c:v>875.476282655593</c:v>
                </c:pt>
                <c:pt idx="696">
                  <c:v>876.95153257411</c:v>
                </c:pt>
                <c:pt idx="697">
                  <c:v>878.418214211155</c:v>
                </c:pt>
                <c:pt idx="698">
                  <c:v>879.876346261309</c:v>
                </c:pt>
                <c:pt idx="699">
                  <c:v>881.325947879795</c:v>
                </c:pt>
                <c:pt idx="700">
                  <c:v>882.767038674099</c:v>
                </c:pt>
                <c:pt idx="701">
                  <c:v>884.199638695632</c:v>
                </c:pt>
                <c:pt idx="702">
                  <c:v>885.623768431413</c:v>
                </c:pt>
                <c:pt idx="703">
                  <c:v>887.039448795801</c:v>
                </c:pt>
                <c:pt idx="704">
                  <c:v>888.446701122256</c:v>
                </c:pt>
                <c:pt idx="705">
                  <c:v>889.845547155147</c:v>
                </c:pt>
                <c:pt idx="706">
                  <c:v>891.236009041592</c:v>
                </c:pt>
                <c:pt idx="707">
                  <c:v>892.618109323349</c:v>
                </c:pt>
                <c:pt idx="708">
                  <c:v>893.991870928753</c:v>
                </c:pt>
                <c:pt idx="709">
                  <c:v>895.357317164694</c:v>
                </c:pt>
                <c:pt idx="710">
                  <c:v>896.714471708646</c:v>
                </c:pt>
                <c:pt idx="711">
                  <c:v>898.063358600748</c:v>
                </c:pt>
                <c:pt idx="712">
                  <c:v>899.404002235936</c:v>
                </c:pt>
                <c:pt idx="713">
                  <c:v>900.736427356122</c:v>
                </c:pt>
                <c:pt idx="714">
                  <c:v>902.060659042437</c:v>
                </c:pt>
                <c:pt idx="715">
                  <c:v>903.376722707525</c:v>
                </c:pt>
                <c:pt idx="716">
                  <c:v>904.68464408789</c:v>
                </c:pt>
                <c:pt idx="717">
                  <c:v>905.984449236306</c:v>
                </c:pt>
                <c:pt idx="718">
                  <c:v>907.27616451429</c:v>
                </c:pt>
                <c:pt idx="719">
                  <c:v>908.559816584623</c:v>
                </c:pt>
                <c:pt idx="720">
                  <c:v>909.835432403945</c:v>
                </c:pt>
                <c:pt idx="721">
                  <c:v>911.103039215408</c:v>
                </c:pt>
                <c:pt idx="722">
                  <c:v>912.362664541389</c:v>
                </c:pt>
                <c:pt idx="723">
                  <c:v>913.614336176273</c:v>
                </c:pt>
                <c:pt idx="724">
                  <c:v>913.614336176273</c:v>
                </c:pt>
                <c:pt idx="725">
                  <c:v>913.614336176273</c:v>
                </c:pt>
                <c:pt idx="726">
                  <c:v>913.614336176273</c:v>
                </c:pt>
                <c:pt idx="727">
                  <c:v>913.614336176273</c:v>
                </c:pt>
                <c:pt idx="728">
                  <c:v>913.614336176273</c:v>
                </c:pt>
                <c:pt idx="729">
                  <c:v>913.614336176273</c:v>
                </c:pt>
                <c:pt idx="730">
                  <c:v>913.614336176273</c:v>
                </c:pt>
                <c:pt idx="731">
                  <c:v>913.614336176273</c:v>
                </c:pt>
                <c:pt idx="732">
                  <c:v>913.614336176273</c:v>
                </c:pt>
                <c:pt idx="733">
                  <c:v>913.614336176273</c:v>
                </c:pt>
                <c:pt idx="734">
                  <c:v>913.614336176273</c:v>
                </c:pt>
                <c:pt idx="735">
                  <c:v>913.614336176273</c:v>
                </c:pt>
                <c:pt idx="736">
                  <c:v>913.614336176273</c:v>
                </c:pt>
                <c:pt idx="737">
                  <c:v>913.614336176273</c:v>
                </c:pt>
                <c:pt idx="738">
                  <c:v>913.614336176273</c:v>
                </c:pt>
                <c:pt idx="739">
                  <c:v>913.614336176273</c:v>
                </c:pt>
                <c:pt idx="740">
                  <c:v>913.614336176273</c:v>
                </c:pt>
                <c:pt idx="741">
                  <c:v>913.614336176273</c:v>
                </c:pt>
                <c:pt idx="742">
                  <c:v>913.614336176273</c:v>
                </c:pt>
                <c:pt idx="743">
                  <c:v>913.614336176273</c:v>
                </c:pt>
                <c:pt idx="744">
                  <c:v>913.614336176273</c:v>
                </c:pt>
                <c:pt idx="745">
                  <c:v>913.614336176273</c:v>
                </c:pt>
                <c:pt idx="746">
                  <c:v>913.614336176273</c:v>
                </c:pt>
                <c:pt idx="747">
                  <c:v>913.614336176273</c:v>
                </c:pt>
                <c:pt idx="748">
                  <c:v>913.614336176273</c:v>
                </c:pt>
                <c:pt idx="749">
                  <c:v>913.614336176273</c:v>
                </c:pt>
                <c:pt idx="750">
                  <c:v>913.614336176273</c:v>
                </c:pt>
                <c:pt idx="751">
                  <c:v>913.614336176273</c:v>
                </c:pt>
                <c:pt idx="752">
                  <c:v>913.614336176273</c:v>
                </c:pt>
                <c:pt idx="753">
                  <c:v>913.614336176273</c:v>
                </c:pt>
                <c:pt idx="754">
                  <c:v>913.614336176273</c:v>
                </c:pt>
                <c:pt idx="755">
                  <c:v>913.614336176273</c:v>
                </c:pt>
                <c:pt idx="756">
                  <c:v>913.614336176273</c:v>
                </c:pt>
                <c:pt idx="757">
                  <c:v>913.614336176273</c:v>
                </c:pt>
                <c:pt idx="758">
                  <c:v>913.614336176273</c:v>
                </c:pt>
                <c:pt idx="759">
                  <c:v>913.614336176273</c:v>
                </c:pt>
                <c:pt idx="760">
                  <c:v>913.614336176273</c:v>
                </c:pt>
                <c:pt idx="761">
                  <c:v>913.614336176273</c:v>
                </c:pt>
                <c:pt idx="762">
                  <c:v>913.614336176273</c:v>
                </c:pt>
                <c:pt idx="763">
                  <c:v>913.614336176273</c:v>
                </c:pt>
                <c:pt idx="764">
                  <c:v>913.614336176273</c:v>
                </c:pt>
                <c:pt idx="765">
                  <c:v>913.614336176273</c:v>
                </c:pt>
                <c:pt idx="766">
                  <c:v>913.614336176273</c:v>
                </c:pt>
                <c:pt idx="767">
                  <c:v>913.614336176273</c:v>
                </c:pt>
                <c:pt idx="768">
                  <c:v>913.614336176273</c:v>
                </c:pt>
                <c:pt idx="769">
                  <c:v>913.614336176273</c:v>
                </c:pt>
                <c:pt idx="770">
                  <c:v>913.614336176273</c:v>
                </c:pt>
                <c:pt idx="771">
                  <c:v>913.614336176273</c:v>
                </c:pt>
                <c:pt idx="772">
                  <c:v>913.614336176273</c:v>
                </c:pt>
                <c:pt idx="773">
                  <c:v>913.614336176273</c:v>
                </c:pt>
                <c:pt idx="774">
                  <c:v>913.614336176273</c:v>
                </c:pt>
                <c:pt idx="775">
                  <c:v>913.614336176273</c:v>
                </c:pt>
                <c:pt idx="776">
                  <c:v>913.614336176273</c:v>
                </c:pt>
                <c:pt idx="777">
                  <c:v>913.614336176273</c:v>
                </c:pt>
                <c:pt idx="778">
                  <c:v>913.614336176273</c:v>
                </c:pt>
                <c:pt idx="779">
                  <c:v>913.614336176273</c:v>
                </c:pt>
                <c:pt idx="780">
                  <c:v>913.614336176273</c:v>
                </c:pt>
                <c:pt idx="781">
                  <c:v>913.614336176273</c:v>
                </c:pt>
                <c:pt idx="782">
                  <c:v>913.614336176273</c:v>
                </c:pt>
                <c:pt idx="783">
                  <c:v>913.614336176273</c:v>
                </c:pt>
                <c:pt idx="784">
                  <c:v>913.614336176273</c:v>
                </c:pt>
                <c:pt idx="785">
                  <c:v>913.614336176273</c:v>
                </c:pt>
                <c:pt idx="786">
                  <c:v>913.614336176273</c:v>
                </c:pt>
                <c:pt idx="787">
                  <c:v>913.614336176273</c:v>
                </c:pt>
                <c:pt idx="788">
                  <c:v>913.614336176273</c:v>
                </c:pt>
                <c:pt idx="789">
                  <c:v>913.614336176273</c:v>
                </c:pt>
                <c:pt idx="790">
                  <c:v>913.614336176273</c:v>
                </c:pt>
                <c:pt idx="791">
                  <c:v>913.614336176273</c:v>
                </c:pt>
                <c:pt idx="792">
                  <c:v>913.614336176273</c:v>
                </c:pt>
                <c:pt idx="793">
                  <c:v>913.614336176273</c:v>
                </c:pt>
                <c:pt idx="794">
                  <c:v>913.614336176273</c:v>
                </c:pt>
                <c:pt idx="795">
                  <c:v>913.614336176273</c:v>
                </c:pt>
                <c:pt idx="796">
                  <c:v>913.614336176273</c:v>
                </c:pt>
                <c:pt idx="797">
                  <c:v>913.614336176273</c:v>
                </c:pt>
                <c:pt idx="798">
                  <c:v>913.614336176273</c:v>
                </c:pt>
                <c:pt idx="799">
                  <c:v>913.614336176273</c:v>
                </c:pt>
                <c:pt idx="800">
                  <c:v>913.614336176273</c:v>
                </c:pt>
                <c:pt idx="801">
                  <c:v>913.614336176273</c:v>
                </c:pt>
                <c:pt idx="802">
                  <c:v>913.614336176273</c:v>
                </c:pt>
                <c:pt idx="803">
                  <c:v>913.614336176273</c:v>
                </c:pt>
                <c:pt idx="804">
                  <c:v>913.614336176273</c:v>
                </c:pt>
                <c:pt idx="805">
                  <c:v>913.614336176273</c:v>
                </c:pt>
                <c:pt idx="806">
                  <c:v>913.614336176273</c:v>
                </c:pt>
                <c:pt idx="807">
                  <c:v>913.614336176273</c:v>
                </c:pt>
                <c:pt idx="808">
                  <c:v>913.614336176273</c:v>
                </c:pt>
                <c:pt idx="809">
                  <c:v>913.614336176273</c:v>
                </c:pt>
                <c:pt idx="810">
                  <c:v>913.614336176273</c:v>
                </c:pt>
                <c:pt idx="811">
                  <c:v>913.614336176273</c:v>
                </c:pt>
                <c:pt idx="812">
                  <c:v>913.614336176273</c:v>
                </c:pt>
                <c:pt idx="813">
                  <c:v>913.614336176273</c:v>
                </c:pt>
                <c:pt idx="814">
                  <c:v>913.614336176273</c:v>
                </c:pt>
                <c:pt idx="815">
                  <c:v>913.614336176273</c:v>
                </c:pt>
                <c:pt idx="816">
                  <c:v>913.614336176273</c:v>
                </c:pt>
                <c:pt idx="817">
                  <c:v>913.614336176273</c:v>
                </c:pt>
                <c:pt idx="818">
                  <c:v>913.614336176273</c:v>
                </c:pt>
                <c:pt idx="819">
                  <c:v>913.614336176273</c:v>
                </c:pt>
                <c:pt idx="820">
                  <c:v>913.614336176273</c:v>
                </c:pt>
                <c:pt idx="821">
                  <c:v>913.614336176273</c:v>
                </c:pt>
                <c:pt idx="822">
                  <c:v>913.614336176273</c:v>
                </c:pt>
                <c:pt idx="823">
                  <c:v>913.614336176273</c:v>
                </c:pt>
                <c:pt idx="824">
                  <c:v>913.614336176273</c:v>
                </c:pt>
                <c:pt idx="825">
                  <c:v>913.614336176273</c:v>
                </c:pt>
                <c:pt idx="826">
                  <c:v>913.614336176273</c:v>
                </c:pt>
                <c:pt idx="827">
                  <c:v>913.614336176273</c:v>
                </c:pt>
                <c:pt idx="828">
                  <c:v>913.614336176273</c:v>
                </c:pt>
                <c:pt idx="829">
                  <c:v>913.614336176273</c:v>
                </c:pt>
                <c:pt idx="830">
                  <c:v>913.614336176273</c:v>
                </c:pt>
                <c:pt idx="831">
                  <c:v>913.614336176273</c:v>
                </c:pt>
                <c:pt idx="832">
                  <c:v>913.614336176273</c:v>
                </c:pt>
                <c:pt idx="833">
                  <c:v>913.614336176273</c:v>
                </c:pt>
                <c:pt idx="834">
                  <c:v>913.614336176273</c:v>
                </c:pt>
                <c:pt idx="835">
                  <c:v>913.614336176273</c:v>
                </c:pt>
                <c:pt idx="836">
                  <c:v>913.614336176273</c:v>
                </c:pt>
                <c:pt idx="837">
                  <c:v>913.614336176273</c:v>
                </c:pt>
                <c:pt idx="838">
                  <c:v>913.614336176273</c:v>
                </c:pt>
                <c:pt idx="839">
                  <c:v>913.614336176273</c:v>
                </c:pt>
                <c:pt idx="840">
                  <c:v>913.614336176273</c:v>
                </c:pt>
                <c:pt idx="841">
                  <c:v>913.614336176273</c:v>
                </c:pt>
                <c:pt idx="842">
                  <c:v>913.614336176273</c:v>
                </c:pt>
                <c:pt idx="843">
                  <c:v>913.614336176273</c:v>
                </c:pt>
                <c:pt idx="844">
                  <c:v>913.614336176273</c:v>
                </c:pt>
                <c:pt idx="845">
                  <c:v>913.614336176273</c:v>
                </c:pt>
                <c:pt idx="846">
                  <c:v>913.614336176273</c:v>
                </c:pt>
                <c:pt idx="847">
                  <c:v>913.614336176273</c:v>
                </c:pt>
                <c:pt idx="848">
                  <c:v>913.614336176273</c:v>
                </c:pt>
                <c:pt idx="849">
                  <c:v>913.614336176273</c:v>
                </c:pt>
                <c:pt idx="850">
                  <c:v>913.614336176273</c:v>
                </c:pt>
                <c:pt idx="851">
                  <c:v>913.614336176273</c:v>
                </c:pt>
                <c:pt idx="852">
                  <c:v>913.614336176273</c:v>
                </c:pt>
                <c:pt idx="853">
                  <c:v>913.614336176273</c:v>
                </c:pt>
                <c:pt idx="854">
                  <c:v>913.614336176273</c:v>
                </c:pt>
                <c:pt idx="855">
                  <c:v>913.614336176273</c:v>
                </c:pt>
                <c:pt idx="856">
                  <c:v>913.614336176273</c:v>
                </c:pt>
                <c:pt idx="857">
                  <c:v>913.614336176273</c:v>
                </c:pt>
                <c:pt idx="858">
                  <c:v>913.614336176273</c:v>
                </c:pt>
                <c:pt idx="859">
                  <c:v>913.614336176273</c:v>
                </c:pt>
                <c:pt idx="860">
                  <c:v>913.614336176273</c:v>
                </c:pt>
                <c:pt idx="861">
                  <c:v>913.614336176273</c:v>
                </c:pt>
                <c:pt idx="862">
                  <c:v>913.614336176273</c:v>
                </c:pt>
                <c:pt idx="863">
                  <c:v>913.614336176273</c:v>
                </c:pt>
                <c:pt idx="864">
                  <c:v>913.614336176273</c:v>
                </c:pt>
                <c:pt idx="865">
                  <c:v>913.614336176273</c:v>
                </c:pt>
                <c:pt idx="866">
                  <c:v>913.614336176273</c:v>
                </c:pt>
                <c:pt idx="867">
                  <c:v>913.614336176273</c:v>
                </c:pt>
                <c:pt idx="868">
                  <c:v>913.614336176273</c:v>
                </c:pt>
                <c:pt idx="869">
                  <c:v>913.614336176273</c:v>
                </c:pt>
                <c:pt idx="870">
                  <c:v>913.614336176273</c:v>
                </c:pt>
                <c:pt idx="871">
                  <c:v>913.614336176273</c:v>
                </c:pt>
                <c:pt idx="872">
                  <c:v>913.614336176273</c:v>
                </c:pt>
                <c:pt idx="873">
                  <c:v>913.614336176273</c:v>
                </c:pt>
                <c:pt idx="874">
                  <c:v>913.614336176273</c:v>
                </c:pt>
                <c:pt idx="875">
                  <c:v>913.614336176273</c:v>
                </c:pt>
                <c:pt idx="876">
                  <c:v>913.614336176273</c:v>
                </c:pt>
                <c:pt idx="877">
                  <c:v>913.614336176273</c:v>
                </c:pt>
                <c:pt idx="878">
                  <c:v>913.614336176273</c:v>
                </c:pt>
                <c:pt idx="879">
                  <c:v>913.614336176273</c:v>
                </c:pt>
                <c:pt idx="880">
                  <c:v>913.614336176273</c:v>
                </c:pt>
                <c:pt idx="881">
                  <c:v>913.614336176273</c:v>
                </c:pt>
                <c:pt idx="882">
                  <c:v>913.614336176273</c:v>
                </c:pt>
                <c:pt idx="883">
                  <c:v>913.614336176273</c:v>
                </c:pt>
                <c:pt idx="884">
                  <c:v>913.614336176273</c:v>
                </c:pt>
                <c:pt idx="885">
                  <c:v>913.614336176273</c:v>
                </c:pt>
                <c:pt idx="886">
                  <c:v>913.614336176273</c:v>
                </c:pt>
                <c:pt idx="887">
                  <c:v>913.614336176273</c:v>
                </c:pt>
                <c:pt idx="888">
                  <c:v>913.614336176273</c:v>
                </c:pt>
                <c:pt idx="889">
                  <c:v>913.614336176273</c:v>
                </c:pt>
                <c:pt idx="890">
                  <c:v>913.614336176273</c:v>
                </c:pt>
                <c:pt idx="891">
                  <c:v>913.614336176273</c:v>
                </c:pt>
                <c:pt idx="892">
                  <c:v>913.614336176273</c:v>
                </c:pt>
                <c:pt idx="893">
                  <c:v>913.614336176273</c:v>
                </c:pt>
                <c:pt idx="894">
                  <c:v>913.614336176273</c:v>
                </c:pt>
                <c:pt idx="895">
                  <c:v>913.614336176273</c:v>
                </c:pt>
                <c:pt idx="896">
                  <c:v>913.614336176273</c:v>
                </c:pt>
                <c:pt idx="897">
                  <c:v>913.614336176273</c:v>
                </c:pt>
                <c:pt idx="898">
                  <c:v>913.614336176273</c:v>
                </c:pt>
                <c:pt idx="899">
                  <c:v>913.614336176273</c:v>
                </c:pt>
                <c:pt idx="900">
                  <c:v>913.614336176273</c:v>
                </c:pt>
                <c:pt idx="901">
                  <c:v>913.614336176273</c:v>
                </c:pt>
                <c:pt idx="902">
                  <c:v>913.614336176273</c:v>
                </c:pt>
                <c:pt idx="903">
                  <c:v>913.614336176273</c:v>
                </c:pt>
                <c:pt idx="904">
                  <c:v>913.614336176273</c:v>
                </c:pt>
                <c:pt idx="905">
                  <c:v>913.614336176273</c:v>
                </c:pt>
                <c:pt idx="906">
                  <c:v>913.614336176273</c:v>
                </c:pt>
                <c:pt idx="907">
                  <c:v>913.614336176273</c:v>
                </c:pt>
                <c:pt idx="908">
                  <c:v>913.614336176273</c:v>
                </c:pt>
                <c:pt idx="909">
                  <c:v>913.614336176273</c:v>
                </c:pt>
                <c:pt idx="910">
                  <c:v>913.614336176273</c:v>
                </c:pt>
                <c:pt idx="911">
                  <c:v>913.614336176273</c:v>
                </c:pt>
                <c:pt idx="912">
                  <c:v>913.614336176273</c:v>
                </c:pt>
                <c:pt idx="913">
                  <c:v>913.614336176273</c:v>
                </c:pt>
                <c:pt idx="914">
                  <c:v>913.614336176273</c:v>
                </c:pt>
                <c:pt idx="915">
                  <c:v>913.614336176273</c:v>
                </c:pt>
                <c:pt idx="916">
                  <c:v>913.614336176273</c:v>
                </c:pt>
                <c:pt idx="917">
                  <c:v>913.614336176273</c:v>
                </c:pt>
                <c:pt idx="918">
                  <c:v>913.614336176273</c:v>
                </c:pt>
                <c:pt idx="919">
                  <c:v>913.614336176273</c:v>
                </c:pt>
                <c:pt idx="920">
                  <c:v>913.614336176273</c:v>
                </c:pt>
                <c:pt idx="921">
                  <c:v>913.614336176273</c:v>
                </c:pt>
                <c:pt idx="922">
                  <c:v>913.614336176273</c:v>
                </c:pt>
                <c:pt idx="923">
                  <c:v>913.614336176273</c:v>
                </c:pt>
                <c:pt idx="924">
                  <c:v>913.614336176273</c:v>
                </c:pt>
                <c:pt idx="925">
                  <c:v>913.614336176273</c:v>
                </c:pt>
                <c:pt idx="926">
                  <c:v>913.614336176273</c:v>
                </c:pt>
                <c:pt idx="927">
                  <c:v>913.614336176273</c:v>
                </c:pt>
                <c:pt idx="928">
                  <c:v>913.614336176273</c:v>
                </c:pt>
                <c:pt idx="929">
                  <c:v>913.614336176273</c:v>
                </c:pt>
                <c:pt idx="930">
                  <c:v>913.614336176273</c:v>
                </c:pt>
                <c:pt idx="931">
                  <c:v>913.614336176273</c:v>
                </c:pt>
                <c:pt idx="932">
                  <c:v>913.614336176273</c:v>
                </c:pt>
                <c:pt idx="933">
                  <c:v>913.614336176273</c:v>
                </c:pt>
                <c:pt idx="934">
                  <c:v>913.614336176273</c:v>
                </c:pt>
                <c:pt idx="935">
                  <c:v>913.614336176273</c:v>
                </c:pt>
                <c:pt idx="936">
                  <c:v>913.614336176273</c:v>
                </c:pt>
                <c:pt idx="937">
                  <c:v>913.614336176273</c:v>
                </c:pt>
                <c:pt idx="938">
                  <c:v>913.614336176273</c:v>
                </c:pt>
                <c:pt idx="939">
                  <c:v>913.614336176273</c:v>
                </c:pt>
                <c:pt idx="940">
                  <c:v>913.614336176273</c:v>
                </c:pt>
                <c:pt idx="941">
                  <c:v>913.614336176273</c:v>
                </c:pt>
                <c:pt idx="942">
                  <c:v>913.614336176273</c:v>
                </c:pt>
                <c:pt idx="943">
                  <c:v>913.614336176273</c:v>
                </c:pt>
                <c:pt idx="944">
                  <c:v>913.614336176273</c:v>
                </c:pt>
                <c:pt idx="945">
                  <c:v>913.614336176273</c:v>
                </c:pt>
                <c:pt idx="946">
                  <c:v>913.614336176273</c:v>
                </c:pt>
                <c:pt idx="947">
                  <c:v>913.614336176273</c:v>
                </c:pt>
                <c:pt idx="948">
                  <c:v>913.614336176273</c:v>
                </c:pt>
                <c:pt idx="949">
                  <c:v>913.614336176273</c:v>
                </c:pt>
                <c:pt idx="950">
                  <c:v>913.614336176273</c:v>
                </c:pt>
                <c:pt idx="951">
                  <c:v>913.614336176273</c:v>
                </c:pt>
                <c:pt idx="952">
                  <c:v>913.614336176273</c:v>
                </c:pt>
                <c:pt idx="953">
                  <c:v>913.614336176273</c:v>
                </c:pt>
                <c:pt idx="954">
                  <c:v>913.614336176273</c:v>
                </c:pt>
                <c:pt idx="955">
                  <c:v>913.614336176273</c:v>
                </c:pt>
                <c:pt idx="956">
                  <c:v>913.614336176273</c:v>
                </c:pt>
                <c:pt idx="957">
                  <c:v>913.614336176273</c:v>
                </c:pt>
                <c:pt idx="958">
                  <c:v>913.614336176273</c:v>
                </c:pt>
                <c:pt idx="959">
                  <c:v>913.614336176273</c:v>
                </c:pt>
                <c:pt idx="960">
                  <c:v>913.614336176273</c:v>
                </c:pt>
                <c:pt idx="961">
                  <c:v>913.614336176273</c:v>
                </c:pt>
                <c:pt idx="962">
                  <c:v>913.614336176273</c:v>
                </c:pt>
                <c:pt idx="963">
                  <c:v>913.614336176273</c:v>
                </c:pt>
                <c:pt idx="964">
                  <c:v>913.614336176273</c:v>
                </c:pt>
                <c:pt idx="965">
                  <c:v>913.614336176273</c:v>
                </c:pt>
                <c:pt idx="966">
                  <c:v>913.614336176273</c:v>
                </c:pt>
                <c:pt idx="967">
                  <c:v>913.614336176273</c:v>
                </c:pt>
                <c:pt idx="968">
                  <c:v>913.614336176273</c:v>
                </c:pt>
                <c:pt idx="969">
                  <c:v>913.614336176273</c:v>
                </c:pt>
                <c:pt idx="970">
                  <c:v>913.614336176273</c:v>
                </c:pt>
                <c:pt idx="971">
                  <c:v>913.614336176273</c:v>
                </c:pt>
                <c:pt idx="972">
                  <c:v>913.614336176273</c:v>
                </c:pt>
                <c:pt idx="973">
                  <c:v>913.614336176273</c:v>
                </c:pt>
                <c:pt idx="974">
                  <c:v>913.614336176273</c:v>
                </c:pt>
                <c:pt idx="975">
                  <c:v>913.614336176273</c:v>
                </c:pt>
                <c:pt idx="976">
                  <c:v>913.614336176273</c:v>
                </c:pt>
                <c:pt idx="977">
                  <c:v>913.614336176273</c:v>
                </c:pt>
                <c:pt idx="978">
                  <c:v>913.614336176273</c:v>
                </c:pt>
                <c:pt idx="979">
                  <c:v>913.614336176273</c:v>
                </c:pt>
                <c:pt idx="980">
                  <c:v>913.614336176273</c:v>
                </c:pt>
                <c:pt idx="981">
                  <c:v>913.614336176273</c:v>
                </c:pt>
                <c:pt idx="982">
                  <c:v>913.614336176273</c:v>
                </c:pt>
                <c:pt idx="983">
                  <c:v>913.614336176273</c:v>
                </c:pt>
                <c:pt idx="984">
                  <c:v>913.614336176273</c:v>
                </c:pt>
                <c:pt idx="985">
                  <c:v>913.614336176273</c:v>
                </c:pt>
                <c:pt idx="986">
                  <c:v>913.614336176273</c:v>
                </c:pt>
                <c:pt idx="987">
                  <c:v>913.614336176273</c:v>
                </c:pt>
                <c:pt idx="988">
                  <c:v>913.614336176273</c:v>
                </c:pt>
                <c:pt idx="989">
                  <c:v>913.614336176273</c:v>
                </c:pt>
                <c:pt idx="990">
                  <c:v>913.614336176273</c:v>
                </c:pt>
                <c:pt idx="991">
                  <c:v>913.614336176273</c:v>
                </c:pt>
                <c:pt idx="992">
                  <c:v>913.614336176273</c:v>
                </c:pt>
                <c:pt idx="993">
                  <c:v>913.614336176273</c:v>
                </c:pt>
                <c:pt idx="994">
                  <c:v>913.614336176273</c:v>
                </c:pt>
                <c:pt idx="995">
                  <c:v>913.614336176273</c:v>
                </c:pt>
                <c:pt idx="996">
                  <c:v>913.614336176273</c:v>
                </c:pt>
                <c:pt idx="997">
                  <c:v>913.614336176273</c:v>
                </c:pt>
                <c:pt idx="998">
                  <c:v>913.614336176273</c:v>
                </c:pt>
                <c:pt idx="999">
                  <c:v>913.614336176273</c:v>
                </c:pt>
                <c:pt idx="1000">
                  <c:v>913.614336176273</c:v>
                </c:pt>
              </c:numCache>
            </c:numRef>
          </c:yVal>
          <c:smooth val="0"/>
        </c:ser>
        <c:ser>
          <c:idx val="1"/>
          <c:order val="1"/>
          <c:tx>
            <c:strRef>
              <c:f>Courbes!$B$143</c:f>
              <c:strCache>
                <c:ptCount val="1"/>
                <c:pt idx="0">
                  <c:v>Altitude</c:v>
                </c:pt>
              </c:strCache>
            </c:strRef>
          </c:tx>
          <c:spPr>
            <a:solidFill>
              <a:srgbClr val="000080"/>
            </a:solidFill>
            <a:ln w="12600">
              <a:solidFill>
                <a:srgbClr val="00008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34.8000000000002</c:v>
                </c:pt>
                <c:pt idx="709">
                  <c:v>34.9000000000002</c:v>
                </c:pt>
                <c:pt idx="710">
                  <c:v>35.0000000000002</c:v>
                </c:pt>
                <c:pt idx="711">
                  <c:v>35.1000000000002</c:v>
                </c:pt>
                <c:pt idx="712">
                  <c:v>35.2000000000002</c:v>
                </c:pt>
                <c:pt idx="713">
                  <c:v>35.3000000000002</c:v>
                </c:pt>
                <c:pt idx="714">
                  <c:v>35.4000000000002</c:v>
                </c:pt>
                <c:pt idx="715">
                  <c:v>35.5000000000002</c:v>
                </c:pt>
                <c:pt idx="716">
                  <c:v>35.6000000000002</c:v>
                </c:pt>
                <c:pt idx="717">
                  <c:v>35.7000000000002</c:v>
                </c:pt>
                <c:pt idx="718">
                  <c:v>35.8000000000002</c:v>
                </c:pt>
                <c:pt idx="719">
                  <c:v>35.9000000000002</c:v>
                </c:pt>
                <c:pt idx="720">
                  <c:v>36.0000000000002</c:v>
                </c:pt>
                <c:pt idx="721">
                  <c:v>36.1000000000002</c:v>
                </c:pt>
                <c:pt idx="722">
                  <c:v>36.2000000000002</c:v>
                </c:pt>
                <c:pt idx="723">
                  <c:v>36.3000000000002</c:v>
                </c:pt>
                <c:pt idx="724">
                  <c:v>36.3001000000002</c:v>
                </c:pt>
                <c:pt idx="725">
                  <c:v>36.3002000000002</c:v>
                </c:pt>
                <c:pt idx="726">
                  <c:v>36.3003000000002</c:v>
                </c:pt>
                <c:pt idx="727">
                  <c:v>36.3004000000002</c:v>
                </c:pt>
                <c:pt idx="728">
                  <c:v>36.3005000000002</c:v>
                </c:pt>
                <c:pt idx="729">
                  <c:v>36.3006000000002</c:v>
                </c:pt>
                <c:pt idx="730">
                  <c:v>36.3007000000002</c:v>
                </c:pt>
                <c:pt idx="731">
                  <c:v>36.3008000000002</c:v>
                </c:pt>
                <c:pt idx="732">
                  <c:v>36.3009000000002</c:v>
                </c:pt>
                <c:pt idx="733">
                  <c:v>36.3010000000002</c:v>
                </c:pt>
                <c:pt idx="734">
                  <c:v>36.3011000000002</c:v>
                </c:pt>
                <c:pt idx="735">
                  <c:v>36.3012000000002</c:v>
                </c:pt>
                <c:pt idx="736">
                  <c:v>36.3013000000002</c:v>
                </c:pt>
                <c:pt idx="737">
                  <c:v>36.3014000000003</c:v>
                </c:pt>
                <c:pt idx="738">
                  <c:v>36.3015000000003</c:v>
                </c:pt>
                <c:pt idx="739">
                  <c:v>36.3016000000003</c:v>
                </c:pt>
                <c:pt idx="740">
                  <c:v>36.3017000000003</c:v>
                </c:pt>
                <c:pt idx="741">
                  <c:v>36.3018000000003</c:v>
                </c:pt>
                <c:pt idx="742">
                  <c:v>36.3019000000003</c:v>
                </c:pt>
                <c:pt idx="743">
                  <c:v>36.3020000000003</c:v>
                </c:pt>
                <c:pt idx="744">
                  <c:v>36.3021000000003</c:v>
                </c:pt>
                <c:pt idx="745">
                  <c:v>36.3022000000003</c:v>
                </c:pt>
                <c:pt idx="746">
                  <c:v>36.3023000000003</c:v>
                </c:pt>
                <c:pt idx="747">
                  <c:v>36.3024000000003</c:v>
                </c:pt>
                <c:pt idx="748">
                  <c:v>36.3025000000003</c:v>
                </c:pt>
                <c:pt idx="749">
                  <c:v>36.3026000000003</c:v>
                </c:pt>
                <c:pt idx="750">
                  <c:v>36.3027000000003</c:v>
                </c:pt>
                <c:pt idx="751">
                  <c:v>36.3028000000003</c:v>
                </c:pt>
                <c:pt idx="752">
                  <c:v>36.3029000000003</c:v>
                </c:pt>
                <c:pt idx="753">
                  <c:v>36.3030000000003</c:v>
                </c:pt>
                <c:pt idx="754">
                  <c:v>36.3031000000003</c:v>
                </c:pt>
                <c:pt idx="755">
                  <c:v>36.3032000000003</c:v>
                </c:pt>
                <c:pt idx="756">
                  <c:v>36.3033000000003</c:v>
                </c:pt>
                <c:pt idx="757">
                  <c:v>36.3034000000003</c:v>
                </c:pt>
                <c:pt idx="758">
                  <c:v>36.3035000000003</c:v>
                </c:pt>
                <c:pt idx="759">
                  <c:v>36.3036000000003</c:v>
                </c:pt>
                <c:pt idx="760">
                  <c:v>36.3037000000003</c:v>
                </c:pt>
                <c:pt idx="761">
                  <c:v>36.3038000000003</c:v>
                </c:pt>
                <c:pt idx="762">
                  <c:v>36.3039000000003</c:v>
                </c:pt>
                <c:pt idx="763">
                  <c:v>36.3040000000003</c:v>
                </c:pt>
                <c:pt idx="764">
                  <c:v>36.3041000000003</c:v>
                </c:pt>
                <c:pt idx="765">
                  <c:v>36.3042000000003</c:v>
                </c:pt>
                <c:pt idx="766">
                  <c:v>36.3043000000003</c:v>
                </c:pt>
                <c:pt idx="767">
                  <c:v>36.3044000000004</c:v>
                </c:pt>
                <c:pt idx="768">
                  <c:v>36.3045000000004</c:v>
                </c:pt>
                <c:pt idx="769">
                  <c:v>36.3046000000004</c:v>
                </c:pt>
                <c:pt idx="770">
                  <c:v>36.3047000000004</c:v>
                </c:pt>
                <c:pt idx="771">
                  <c:v>36.3048000000004</c:v>
                </c:pt>
                <c:pt idx="772">
                  <c:v>36.3049000000004</c:v>
                </c:pt>
                <c:pt idx="773">
                  <c:v>36.3050000000004</c:v>
                </c:pt>
                <c:pt idx="774">
                  <c:v>36.3051000000004</c:v>
                </c:pt>
                <c:pt idx="775">
                  <c:v>36.3052000000004</c:v>
                </c:pt>
                <c:pt idx="776">
                  <c:v>36.3053000000004</c:v>
                </c:pt>
                <c:pt idx="777">
                  <c:v>36.3054000000004</c:v>
                </c:pt>
                <c:pt idx="778">
                  <c:v>36.3055000000004</c:v>
                </c:pt>
                <c:pt idx="779">
                  <c:v>36.3056000000004</c:v>
                </c:pt>
                <c:pt idx="780">
                  <c:v>36.3057000000004</c:v>
                </c:pt>
                <c:pt idx="781">
                  <c:v>36.3058000000004</c:v>
                </c:pt>
                <c:pt idx="782">
                  <c:v>36.3059000000004</c:v>
                </c:pt>
                <c:pt idx="783">
                  <c:v>36.3060000000004</c:v>
                </c:pt>
                <c:pt idx="784">
                  <c:v>36.3061000000004</c:v>
                </c:pt>
                <c:pt idx="785">
                  <c:v>36.3062000000004</c:v>
                </c:pt>
                <c:pt idx="786">
                  <c:v>36.3063000000004</c:v>
                </c:pt>
                <c:pt idx="787">
                  <c:v>36.3064000000004</c:v>
                </c:pt>
                <c:pt idx="788">
                  <c:v>36.3065000000004</c:v>
                </c:pt>
                <c:pt idx="789">
                  <c:v>36.3066000000004</c:v>
                </c:pt>
                <c:pt idx="790">
                  <c:v>36.3067000000004</c:v>
                </c:pt>
                <c:pt idx="791">
                  <c:v>36.3068000000004</c:v>
                </c:pt>
                <c:pt idx="792">
                  <c:v>36.3069000000004</c:v>
                </c:pt>
                <c:pt idx="793">
                  <c:v>36.3070000000004</c:v>
                </c:pt>
                <c:pt idx="794">
                  <c:v>36.3071000000004</c:v>
                </c:pt>
                <c:pt idx="795">
                  <c:v>36.3072000000004</c:v>
                </c:pt>
                <c:pt idx="796">
                  <c:v>36.3073000000004</c:v>
                </c:pt>
                <c:pt idx="797">
                  <c:v>36.3074000000005</c:v>
                </c:pt>
                <c:pt idx="798">
                  <c:v>36.3075000000005</c:v>
                </c:pt>
                <c:pt idx="799">
                  <c:v>36.3076000000005</c:v>
                </c:pt>
                <c:pt idx="800">
                  <c:v>36.3077000000005</c:v>
                </c:pt>
                <c:pt idx="801">
                  <c:v>36.3078000000005</c:v>
                </c:pt>
                <c:pt idx="802">
                  <c:v>36.3079000000005</c:v>
                </c:pt>
                <c:pt idx="803">
                  <c:v>36.3080000000005</c:v>
                </c:pt>
                <c:pt idx="804">
                  <c:v>36.3081000000005</c:v>
                </c:pt>
                <c:pt idx="805">
                  <c:v>36.3082000000005</c:v>
                </c:pt>
                <c:pt idx="806">
                  <c:v>36.3083000000005</c:v>
                </c:pt>
                <c:pt idx="807">
                  <c:v>36.3084000000005</c:v>
                </c:pt>
                <c:pt idx="808">
                  <c:v>36.3085000000005</c:v>
                </c:pt>
                <c:pt idx="809">
                  <c:v>36.3086000000005</c:v>
                </c:pt>
                <c:pt idx="810">
                  <c:v>36.3087000000005</c:v>
                </c:pt>
                <c:pt idx="811">
                  <c:v>36.3088000000005</c:v>
                </c:pt>
                <c:pt idx="812">
                  <c:v>36.3089000000005</c:v>
                </c:pt>
                <c:pt idx="813">
                  <c:v>36.3090000000005</c:v>
                </c:pt>
                <c:pt idx="814">
                  <c:v>36.3091000000005</c:v>
                </c:pt>
                <c:pt idx="815">
                  <c:v>36.3092000000005</c:v>
                </c:pt>
                <c:pt idx="816">
                  <c:v>36.3093000000005</c:v>
                </c:pt>
                <c:pt idx="817">
                  <c:v>36.3094000000005</c:v>
                </c:pt>
                <c:pt idx="818">
                  <c:v>36.3095000000005</c:v>
                </c:pt>
                <c:pt idx="819">
                  <c:v>36.3096000000005</c:v>
                </c:pt>
                <c:pt idx="820">
                  <c:v>36.3097000000005</c:v>
                </c:pt>
                <c:pt idx="821">
                  <c:v>36.3098000000005</c:v>
                </c:pt>
                <c:pt idx="822">
                  <c:v>36.3099000000005</c:v>
                </c:pt>
                <c:pt idx="823">
                  <c:v>36.3100000000005</c:v>
                </c:pt>
                <c:pt idx="824">
                  <c:v>36.3101000000005</c:v>
                </c:pt>
                <c:pt idx="825">
                  <c:v>36.3102000000005</c:v>
                </c:pt>
                <c:pt idx="826">
                  <c:v>36.3103000000005</c:v>
                </c:pt>
                <c:pt idx="827">
                  <c:v>36.3104000000006</c:v>
                </c:pt>
                <c:pt idx="828">
                  <c:v>36.3105000000006</c:v>
                </c:pt>
                <c:pt idx="829">
                  <c:v>36.3106000000006</c:v>
                </c:pt>
                <c:pt idx="830">
                  <c:v>36.3107000000006</c:v>
                </c:pt>
                <c:pt idx="831">
                  <c:v>36.3108000000006</c:v>
                </c:pt>
                <c:pt idx="832">
                  <c:v>36.3109000000006</c:v>
                </c:pt>
                <c:pt idx="833">
                  <c:v>36.3110000000006</c:v>
                </c:pt>
                <c:pt idx="834">
                  <c:v>36.3111000000006</c:v>
                </c:pt>
                <c:pt idx="835">
                  <c:v>36.3112000000006</c:v>
                </c:pt>
                <c:pt idx="836">
                  <c:v>36.3113000000006</c:v>
                </c:pt>
                <c:pt idx="837">
                  <c:v>36.3114000000006</c:v>
                </c:pt>
                <c:pt idx="838">
                  <c:v>36.3115000000006</c:v>
                </c:pt>
                <c:pt idx="839">
                  <c:v>36.3116000000006</c:v>
                </c:pt>
                <c:pt idx="840">
                  <c:v>36.3117000000006</c:v>
                </c:pt>
                <c:pt idx="841">
                  <c:v>36.3118000000006</c:v>
                </c:pt>
                <c:pt idx="842">
                  <c:v>36.3119000000006</c:v>
                </c:pt>
                <c:pt idx="843">
                  <c:v>36.3120000000006</c:v>
                </c:pt>
                <c:pt idx="844">
                  <c:v>36.3121000000006</c:v>
                </c:pt>
                <c:pt idx="845">
                  <c:v>36.3122000000006</c:v>
                </c:pt>
                <c:pt idx="846">
                  <c:v>36.3123000000006</c:v>
                </c:pt>
                <c:pt idx="847">
                  <c:v>36.3124000000006</c:v>
                </c:pt>
                <c:pt idx="848">
                  <c:v>36.3125000000006</c:v>
                </c:pt>
                <c:pt idx="849">
                  <c:v>36.3126000000006</c:v>
                </c:pt>
                <c:pt idx="850">
                  <c:v>36.3127000000006</c:v>
                </c:pt>
                <c:pt idx="851">
                  <c:v>36.3128000000006</c:v>
                </c:pt>
                <c:pt idx="852">
                  <c:v>36.3129000000006</c:v>
                </c:pt>
                <c:pt idx="853">
                  <c:v>36.3130000000006</c:v>
                </c:pt>
                <c:pt idx="854">
                  <c:v>36.3131000000006</c:v>
                </c:pt>
                <c:pt idx="855">
                  <c:v>36.3132000000006</c:v>
                </c:pt>
                <c:pt idx="856">
                  <c:v>36.3133000000006</c:v>
                </c:pt>
                <c:pt idx="857">
                  <c:v>36.3134000000007</c:v>
                </c:pt>
                <c:pt idx="858">
                  <c:v>36.3135000000007</c:v>
                </c:pt>
                <c:pt idx="859">
                  <c:v>36.3136000000007</c:v>
                </c:pt>
                <c:pt idx="860">
                  <c:v>36.3137000000007</c:v>
                </c:pt>
                <c:pt idx="861">
                  <c:v>36.3138000000007</c:v>
                </c:pt>
                <c:pt idx="862">
                  <c:v>36.3139000000007</c:v>
                </c:pt>
                <c:pt idx="863">
                  <c:v>36.3140000000007</c:v>
                </c:pt>
                <c:pt idx="864">
                  <c:v>36.3141000000007</c:v>
                </c:pt>
                <c:pt idx="865">
                  <c:v>36.3142000000007</c:v>
                </c:pt>
                <c:pt idx="866">
                  <c:v>36.3143000000007</c:v>
                </c:pt>
                <c:pt idx="867">
                  <c:v>36.3144000000007</c:v>
                </c:pt>
                <c:pt idx="868">
                  <c:v>36.3145000000007</c:v>
                </c:pt>
                <c:pt idx="869">
                  <c:v>36.3146000000007</c:v>
                </c:pt>
                <c:pt idx="870">
                  <c:v>36.3147000000007</c:v>
                </c:pt>
                <c:pt idx="871">
                  <c:v>36.3148000000007</c:v>
                </c:pt>
                <c:pt idx="872">
                  <c:v>36.3149000000007</c:v>
                </c:pt>
                <c:pt idx="873">
                  <c:v>36.3150000000007</c:v>
                </c:pt>
                <c:pt idx="874">
                  <c:v>36.3151000000007</c:v>
                </c:pt>
                <c:pt idx="875">
                  <c:v>36.3152000000007</c:v>
                </c:pt>
                <c:pt idx="876">
                  <c:v>36.3153000000007</c:v>
                </c:pt>
                <c:pt idx="877">
                  <c:v>36.3154000000007</c:v>
                </c:pt>
                <c:pt idx="878">
                  <c:v>36.3155000000007</c:v>
                </c:pt>
                <c:pt idx="879">
                  <c:v>36.3156000000007</c:v>
                </c:pt>
                <c:pt idx="880">
                  <c:v>36.3157000000007</c:v>
                </c:pt>
                <c:pt idx="881">
                  <c:v>36.3158000000007</c:v>
                </c:pt>
                <c:pt idx="882">
                  <c:v>36.3159000000007</c:v>
                </c:pt>
                <c:pt idx="883">
                  <c:v>36.3160000000007</c:v>
                </c:pt>
                <c:pt idx="884">
                  <c:v>36.3161000000007</c:v>
                </c:pt>
                <c:pt idx="885">
                  <c:v>36.3162000000007</c:v>
                </c:pt>
                <c:pt idx="886">
                  <c:v>36.3163000000007</c:v>
                </c:pt>
                <c:pt idx="887">
                  <c:v>36.3164000000008</c:v>
                </c:pt>
                <c:pt idx="888">
                  <c:v>36.3165000000008</c:v>
                </c:pt>
                <c:pt idx="889">
                  <c:v>36.3166000000008</c:v>
                </c:pt>
                <c:pt idx="890">
                  <c:v>36.3167000000008</c:v>
                </c:pt>
                <c:pt idx="891">
                  <c:v>36.3168000000008</c:v>
                </c:pt>
                <c:pt idx="892">
                  <c:v>36.3169000000008</c:v>
                </c:pt>
                <c:pt idx="893">
                  <c:v>36.3170000000008</c:v>
                </c:pt>
                <c:pt idx="894">
                  <c:v>36.3171000000008</c:v>
                </c:pt>
                <c:pt idx="895">
                  <c:v>36.3172000000008</c:v>
                </c:pt>
                <c:pt idx="896">
                  <c:v>36.3173000000008</c:v>
                </c:pt>
                <c:pt idx="897">
                  <c:v>36.3174000000008</c:v>
                </c:pt>
                <c:pt idx="898">
                  <c:v>36.3175000000008</c:v>
                </c:pt>
                <c:pt idx="899">
                  <c:v>36.3176000000008</c:v>
                </c:pt>
                <c:pt idx="900">
                  <c:v>36.3177000000008</c:v>
                </c:pt>
                <c:pt idx="901">
                  <c:v>36.3178000000008</c:v>
                </c:pt>
                <c:pt idx="902">
                  <c:v>36.3179000000008</c:v>
                </c:pt>
                <c:pt idx="903">
                  <c:v>36.3180000000008</c:v>
                </c:pt>
                <c:pt idx="904">
                  <c:v>36.3181000000008</c:v>
                </c:pt>
                <c:pt idx="905">
                  <c:v>36.3182000000008</c:v>
                </c:pt>
                <c:pt idx="906">
                  <c:v>36.3183000000008</c:v>
                </c:pt>
                <c:pt idx="907">
                  <c:v>36.3184000000008</c:v>
                </c:pt>
                <c:pt idx="908">
                  <c:v>36.3185000000008</c:v>
                </c:pt>
                <c:pt idx="909">
                  <c:v>36.3186000000008</c:v>
                </c:pt>
                <c:pt idx="910">
                  <c:v>36.3187000000008</c:v>
                </c:pt>
                <c:pt idx="911">
                  <c:v>36.3188000000008</c:v>
                </c:pt>
                <c:pt idx="912">
                  <c:v>36.3189000000008</c:v>
                </c:pt>
                <c:pt idx="913">
                  <c:v>36.3190000000008</c:v>
                </c:pt>
                <c:pt idx="914">
                  <c:v>36.3191000000008</c:v>
                </c:pt>
                <c:pt idx="915">
                  <c:v>36.3192000000008</c:v>
                </c:pt>
                <c:pt idx="916">
                  <c:v>36.3193000000008</c:v>
                </c:pt>
                <c:pt idx="917">
                  <c:v>36.3194000000009</c:v>
                </c:pt>
                <c:pt idx="918">
                  <c:v>36.3195000000009</c:v>
                </c:pt>
                <c:pt idx="919">
                  <c:v>36.3196000000009</c:v>
                </c:pt>
                <c:pt idx="920">
                  <c:v>36.3197000000009</c:v>
                </c:pt>
                <c:pt idx="921">
                  <c:v>36.3198000000009</c:v>
                </c:pt>
                <c:pt idx="922">
                  <c:v>36.3199000000009</c:v>
                </c:pt>
                <c:pt idx="923">
                  <c:v>36.3200000000009</c:v>
                </c:pt>
                <c:pt idx="924">
                  <c:v>36.3201000000009</c:v>
                </c:pt>
                <c:pt idx="925">
                  <c:v>36.3202000000009</c:v>
                </c:pt>
                <c:pt idx="926">
                  <c:v>36.3203000000009</c:v>
                </c:pt>
                <c:pt idx="927">
                  <c:v>36.3204000000009</c:v>
                </c:pt>
                <c:pt idx="928">
                  <c:v>36.3205000000009</c:v>
                </c:pt>
                <c:pt idx="929">
                  <c:v>36.3206000000009</c:v>
                </c:pt>
                <c:pt idx="930">
                  <c:v>36.3207000000009</c:v>
                </c:pt>
                <c:pt idx="931">
                  <c:v>36.3208000000009</c:v>
                </c:pt>
                <c:pt idx="932">
                  <c:v>36.3209000000009</c:v>
                </c:pt>
                <c:pt idx="933">
                  <c:v>36.3210000000009</c:v>
                </c:pt>
                <c:pt idx="934">
                  <c:v>36.3211000000009</c:v>
                </c:pt>
                <c:pt idx="935">
                  <c:v>36.3212000000009</c:v>
                </c:pt>
                <c:pt idx="936">
                  <c:v>36.3213000000009</c:v>
                </c:pt>
                <c:pt idx="937">
                  <c:v>36.3214000000009</c:v>
                </c:pt>
                <c:pt idx="938">
                  <c:v>36.3215000000009</c:v>
                </c:pt>
                <c:pt idx="939">
                  <c:v>36.3216000000009</c:v>
                </c:pt>
                <c:pt idx="940">
                  <c:v>36.3217000000009</c:v>
                </c:pt>
                <c:pt idx="941">
                  <c:v>36.3218000000009</c:v>
                </c:pt>
                <c:pt idx="942">
                  <c:v>36.3219000000009</c:v>
                </c:pt>
                <c:pt idx="943">
                  <c:v>36.3220000000009</c:v>
                </c:pt>
                <c:pt idx="944">
                  <c:v>36.3221000000009</c:v>
                </c:pt>
                <c:pt idx="945">
                  <c:v>36.3222000000009</c:v>
                </c:pt>
                <c:pt idx="946">
                  <c:v>36.3223000000009</c:v>
                </c:pt>
                <c:pt idx="947">
                  <c:v>36.322400000001</c:v>
                </c:pt>
                <c:pt idx="948">
                  <c:v>36.322500000001</c:v>
                </c:pt>
                <c:pt idx="949">
                  <c:v>36.322600000001</c:v>
                </c:pt>
                <c:pt idx="950">
                  <c:v>36.322700000001</c:v>
                </c:pt>
                <c:pt idx="951">
                  <c:v>36.322800000001</c:v>
                </c:pt>
                <c:pt idx="952">
                  <c:v>36.322900000001</c:v>
                </c:pt>
                <c:pt idx="953">
                  <c:v>36.323000000001</c:v>
                </c:pt>
                <c:pt idx="954">
                  <c:v>36.323100000001</c:v>
                </c:pt>
                <c:pt idx="955">
                  <c:v>36.323200000001</c:v>
                </c:pt>
                <c:pt idx="956">
                  <c:v>36.323300000001</c:v>
                </c:pt>
                <c:pt idx="957">
                  <c:v>36.323400000001</c:v>
                </c:pt>
                <c:pt idx="958">
                  <c:v>36.323500000001</c:v>
                </c:pt>
                <c:pt idx="959">
                  <c:v>36.323600000001</c:v>
                </c:pt>
                <c:pt idx="960">
                  <c:v>36.323700000001</c:v>
                </c:pt>
                <c:pt idx="961">
                  <c:v>36.323800000001</c:v>
                </c:pt>
                <c:pt idx="962">
                  <c:v>36.323900000001</c:v>
                </c:pt>
                <c:pt idx="963">
                  <c:v>36.324000000001</c:v>
                </c:pt>
                <c:pt idx="964">
                  <c:v>36.324100000001</c:v>
                </c:pt>
                <c:pt idx="965">
                  <c:v>36.324200000001</c:v>
                </c:pt>
                <c:pt idx="966">
                  <c:v>36.324300000001</c:v>
                </c:pt>
                <c:pt idx="967">
                  <c:v>36.324400000001</c:v>
                </c:pt>
                <c:pt idx="968">
                  <c:v>36.324500000001</c:v>
                </c:pt>
                <c:pt idx="969">
                  <c:v>36.324600000001</c:v>
                </c:pt>
                <c:pt idx="970">
                  <c:v>36.324700000001</c:v>
                </c:pt>
                <c:pt idx="971">
                  <c:v>36.324800000001</c:v>
                </c:pt>
                <c:pt idx="972">
                  <c:v>36.324900000001</c:v>
                </c:pt>
                <c:pt idx="973">
                  <c:v>36.325000000001</c:v>
                </c:pt>
                <c:pt idx="974">
                  <c:v>36.325100000001</c:v>
                </c:pt>
                <c:pt idx="975">
                  <c:v>36.325200000001</c:v>
                </c:pt>
                <c:pt idx="976">
                  <c:v>36.325300000001</c:v>
                </c:pt>
                <c:pt idx="977">
                  <c:v>36.325400000001</c:v>
                </c:pt>
                <c:pt idx="978">
                  <c:v>36.3255000000011</c:v>
                </c:pt>
                <c:pt idx="979">
                  <c:v>36.3256000000011</c:v>
                </c:pt>
                <c:pt idx="980">
                  <c:v>36.3257000000011</c:v>
                </c:pt>
                <c:pt idx="981">
                  <c:v>36.3258000000011</c:v>
                </c:pt>
                <c:pt idx="982">
                  <c:v>36.3259000000011</c:v>
                </c:pt>
                <c:pt idx="983">
                  <c:v>36.3260000000011</c:v>
                </c:pt>
                <c:pt idx="984">
                  <c:v>36.3261000000011</c:v>
                </c:pt>
                <c:pt idx="985">
                  <c:v>36.3262000000011</c:v>
                </c:pt>
                <c:pt idx="986">
                  <c:v>36.3263000000011</c:v>
                </c:pt>
                <c:pt idx="987">
                  <c:v>36.3264000000011</c:v>
                </c:pt>
                <c:pt idx="988">
                  <c:v>36.3265000000011</c:v>
                </c:pt>
                <c:pt idx="989">
                  <c:v>36.3266000000011</c:v>
                </c:pt>
                <c:pt idx="990">
                  <c:v>36.3267000000011</c:v>
                </c:pt>
                <c:pt idx="991">
                  <c:v>36.3268000000011</c:v>
                </c:pt>
                <c:pt idx="992">
                  <c:v>36.3269000000011</c:v>
                </c:pt>
                <c:pt idx="993">
                  <c:v>36.3270000000011</c:v>
                </c:pt>
                <c:pt idx="994">
                  <c:v>36.3271000000011</c:v>
                </c:pt>
                <c:pt idx="995">
                  <c:v>36.3272000000011</c:v>
                </c:pt>
                <c:pt idx="996">
                  <c:v>36.3273000000011</c:v>
                </c:pt>
                <c:pt idx="997">
                  <c:v>36.3274000000011</c:v>
                </c:pt>
                <c:pt idx="998">
                  <c:v>36.3275000000011</c:v>
                </c:pt>
                <c:pt idx="999">
                  <c:v>36.3276000000011</c:v>
                </c:pt>
                <c:pt idx="1000">
                  <c:v>36.3277000000011</c:v>
                </c:pt>
              </c:numCache>
            </c:numRef>
          </c:xVal>
          <c:yVal>
            <c:numRef>
              <c:f>Calculs!$K$4:$K$1004</c:f>
              <c:numCache>
                <c:formatCode>General</c:formatCode>
                <c:ptCount val="1001"/>
                <c:pt idx="0">
                  <c:v>0</c:v>
                </c:pt>
                <c:pt idx="1">
                  <c:v>4.71066430277206E-005</c:v>
                </c:pt>
                <c:pt idx="2">
                  <c:v>0.00123430985045809</c:v>
                </c:pt>
                <c:pt idx="3">
                  <c:v>0.00565398827554792</c:v>
                </c:pt>
                <c:pt idx="4">
                  <c:v>0.0154000738490383</c:v>
                </c:pt>
                <c:pt idx="5">
                  <c:v>0.032568704976589</c:v>
                </c:pt>
                <c:pt idx="6">
                  <c:v>0.0587286030075707</c:v>
                </c:pt>
                <c:pt idx="7">
                  <c:v>0.0943900694407182</c:v>
                </c:pt>
                <c:pt idx="8">
                  <c:v>0.139533610440935</c:v>
                </c:pt>
                <c:pt idx="9">
                  <c:v>0.194139616707074</c:v>
                </c:pt>
                <c:pt idx="10">
                  <c:v>0.25818836387632</c:v>
                </c:pt>
                <c:pt idx="11">
                  <c:v>0.331660012933674</c:v>
                </c:pt>
                <c:pt idx="12">
                  <c:v>0.414534610626495</c:v>
                </c:pt>
                <c:pt idx="13">
                  <c:v>0.506792089884068</c:v>
                </c:pt>
                <c:pt idx="14">
                  <c:v>0.608412270242167</c:v>
                </c:pt>
                <c:pt idx="15">
                  <c:v>0.719374858272552</c:v>
                </c:pt>
                <c:pt idx="16">
                  <c:v>0.839659448017392</c:v>
                </c:pt>
                <c:pt idx="17">
                  <c:v>0.969245521428544</c:v>
                </c:pt>
                <c:pt idx="18">
                  <c:v>1.10811244881168</c:v>
                </c:pt>
                <c:pt idx="19">
                  <c:v>1.25623948927518</c:v>
                </c:pt>
                <c:pt idx="20">
                  <c:v>1.4136057911838</c:v>
                </c:pt>
                <c:pt idx="21">
                  <c:v>1.58019039261706</c:v>
                </c:pt>
                <c:pt idx="22">
                  <c:v>1.75597222183222</c:v>
                </c:pt>
                <c:pt idx="23">
                  <c:v>1.94093009773201</c:v>
                </c:pt>
                <c:pt idx="24">
                  <c:v>2.13504273033682</c:v>
                </c:pt>
                <c:pt idx="25">
                  <c:v>2.33828872126149</c:v>
                </c:pt>
                <c:pt idx="26">
                  <c:v>2.55064656419662</c:v>
                </c:pt>
                <c:pt idx="27">
                  <c:v>2.77209464539425</c:v>
                </c:pt>
                <c:pt idx="28">
                  <c:v>3.00261124415803</c:v>
                </c:pt>
                <c:pt idx="29">
                  <c:v>3.24217453333772</c:v>
                </c:pt>
                <c:pt idx="30">
                  <c:v>3.49076257982799</c:v>
                </c:pt>
                <c:pt idx="31">
                  <c:v>3.74835334507152</c:v>
                </c:pt>
                <c:pt idx="32">
                  <c:v>4.01492468556632</c:v>
                </c:pt>
                <c:pt idx="33">
                  <c:v>4.29043955550623</c:v>
                </c:pt>
                <c:pt idx="34">
                  <c:v>4.57486029065876</c:v>
                </c:pt>
                <c:pt idx="35">
                  <c:v>4.86816341380027</c:v>
                </c:pt>
                <c:pt idx="36">
                  <c:v>5.17032536614843</c:v>
                </c:pt>
                <c:pt idx="37">
                  <c:v>5.48132251439453</c:v>
                </c:pt>
                <c:pt idx="38">
                  <c:v>5.80113114984989</c:v>
                </c:pt>
                <c:pt idx="39">
                  <c:v>6.12972748770731</c:v>
                </c:pt>
                <c:pt idx="40">
                  <c:v>6.46708766640578</c:v>
                </c:pt>
                <c:pt idx="41">
                  <c:v>6.81318774708791</c:v>
                </c:pt>
                <c:pt idx="42">
                  <c:v>7.16800371314139</c:v>
                </c:pt>
                <c:pt idx="43">
                  <c:v>7.53151146981626</c:v>
                </c:pt>
                <c:pt idx="44">
                  <c:v>7.90368684391139</c:v>
                </c:pt>
                <c:pt idx="45">
                  <c:v>8.28450558352366</c:v>
                </c:pt>
                <c:pt idx="46">
                  <c:v>8.67394335785479</c:v>
                </c:pt>
                <c:pt idx="47">
                  <c:v>9.07197575707059</c:v>
                </c:pt>
                <c:pt idx="48">
                  <c:v>9.47857829220871</c:v>
                </c:pt>
                <c:pt idx="49">
                  <c:v>9.89372639513068</c:v>
                </c:pt>
                <c:pt idx="50">
                  <c:v>10.3173954185151</c:v>
                </c:pt>
                <c:pt idx="51">
                  <c:v>10.7495634267414</c:v>
                </c:pt>
                <c:pt idx="52">
                  <c:v>11.1902139904642</c:v>
                </c:pt>
                <c:pt idx="53">
                  <c:v>11.6393334007848</c:v>
                </c:pt>
                <c:pt idx="54">
                  <c:v>12.096907879664</c:v>
                </c:pt>
                <c:pt idx="55">
                  <c:v>12.5629235798068</c:v>
                </c:pt>
                <c:pt idx="56">
                  <c:v>13.0373665845716</c:v>
                </c:pt>
                <c:pt idx="57">
                  <c:v>13.5202229079007</c:v>
                </c:pt>
                <c:pt idx="58">
                  <c:v>14.0114784942715</c:v>
                </c:pt>
                <c:pt idx="59">
                  <c:v>14.5111192186678</c:v>
                </c:pt>
                <c:pt idx="60">
                  <c:v>15.0191308865683</c:v>
                </c:pt>
                <c:pt idx="61">
                  <c:v>15.5354992339537</c:v>
                </c:pt>
                <c:pt idx="62">
                  <c:v>16.0602099273289</c:v>
                </c:pt>
                <c:pt idx="63">
                  <c:v>16.5932485637618</c:v>
                </c:pt>
                <c:pt idx="64">
                  <c:v>17.1346006709362</c:v>
                </c:pt>
                <c:pt idx="65">
                  <c:v>17.6842517072186</c:v>
                </c:pt>
                <c:pt idx="66">
                  <c:v>18.2421870617386</c:v>
                </c:pt>
                <c:pt idx="67">
                  <c:v>18.8083920544817</c:v>
                </c:pt>
                <c:pt idx="68">
                  <c:v>19.3828519363943</c:v>
                </c:pt>
                <c:pt idx="69">
                  <c:v>19.9655518894997</c:v>
                </c:pt>
                <c:pt idx="70">
                  <c:v>20.5564770270259</c:v>
                </c:pt>
                <c:pt idx="71">
                  <c:v>21.1556123935431</c:v>
                </c:pt>
                <c:pt idx="72">
                  <c:v>21.7629429651116</c:v>
                </c:pt>
                <c:pt idx="73">
                  <c:v>22.3784536494392</c:v>
                </c:pt>
                <c:pt idx="74">
                  <c:v>23.002129286048</c:v>
                </c:pt>
                <c:pt idx="75">
                  <c:v>23.6339546464496</c:v>
                </c:pt>
                <c:pt idx="76">
                  <c:v>24.2739144343295</c:v>
                </c:pt>
                <c:pt idx="77">
                  <c:v>24.9219932857388</c:v>
                </c:pt>
                <c:pt idx="78">
                  <c:v>25.5781757692946</c:v>
                </c:pt>
                <c:pt idx="79">
                  <c:v>26.2424463863875</c:v>
                </c:pt>
                <c:pt idx="80">
                  <c:v>26.9147895713961</c:v>
                </c:pt>
                <c:pt idx="81">
                  <c:v>27.5951896919097</c:v>
                </c:pt>
                <c:pt idx="82">
                  <c:v>28.283631048956</c:v>
                </c:pt>
                <c:pt idx="83">
                  <c:v>28.9800978772374</c:v>
                </c:pt>
                <c:pt idx="84">
                  <c:v>29.6845743453716</c:v>
                </c:pt>
                <c:pt idx="85">
                  <c:v>30.3970445561403</c:v>
                </c:pt>
                <c:pt idx="86">
                  <c:v>31.1174925467421</c:v>
                </c:pt>
                <c:pt idx="87">
                  <c:v>31.8459022890522</c:v>
                </c:pt>
                <c:pt idx="88">
                  <c:v>32.5822576898873</c:v>
                </c:pt>
                <c:pt idx="89">
                  <c:v>33.3265425912761</c:v>
                </c:pt>
                <c:pt idx="90">
                  <c:v>34.0787407707346</c:v>
                </c:pt>
                <c:pt idx="91">
                  <c:v>34.8388359415468</c:v>
                </c:pt>
                <c:pt idx="92">
                  <c:v>35.6068117530504</c:v>
                </c:pt>
                <c:pt idx="93">
                  <c:v>36.382651790927</c:v>
                </c:pt>
                <c:pt idx="94">
                  <c:v>37.166339577497</c:v>
                </c:pt>
                <c:pt idx="95">
                  <c:v>37.9578585720189</c:v>
                </c:pt>
                <c:pt idx="96">
                  <c:v>38.7571921709936</c:v>
                </c:pt>
                <c:pt idx="97">
                  <c:v>39.5643237084719</c:v>
                </c:pt>
                <c:pt idx="98">
                  <c:v>40.3792364563671</c:v>
                </c:pt>
                <c:pt idx="99">
                  <c:v>41.2019136247711</c:v>
                </c:pt>
                <c:pt idx="100">
                  <c:v>42.0323383622743</c:v>
                </c:pt>
                <c:pt idx="101">
                  <c:v>42.8704924708862</c:v>
                </c:pt>
                <c:pt idx="102">
                  <c:v>43.716355119818</c:v>
                </c:pt>
                <c:pt idx="103">
                  <c:v>44.569904130051</c:v>
                </c:pt>
                <c:pt idx="104">
                  <c:v>45.4311172601144</c:v>
                </c:pt>
                <c:pt idx="105">
                  <c:v>46.2999722065565</c:v>
                </c:pt>
                <c:pt idx="106">
                  <c:v>47.1764466044198</c:v>
                </c:pt>
                <c:pt idx="107">
                  <c:v>48.060518027718</c:v>
                </c:pt>
                <c:pt idx="108">
                  <c:v>48.9521639899168</c:v>
                </c:pt>
                <c:pt idx="109">
                  <c:v>49.851361944418</c:v>
                </c:pt>
                <c:pt idx="110">
                  <c:v>50.7580892850451</c:v>
                </c:pt>
                <c:pt idx="111">
                  <c:v>51.6723233465329</c:v>
                </c:pt>
                <c:pt idx="112">
                  <c:v>52.5940414050188</c:v>
                </c:pt>
                <c:pt idx="113">
                  <c:v>53.5232206785372</c:v>
                </c:pt>
                <c:pt idx="114">
                  <c:v>54.4598383275164</c:v>
                </c:pt>
                <c:pt idx="115">
                  <c:v>55.403871455277</c:v>
                </c:pt>
                <c:pt idx="116">
                  <c:v>56.3552971085334</c:v>
                </c:pt>
                <c:pt idx="117">
                  <c:v>57.3140922778975</c:v>
                </c:pt>
                <c:pt idx="118">
                  <c:v>58.2802338983836</c:v>
                </c:pt>
                <c:pt idx="119">
                  <c:v>59.2536988499165</c:v>
                </c:pt>
                <c:pt idx="120">
                  <c:v>60.2344639578404</c:v>
                </c:pt>
                <c:pt idx="121">
                  <c:v>61.2225059934308</c:v>
                </c:pt>
                <c:pt idx="122">
                  <c:v>62.217801674407</c:v>
                </c:pt>
                <c:pt idx="123">
                  <c:v>63.2203276654471</c:v>
                </c:pt>
                <c:pt idx="124">
                  <c:v>64.2300605787047</c:v>
                </c:pt>
                <c:pt idx="125">
                  <c:v>65.2469769743264</c:v>
                </c:pt>
                <c:pt idx="126">
                  <c:v>66.2710533609717</c:v>
                </c:pt>
                <c:pt idx="127">
                  <c:v>67.3022661963334</c:v>
                </c:pt>
                <c:pt idx="128">
                  <c:v>68.3405918876606</c:v>
                </c:pt>
                <c:pt idx="129">
                  <c:v>69.3860067922815</c:v>
                </c:pt>
                <c:pt idx="130">
                  <c:v>70.4384872181287</c:v>
                </c:pt>
                <c:pt idx="131">
                  <c:v>71.4980094242647</c:v>
                </c:pt>
                <c:pt idx="132">
                  <c:v>72.5645496214094</c:v>
                </c:pt>
                <c:pt idx="133">
                  <c:v>73.6380839724678</c:v>
                </c:pt>
                <c:pt idx="134">
                  <c:v>74.7185885930593</c:v>
                </c:pt>
                <c:pt idx="135">
                  <c:v>75.8060395520476</c:v>
                </c:pt>
                <c:pt idx="136">
                  <c:v>76.9004128720713</c:v>
                </c:pt>
                <c:pt idx="137">
                  <c:v>78.0016845300758</c:v>
                </c:pt>
                <c:pt idx="138">
                  <c:v>79.1098304578455</c:v>
                </c:pt>
                <c:pt idx="139">
                  <c:v>80.2248265425371</c:v>
                </c:pt>
                <c:pt idx="140">
                  <c:v>81.3466486272129</c:v>
                </c:pt>
                <c:pt idx="141">
                  <c:v>82.4752725113751</c:v>
                </c:pt>
                <c:pt idx="142">
                  <c:v>83.6106739515009</c:v>
                </c:pt>
                <c:pt idx="143">
                  <c:v>84.7528286615774</c:v>
                </c:pt>
                <c:pt idx="144">
                  <c:v>85.9017123136373</c:v>
                </c:pt>
                <c:pt idx="145">
                  <c:v>87.0573005382948</c:v>
                </c:pt>
                <c:pt idx="146">
                  <c:v>88.2195689252822</c:v>
                </c:pt>
                <c:pt idx="147">
                  <c:v>89.3884930239861</c:v>
                </c:pt>
                <c:pt idx="148">
                  <c:v>90.5640483439844</c:v>
                </c:pt>
                <c:pt idx="149">
                  <c:v>91.7462103555831</c:v>
                </c:pt>
                <c:pt idx="150">
                  <c:v>92.9349544903534</c:v>
                </c:pt>
                <c:pt idx="151">
                  <c:v>94.1302565788154</c:v>
                </c:pt>
                <c:pt idx="152">
                  <c:v>95.3320932882854</c:v>
                </c:pt>
                <c:pt idx="153">
                  <c:v>96.5404416862398</c:v>
                </c:pt>
                <c:pt idx="154">
                  <c:v>97.7552788034952</c:v>
                </c:pt>
                <c:pt idx="155">
                  <c:v>98.9765816347021</c:v>
                </c:pt>
                <c:pt idx="156">
                  <c:v>100.20432713884</c:v>
                </c:pt>
                <c:pt idx="157">
                  <c:v>101.438492239708</c:v>
                </c:pt>
                <c:pt idx="158">
                  <c:v>102.679053826426</c:v>
                </c:pt>
                <c:pt idx="159">
                  <c:v>103.925988753919</c:v>
                </c:pt>
                <c:pt idx="160">
                  <c:v>105.179273843418</c:v>
                </c:pt>
                <c:pt idx="161">
                  <c:v>106.438885882952</c:v>
                </c:pt>
                <c:pt idx="162">
                  <c:v>107.704801627838</c:v>
                </c:pt>
                <c:pt idx="163">
                  <c:v>108.976997801179</c:v>
                </c:pt>
                <c:pt idx="164">
                  <c:v>110.255451094353</c:v>
                </c:pt>
                <c:pt idx="165">
                  <c:v>111.540138167508</c:v>
                </c:pt>
                <c:pt idx="166">
                  <c:v>112.831035650051</c:v>
                </c:pt>
                <c:pt idx="167">
                  <c:v>114.128120141145</c:v>
                </c:pt>
                <c:pt idx="168">
                  <c:v>115.431368210194</c:v>
                </c:pt>
                <c:pt idx="169">
                  <c:v>116.740756397338</c:v>
                </c:pt>
                <c:pt idx="170">
                  <c:v>118.056261213942</c:v>
                </c:pt>
                <c:pt idx="171">
                  <c:v>119.377859143086</c:v>
                </c:pt>
                <c:pt idx="172">
                  <c:v>120.705526640052</c:v>
                </c:pt>
                <c:pt idx="173">
                  <c:v>122.039240132817</c:v>
                </c:pt>
                <c:pt idx="174">
                  <c:v>123.378976022538</c:v>
                </c:pt>
                <c:pt idx="175">
                  <c:v>124.724710684037</c:v>
                </c:pt>
                <c:pt idx="176">
                  <c:v>126.076420466293</c:v>
                </c:pt>
                <c:pt idx="177">
                  <c:v>127.434081692924</c:v>
                </c:pt>
                <c:pt idx="178">
                  <c:v>128.797670662672</c:v>
                </c:pt>
                <c:pt idx="179">
                  <c:v>130.167163649887</c:v>
                </c:pt>
                <c:pt idx="180">
                  <c:v>131.542536905014</c:v>
                </c:pt>
                <c:pt idx="181">
                  <c:v>132.923766655069</c:v>
                </c:pt>
                <c:pt idx="182">
                  <c:v>134.310829104127</c:v>
                </c:pt>
                <c:pt idx="183">
                  <c:v>135.703700433798</c:v>
                </c:pt>
                <c:pt idx="184">
                  <c:v>137.102356803708</c:v>
                </c:pt>
                <c:pt idx="185">
                  <c:v>138.506774351979</c:v>
                </c:pt>
                <c:pt idx="186">
                  <c:v>139.916929195703</c:v>
                </c:pt>
                <c:pt idx="187">
                  <c:v>141.332797431424</c:v>
                </c:pt>
                <c:pt idx="188">
                  <c:v>142.754355135606</c:v>
                </c:pt>
                <c:pt idx="189">
                  <c:v>144.181578365115</c:v>
                </c:pt>
                <c:pt idx="190">
                  <c:v>145.614443157687</c:v>
                </c:pt>
                <c:pt idx="191">
                  <c:v>147.0529255324</c:v>
                </c:pt>
                <c:pt idx="192">
                  <c:v>148.497001490148</c:v>
                </c:pt>
                <c:pt idx="193">
                  <c:v>149.946647014108</c:v>
                </c:pt>
                <c:pt idx="194">
                  <c:v>151.401838070208</c:v>
                </c:pt>
                <c:pt idx="195">
                  <c:v>152.862550607597</c:v>
                </c:pt>
                <c:pt idx="196">
                  <c:v>154.328760559107</c:v>
                </c:pt>
                <c:pt idx="197">
                  <c:v>155.800443841716</c:v>
                </c:pt>
                <c:pt idx="198">
                  <c:v>157.277576357019</c:v>
                </c:pt>
                <c:pt idx="199">
                  <c:v>158.760133991679</c:v>
                </c:pt>
                <c:pt idx="200">
                  <c:v>160.248092617895</c:v>
                </c:pt>
                <c:pt idx="201">
                  <c:v>161.741428093858</c:v>
                </c:pt>
                <c:pt idx="202">
                  <c:v>163.240116264207</c:v>
                </c:pt>
                <c:pt idx="203">
                  <c:v>164.744132960485</c:v>
                </c:pt>
                <c:pt idx="204">
                  <c:v>166.253454001595</c:v>
                </c:pt>
                <c:pt idx="205">
                  <c:v>167.768055194253</c:v>
                </c:pt>
                <c:pt idx="206">
                  <c:v>169.287912333435</c:v>
                </c:pt>
                <c:pt idx="207">
                  <c:v>170.81300120283</c:v>
                </c:pt>
                <c:pt idx="208">
                  <c:v>172.343297575289</c:v>
                </c:pt>
                <c:pt idx="209">
                  <c:v>173.878777213267</c:v>
                </c:pt>
                <c:pt idx="210">
                  <c:v>175.419415869271</c:v>
                </c:pt>
                <c:pt idx="211">
                  <c:v>176.965189286301</c:v>
                </c:pt>
                <c:pt idx="212">
                  <c:v>178.516073198294</c:v>
                </c:pt>
                <c:pt idx="213">
                  <c:v>180.07204333056</c:v>
                </c:pt>
                <c:pt idx="214">
                  <c:v>181.633075400222</c:v>
                </c:pt>
                <c:pt idx="215">
                  <c:v>183.199145116653</c:v>
                </c:pt>
                <c:pt idx="216">
                  <c:v>184.770228181906</c:v>
                </c:pt>
                <c:pt idx="217">
                  <c:v>186.346300291152</c:v>
                </c:pt>
                <c:pt idx="218">
                  <c:v>187.927337133106</c:v>
                </c:pt>
                <c:pt idx="219">
                  <c:v>189.51331439046</c:v>
                </c:pt>
                <c:pt idx="220">
                  <c:v>191.104207740305</c:v>
                </c:pt>
                <c:pt idx="221">
                  <c:v>192.699992854561</c:v>
                </c:pt>
                <c:pt idx="222">
                  <c:v>194.300645400397</c:v>
                </c:pt>
                <c:pt idx="223">
                  <c:v>195.906141040655</c:v>
                </c:pt>
                <c:pt idx="224">
                  <c:v>197.516455434266</c:v>
                </c:pt>
                <c:pt idx="225">
                  <c:v>199.13156423667</c:v>
                </c:pt>
                <c:pt idx="226">
                  <c:v>200.751443100231</c:v>
                </c:pt>
                <c:pt idx="227">
                  <c:v>202.376067674649</c:v>
                </c:pt>
                <c:pt idx="228">
                  <c:v>204.005413607376</c:v>
                </c:pt>
                <c:pt idx="229">
                  <c:v>205.639456544018</c:v>
                </c:pt>
                <c:pt idx="230">
                  <c:v>207.27817212875</c:v>
                </c:pt>
                <c:pt idx="231">
                  <c:v>208.921536004717</c:v>
                </c:pt>
                <c:pt idx="232">
                  <c:v>210.56952381444</c:v>
                </c:pt>
                <c:pt idx="233">
                  <c:v>212.222111200213</c:v>
                </c:pt>
                <c:pt idx="234">
                  <c:v>213.879273804509</c:v>
                </c:pt>
                <c:pt idx="235">
                  <c:v>215.540987270371</c:v>
                </c:pt>
                <c:pt idx="236">
                  <c:v>217.207227241811</c:v>
                </c:pt>
                <c:pt idx="237">
                  <c:v>218.8779693642</c:v>
                </c:pt>
                <c:pt idx="238">
                  <c:v>220.553189284663</c:v>
                </c:pt>
                <c:pt idx="239">
                  <c:v>222.232862652461</c:v>
                </c:pt>
                <c:pt idx="240">
                  <c:v>223.916965119385</c:v>
                </c:pt>
                <c:pt idx="241">
                  <c:v>225.605472340134</c:v>
                </c:pt>
                <c:pt idx="242">
                  <c:v>227.298359972703</c:v>
                </c:pt>
                <c:pt idx="243">
                  <c:v>228.995603678757</c:v>
                </c:pt>
                <c:pt idx="244">
                  <c:v>230.697179124013</c:v>
                </c:pt>
                <c:pt idx="245">
                  <c:v>232.403061978614</c:v>
                </c:pt>
                <c:pt idx="246">
                  <c:v>234.113227917502</c:v>
                </c:pt>
                <c:pt idx="247">
                  <c:v>235.82765262079</c:v>
                </c:pt>
                <c:pt idx="248">
                  <c:v>237.54631177413</c:v>
                </c:pt>
                <c:pt idx="249">
                  <c:v>239.26918106908</c:v>
                </c:pt>
                <c:pt idx="250">
                  <c:v>240.996236203467</c:v>
                </c:pt>
                <c:pt idx="251">
                  <c:v>242.727450997963</c:v>
                </c:pt>
                <c:pt idx="252">
                  <c:v>244.46279551367</c:v>
                </c:pt>
                <c:pt idx="253">
                  <c:v>246.202237939506</c:v>
                </c:pt>
                <c:pt idx="254">
                  <c:v>247.945746478657</c:v>
                </c:pt>
                <c:pt idx="255">
                  <c:v>249.693289349061</c:v>
                </c:pt>
                <c:pt idx="256">
                  <c:v>251.444834783895</c:v>
                </c:pt>
                <c:pt idx="257">
                  <c:v>253.200351032058</c:v>
                </c:pt>
                <c:pt idx="258">
                  <c:v>254.959806358648</c:v>
                </c:pt>
                <c:pt idx="259">
                  <c:v>256.723169045439</c:v>
                </c:pt>
                <c:pt idx="260">
                  <c:v>258.490407391346</c:v>
                </c:pt>
                <c:pt idx="261">
                  <c:v>260.261489712894</c:v>
                </c:pt>
                <c:pt idx="262">
                  <c:v>262.036384344682</c:v>
                </c:pt>
                <c:pt idx="263">
                  <c:v>263.815059639837</c:v>
                </c:pt>
                <c:pt idx="264">
                  <c:v>265.597483970473</c:v>
                </c:pt>
                <c:pt idx="265">
                  <c:v>267.383625728138</c:v>
                </c:pt>
                <c:pt idx="266">
                  <c:v>269.173453324261</c:v>
                </c:pt>
                <c:pt idx="267">
                  <c:v>270.966935190597</c:v>
                </c:pt>
                <c:pt idx="268">
                  <c:v>272.764039779661</c:v>
                </c:pt>
                <c:pt idx="269">
                  <c:v>274.564735565166</c:v>
                </c:pt>
                <c:pt idx="270">
                  <c:v>276.368991042453</c:v>
                </c:pt>
                <c:pt idx="271">
                  <c:v>278.176774728917</c:v>
                </c:pt>
                <c:pt idx="272">
                  <c:v>279.988055164428</c:v>
                </c:pt>
                <c:pt idx="273">
                  <c:v>281.802800911753</c:v>
                </c:pt>
                <c:pt idx="274">
                  <c:v>283.620980556967</c:v>
                </c:pt>
                <c:pt idx="275">
                  <c:v>285.442562709865</c:v>
                </c:pt>
                <c:pt idx="276">
                  <c:v>287.26751600437</c:v>
                </c:pt>
                <c:pt idx="277">
                  <c:v>289.095809098934</c:v>
                </c:pt>
                <c:pt idx="278">
                  <c:v>290.927410676934</c:v>
                </c:pt>
                <c:pt idx="279">
                  <c:v>292.762289447072</c:v>
                </c:pt>
                <c:pt idx="280">
                  <c:v>294.600414143763</c:v>
                </c:pt>
                <c:pt idx="281">
                  <c:v>296.441753527518</c:v>
                </c:pt>
                <c:pt idx="282">
                  <c:v>298.286276385332</c:v>
                </c:pt>
                <c:pt idx="283">
                  <c:v>300.133951531061</c:v>
                </c:pt>
                <c:pt idx="284">
                  <c:v>301.984747805795</c:v>
                </c:pt>
                <c:pt idx="285">
                  <c:v>303.838634078227</c:v>
                </c:pt>
                <c:pt idx="286">
                  <c:v>305.695579245027</c:v>
                </c:pt>
                <c:pt idx="287">
                  <c:v>307.555552231193</c:v>
                </c:pt>
                <c:pt idx="288">
                  <c:v>309.418521990423</c:v>
                </c:pt>
                <c:pt idx="289">
                  <c:v>311.284457505456</c:v>
                </c:pt>
                <c:pt idx="290">
                  <c:v>313.153327788433</c:v>
                </c:pt>
                <c:pt idx="291">
                  <c:v>315.025101881241</c:v>
                </c:pt>
                <c:pt idx="292">
                  <c:v>316.89974885585</c:v>
                </c:pt>
                <c:pt idx="293">
                  <c:v>318.777237814659</c:v>
                </c:pt>
                <c:pt idx="294">
                  <c:v>320.657537890829</c:v>
                </c:pt>
                <c:pt idx="295">
                  <c:v>322.540618248611</c:v>
                </c:pt>
                <c:pt idx="296">
                  <c:v>324.426448083675</c:v>
                </c:pt>
                <c:pt idx="297">
                  <c:v>326.314996623431</c:v>
                </c:pt>
                <c:pt idx="298">
                  <c:v>328.206212466285</c:v>
                </c:pt>
                <c:pt idx="299">
                  <c:v>330.100002941184</c:v>
                </c:pt>
                <c:pt idx="300">
                  <c:v>331.996254820626</c:v>
                </c:pt>
                <c:pt idx="301">
                  <c:v>333.89485501445</c:v>
                </c:pt>
                <c:pt idx="302">
                  <c:v>335.795690572298</c:v>
                </c:pt>
                <c:pt idx="303">
                  <c:v>337.698648686044</c:v>
                </c:pt>
                <c:pt idx="304">
                  <c:v>339.603616692162</c:v>
                </c:pt>
                <c:pt idx="305">
                  <c:v>341.510482074057</c:v>
                </c:pt>
                <c:pt idx="306">
                  <c:v>343.419132464343</c:v>
                </c:pt>
                <c:pt idx="307">
                  <c:v>345.329455647081</c:v>
                </c:pt>
                <c:pt idx="308">
                  <c:v>347.241339559963</c:v>
                </c:pt>
                <c:pt idx="309">
                  <c:v>349.154672296456</c:v>
                </c:pt>
                <c:pt idx="310">
                  <c:v>351.069342107896</c:v>
                </c:pt>
                <c:pt idx="311">
                  <c:v>352.985237405536</c:v>
                </c:pt>
                <c:pt idx="312">
                  <c:v>354.902246762553</c:v>
                </c:pt>
                <c:pt idx="313">
                  <c:v>356.820258916</c:v>
                </c:pt>
                <c:pt idx="314">
                  <c:v>358.739162768723</c:v>
                </c:pt>
                <c:pt idx="315">
                  <c:v>360.658847391222</c:v>
                </c:pt>
                <c:pt idx="316">
                  <c:v>362.579202023477</c:v>
                </c:pt>
                <c:pt idx="317">
                  <c:v>364.50011607672</c:v>
                </c:pt>
                <c:pt idx="318">
                  <c:v>366.421479135169</c:v>
                </c:pt>
                <c:pt idx="319">
                  <c:v>368.343180957711</c:v>
                </c:pt>
                <c:pt idx="320">
                  <c:v>370.265111479548</c:v>
                </c:pt>
                <c:pt idx="321">
                  <c:v>372.1871690264</c:v>
                </c:pt>
                <c:pt idx="322">
                  <c:v>374.109268515989</c:v>
                </c:pt>
                <c:pt idx="323">
                  <c:v>376.031333219358</c:v>
                </c:pt>
                <c:pt idx="324">
                  <c:v>377.953286534437</c:v>
                </c:pt>
                <c:pt idx="325">
                  <c:v>379.875051986663</c:v>
                </c:pt>
                <c:pt idx="326">
                  <c:v>381.796553229589</c:v>
                </c:pt>
                <c:pt idx="327">
                  <c:v>383.717714045467</c:v>
                </c:pt>
                <c:pt idx="328">
                  <c:v>385.638458345807</c:v>
                </c:pt>
                <c:pt idx="329">
                  <c:v>387.558710171922</c:v>
                </c:pt>
                <c:pt idx="330">
                  <c:v>389.478393695449</c:v>
                </c:pt>
                <c:pt idx="331">
                  <c:v>391.39743321885</c:v>
                </c:pt>
                <c:pt idx="332">
                  <c:v>393.315753175894</c:v>
                </c:pt>
                <c:pt idx="333">
                  <c:v>395.233278132115</c:v>
                </c:pt>
                <c:pt idx="334">
                  <c:v>397.149932785254</c:v>
                </c:pt>
                <c:pt idx="335">
                  <c:v>399.065641965684</c:v>
                </c:pt>
                <c:pt idx="336">
                  <c:v>400.980330636806</c:v>
                </c:pt>
                <c:pt idx="337">
                  <c:v>402.893923895431</c:v>
                </c:pt>
                <c:pt idx="338">
                  <c:v>404.806346972149</c:v>
                </c:pt>
                <c:pt idx="339">
                  <c:v>406.717525231664</c:v>
                </c:pt>
                <c:pt idx="340">
                  <c:v>408.627384173124</c:v>
                </c:pt>
                <c:pt idx="341">
                  <c:v>410.535849430424</c:v>
                </c:pt>
                <c:pt idx="342">
                  <c:v>412.442846772492</c:v>
                </c:pt>
                <c:pt idx="343">
                  <c:v>414.34830210356</c:v>
                </c:pt>
                <c:pt idx="344">
                  <c:v>416.252141463406</c:v>
                </c:pt>
                <c:pt idx="345">
                  <c:v>418.154291027595</c:v>
                </c:pt>
                <c:pt idx="346">
                  <c:v>420.054677107683</c:v>
                </c:pt>
                <c:pt idx="347">
                  <c:v>421.953226151417</c:v>
                </c:pt>
                <c:pt idx="348">
                  <c:v>423.849865627964</c:v>
                </c:pt>
                <c:pt idx="349">
                  <c:v>425.744524911418</c:v>
                </c:pt>
                <c:pt idx="350">
                  <c:v>427.637134392424</c:v>
                </c:pt>
                <c:pt idx="351">
                  <c:v>429.527624591481</c:v>
                </c:pt>
                <c:pt idx="352">
                  <c:v>431.415926159006</c:v>
                </c:pt>
                <c:pt idx="353">
                  <c:v>433.301969875388</c:v>
                </c:pt>
                <c:pt idx="354">
                  <c:v>435.185686651018</c:v>
                </c:pt>
                <c:pt idx="355">
                  <c:v>437.067007526316</c:v>
                </c:pt>
                <c:pt idx="356">
                  <c:v>438.945863671729</c:v>
                </c:pt>
                <c:pt idx="357">
                  <c:v>440.822186387727</c:v>
                </c:pt>
                <c:pt idx="358">
                  <c:v>442.695907104775</c:v>
                </c:pt>
                <c:pt idx="359">
                  <c:v>444.566957383295</c:v>
                </c:pt>
                <c:pt idx="360">
                  <c:v>446.435287313958</c:v>
                </c:pt>
                <c:pt idx="361">
                  <c:v>448.300883879948</c:v>
                </c:pt>
                <c:pt idx="362">
                  <c:v>450.163752481729</c:v>
                </c:pt>
                <c:pt idx="363">
                  <c:v>452.023898499902</c:v>
                </c:pt>
                <c:pt idx="364">
                  <c:v>453.881327295308</c:v>
                </c:pt>
                <c:pt idx="365">
                  <c:v>455.73604420912</c:v>
                </c:pt>
                <c:pt idx="366">
                  <c:v>457.588054562936</c:v>
                </c:pt>
                <c:pt idx="367">
                  <c:v>459.437363658876</c:v>
                </c:pt>
                <c:pt idx="368">
                  <c:v>461.283976779679</c:v>
                </c:pt>
                <c:pt idx="369">
                  <c:v>463.12789918879</c:v>
                </c:pt>
                <c:pt idx="370">
                  <c:v>464.969136130456</c:v>
                </c:pt>
                <c:pt idx="371">
                  <c:v>466.80769282982</c:v>
                </c:pt>
                <c:pt idx="372">
                  <c:v>468.64357449301</c:v>
                </c:pt>
                <c:pt idx="373">
                  <c:v>470.476786307231</c:v>
                </c:pt>
                <c:pt idx="374">
                  <c:v>472.307333440856</c:v>
                </c:pt>
                <c:pt idx="375">
                  <c:v>474.135221043514</c:v>
                </c:pt>
                <c:pt idx="376">
                  <c:v>475.960454246184</c:v>
                </c:pt>
                <c:pt idx="377">
                  <c:v>477.783038161279</c:v>
                </c:pt>
                <c:pt idx="378">
                  <c:v>479.602977882736</c:v>
                </c:pt>
                <c:pt idx="379">
                  <c:v>481.420278486108</c:v>
                </c:pt>
                <c:pt idx="380">
                  <c:v>483.234945028644</c:v>
                </c:pt>
                <c:pt idx="381">
                  <c:v>485.04698254938</c:v>
                </c:pt>
                <c:pt idx="382">
                  <c:v>486.856396069227</c:v>
                </c:pt>
                <c:pt idx="383">
                  <c:v>488.663190591054</c:v>
                </c:pt>
                <c:pt idx="384">
                  <c:v>490.467371099771</c:v>
                </c:pt>
                <c:pt idx="385">
                  <c:v>492.268942562421</c:v>
                </c:pt>
                <c:pt idx="386">
                  <c:v>494.067909928258</c:v>
                </c:pt>
                <c:pt idx="387">
                  <c:v>495.864278128833</c:v>
                </c:pt>
                <c:pt idx="388">
                  <c:v>497.658052078076</c:v>
                </c:pt>
                <c:pt idx="389">
                  <c:v>499.449236672381</c:v>
                </c:pt>
                <c:pt idx="390">
                  <c:v>501.237836790687</c:v>
                </c:pt>
                <c:pt idx="391">
                  <c:v>503.023857294559</c:v>
                </c:pt>
                <c:pt idx="392">
                  <c:v>504.80730302827</c:v>
                </c:pt>
                <c:pt idx="393">
                  <c:v>506.588178818884</c:v>
                </c:pt>
                <c:pt idx="394">
                  <c:v>508.366489476332</c:v>
                </c:pt>
                <c:pt idx="395">
                  <c:v>510.142239793496</c:v>
                </c:pt>
                <c:pt idx="396">
                  <c:v>511.915434546283</c:v>
                </c:pt>
                <c:pt idx="397">
                  <c:v>513.686078493713</c:v>
                </c:pt>
                <c:pt idx="398">
                  <c:v>515.454176377986</c:v>
                </c:pt>
                <c:pt idx="399">
                  <c:v>517.219732924571</c:v>
                </c:pt>
                <c:pt idx="400">
                  <c:v>518.982752842275</c:v>
                </c:pt>
                <c:pt idx="401">
                  <c:v>536.473800892352</c:v>
                </c:pt>
                <c:pt idx="402">
                  <c:v>553.714204690806</c:v>
                </c:pt>
                <c:pt idx="403">
                  <c:v>570.708514530673</c:v>
                </c:pt>
                <c:pt idx="404">
                  <c:v>587.461124033914</c:v>
                </c:pt>
                <c:pt idx="405">
                  <c:v>603.976277161297</c:v>
                </c:pt>
                <c:pt idx="406">
                  <c:v>620.258074828367</c:v>
                </c:pt>
                <c:pt idx="407">
                  <c:v>636.310481153894</c:v>
                </c:pt>
                <c:pt idx="408">
                  <c:v>652.137329365098</c:v>
                </c:pt>
                <c:pt idx="409">
                  <c:v>667.74232738213</c:v>
                </c:pt>
                <c:pt idx="410">
                  <c:v>683.129063102546</c:v>
                </c:pt>
                <c:pt idx="411">
                  <c:v>698.301009404979</c:v>
                </c:pt>
                <c:pt idx="412">
                  <c:v>713.261528889775</c:v>
                </c:pt>
                <c:pt idx="413">
                  <c:v>728.013878373066</c:v>
                </c:pt>
                <c:pt idx="414">
                  <c:v>742.561213149541</c:v>
                </c:pt>
                <c:pt idx="415">
                  <c:v>756.906591038096</c:v>
                </c:pt>
                <c:pt idx="416">
                  <c:v>771.052976223531</c:v>
                </c:pt>
                <c:pt idx="417">
                  <c:v>785.003242906522</c:v>
                </c:pt>
                <c:pt idx="418">
                  <c:v>798.760178773266</c:v>
                </c:pt>
                <c:pt idx="419">
                  <c:v>812.326488295387</c:v>
                </c:pt>
                <c:pt idx="420">
                  <c:v>825.704795869996</c:v>
                </c:pt>
                <c:pt idx="421">
                  <c:v>838.897648809097</c:v>
                </c:pt>
                <c:pt idx="422">
                  <c:v>851.907520186954</c:v>
                </c:pt>
                <c:pt idx="423">
                  <c:v>864.736811553414</c:v>
                </c:pt>
                <c:pt idx="424">
                  <c:v>877.387855520712</c:v>
                </c:pt>
                <c:pt idx="425">
                  <c:v>889.862918230744</c:v>
                </c:pt>
                <c:pt idx="426">
                  <c:v>902.164201709387</c:v>
                </c:pt>
                <c:pt idx="427">
                  <c:v>914.29384611398</c:v>
                </c:pt>
                <c:pt idx="428">
                  <c:v>926.253931879745</c:v>
                </c:pt>
                <c:pt idx="429">
                  <c:v>938.04648177052</c:v>
                </c:pt>
                <c:pt idx="430">
                  <c:v>949.673462838862</c:v>
                </c:pt>
                <c:pt idx="431">
                  <c:v>961.13678830028</c:v>
                </c:pt>
                <c:pt idx="432">
                  <c:v>972.438319326032</c:v>
                </c:pt>
                <c:pt idx="433">
                  <c:v>983.579866758694</c:v>
                </c:pt>
                <c:pt idx="434">
                  <c:v>994.563192754425</c:v>
                </c:pt>
                <c:pt idx="435">
                  <c:v>1005.39001235563</c:v>
                </c:pt>
                <c:pt idx="436">
                  <c:v>1016.06199499751</c:v>
                </c:pt>
                <c:pt idx="437">
                  <c:v>1026.58076595179</c:v>
                </c:pt>
                <c:pt idx="438">
                  <c:v>1036.94790771068</c:v>
                </c:pt>
                <c:pt idx="439">
                  <c:v>1047.16496131404</c:v>
                </c:pt>
                <c:pt idx="440">
                  <c:v>1057.23342762243</c:v>
                </c:pt>
                <c:pt idx="441">
                  <c:v>1067.15476853871</c:v>
                </c:pt>
                <c:pt idx="442">
                  <c:v>1076.9304081806</c:v>
                </c:pt>
                <c:pt idx="443">
                  <c:v>1086.56173400643</c:v>
                </c:pt>
                <c:pt idx="444">
                  <c:v>1096.05009789652</c:v>
                </c:pt>
                <c:pt idx="445">
                  <c:v>1105.39681719191</c:v>
                </c:pt>
                <c:pt idx="446">
                  <c:v>1114.60317569265</c:v>
                </c:pt>
                <c:pt idx="447">
                  <c:v>1123.67042461744</c:v>
                </c:pt>
                <c:pt idx="448">
                  <c:v>1132.59978352632</c:v>
                </c:pt>
                <c:pt idx="449">
                  <c:v>1141.39244120804</c:v>
                </c:pt>
                <c:pt idx="450">
                  <c:v>1150.04955653388</c:v>
                </c:pt>
                <c:pt idx="451">
                  <c:v>1158.57225927911</c:v>
                </c:pt>
                <c:pt idx="452">
                  <c:v>1166.96165091378</c:v>
                </c:pt>
                <c:pt idx="453">
                  <c:v>1175.21880536399</c:v>
                </c:pt>
                <c:pt idx="454">
                  <c:v>1183.34476974504</c:v>
                </c:pt>
                <c:pt idx="455">
                  <c:v>1191.34056506756</c:v>
                </c:pt>
                <c:pt idx="456">
                  <c:v>1199.20718691783</c:v>
                </c:pt>
                <c:pt idx="457">
                  <c:v>1206.94560611347</c:v>
                </c:pt>
                <c:pt idx="458">
                  <c:v>1214.55676933526</c:v>
                </c:pt>
                <c:pt idx="459">
                  <c:v>1222.04159973646</c:v>
                </c:pt>
                <c:pt idx="460">
                  <c:v>1229.40099753023</c:v>
                </c:pt>
                <c:pt idx="461">
                  <c:v>1236.63584055626</c:v>
                </c:pt>
                <c:pt idx="462">
                  <c:v>1243.74698482738</c:v>
                </c:pt>
                <c:pt idx="463">
                  <c:v>1250.73526505695</c:v>
                </c:pt>
                <c:pt idx="464">
                  <c:v>1257.60149516792</c:v>
                </c:pt>
                <c:pt idx="465">
                  <c:v>1264.3464687841</c:v>
                </c:pt>
                <c:pt idx="466">
                  <c:v>1270.97095970457</c:v>
                </c:pt>
                <c:pt idx="467">
                  <c:v>1277.47572236175</c:v>
                </c:pt>
                <c:pt idx="468">
                  <c:v>1283.8614922639</c:v>
                </c:pt>
                <c:pt idx="469">
                  <c:v>1290.1289864225</c:v>
                </c:pt>
                <c:pt idx="470">
                  <c:v>1296.27890376534</c:v>
                </c:pt>
                <c:pt idx="471">
                  <c:v>1302.31192553567</c:v>
                </c:pt>
                <c:pt idx="472">
                  <c:v>1308.22871567811</c:v>
                </c:pt>
                <c:pt idx="473">
                  <c:v>1314.02992121177</c:v>
                </c:pt>
                <c:pt idx="474">
                  <c:v>1319.71617259112</c:v>
                </c:pt>
                <c:pt idx="475">
                  <c:v>1325.28808405511</c:v>
                </c:pt>
                <c:pt idx="476">
                  <c:v>1330.74625396496</c:v>
                </c:pt>
                <c:pt idx="477">
                  <c:v>1336.09126513115</c:v>
                </c:pt>
                <c:pt idx="478">
                  <c:v>1341.32368513</c:v>
                </c:pt>
                <c:pt idx="479">
                  <c:v>1346.44406661033</c:v>
                </c:pt>
                <c:pt idx="480">
                  <c:v>1351.45294759054</c:v>
                </c:pt>
                <c:pt idx="481">
                  <c:v>1356.3508517466</c:v>
                </c:pt>
                <c:pt idx="482">
                  <c:v>1361.13828869131</c:v>
                </c:pt>
                <c:pt idx="483">
                  <c:v>1365.81575424524</c:v>
                </c:pt>
                <c:pt idx="484">
                  <c:v>1370.38373069974</c:v>
                </c:pt>
                <c:pt idx="485">
                  <c:v>1374.8426870724</c:v>
                </c:pt>
                <c:pt idx="486">
                  <c:v>1379.19307935538</c:v>
                </c:pt>
                <c:pt idx="487">
                  <c:v>1383.43535075694</c:v>
                </c:pt>
                <c:pt idx="488">
                  <c:v>1387.5699319366</c:v>
                </c:pt>
                <c:pt idx="489">
                  <c:v>1391.59724123428</c:v>
                </c:pt>
                <c:pt idx="490">
                  <c:v>1395.51768489392</c:v>
                </c:pt>
                <c:pt idx="491">
                  <c:v>1399.33165728179</c:v>
                </c:pt>
                <c:pt idx="492">
                  <c:v>1403.03954110011</c:v>
                </c:pt>
                <c:pt idx="493">
                  <c:v>1406.64170759628</c:v>
                </c:pt>
                <c:pt idx="494">
                  <c:v>1410.13851676822</c:v>
                </c:pt>
                <c:pt idx="495">
                  <c:v>1413.53031756616</c:v>
                </c:pt>
                <c:pt idx="496">
                  <c:v>1416.81744809161</c:v>
                </c:pt>
                <c:pt idx="497">
                  <c:v>1420.00023579371</c:v>
                </c:pt>
                <c:pt idx="498">
                  <c:v>1423.0789976637</c:v>
                </c:pt>
                <c:pt idx="499">
                  <c:v>1426.05404042801</c:v>
                </c:pt>
                <c:pt idx="500">
                  <c:v>1428.92566074053</c:v>
                </c:pt>
                <c:pt idx="501">
                  <c:v>1431.69414537473</c:v>
                </c:pt>
                <c:pt idx="502">
                  <c:v>1434.35977141632</c:v>
                </c:pt>
                <c:pt idx="503">
                  <c:v>1436.92280645707</c:v>
                </c:pt>
                <c:pt idx="504">
                  <c:v>1439.38350879069</c:v>
                </c:pt>
                <c:pt idx="505">
                  <c:v>1441.74212761151</c:v>
                </c:pt>
                <c:pt idx="506">
                  <c:v>1443.99890321673</c:v>
                </c:pt>
                <c:pt idx="507">
                  <c:v>1446.15406721341</c:v>
                </c:pt>
                <c:pt idx="508">
                  <c:v>1448.20784273087</c:v>
                </c:pt>
                <c:pt idx="509">
                  <c:v>1450.1604446397</c:v>
                </c:pt>
                <c:pt idx="510">
                  <c:v>1452.01207977844</c:v>
                </c:pt>
                <c:pt idx="511">
                  <c:v>1453.76294718888</c:v>
                </c:pt>
                <c:pt idx="512">
                  <c:v>1455.41323836126</c:v>
                </c:pt>
                <c:pt idx="513">
                  <c:v>1456.96313749045</c:v>
                </c:pt>
                <c:pt idx="514">
                  <c:v>1458.41282174416</c:v>
                </c:pt>
                <c:pt idx="515">
                  <c:v>1459.7624615444</c:v>
                </c:pt>
                <c:pt idx="516">
                  <c:v>1461.01222086315</c:v>
                </c:pt>
                <c:pt idx="517">
                  <c:v>1462.16225753319</c:v>
                </c:pt>
                <c:pt idx="518">
                  <c:v>1463.21272357493</c:v>
                </c:pt>
                <c:pt idx="519">
                  <c:v>1464.16376553986</c:v>
                </c:pt>
                <c:pt idx="520">
                  <c:v>1465.01552487109</c:v>
                </c:pt>
                <c:pt idx="521">
                  <c:v>1465.76813828109</c:v>
                </c:pt>
                <c:pt idx="522">
                  <c:v>1466.42173814652</c:v>
                </c:pt>
                <c:pt idx="523">
                  <c:v>1466.97645291975</c:v>
                </c:pt>
                <c:pt idx="524">
                  <c:v>1467.43240755602</c:v>
                </c:pt>
                <c:pt idx="525">
                  <c:v>1467.78972395522</c:v>
                </c:pt>
                <c:pt idx="526">
                  <c:v>1468.04852141647</c:v>
                </c:pt>
                <c:pt idx="527">
                  <c:v>1468.20891710357</c:v>
                </c:pt>
                <c:pt idx="528">
                  <c:v>1468.27102651883</c:v>
                </c:pt>
                <c:pt idx="529">
                  <c:v>1468.23496398257</c:v>
                </c:pt>
                <c:pt idx="530">
                  <c:v>1468.10084311547</c:v>
                </c:pt>
                <c:pt idx="531">
                  <c:v>1467.86877732031</c:v>
                </c:pt>
                <c:pt idx="532">
                  <c:v>1467.53888026027</c:v>
                </c:pt>
                <c:pt idx="533">
                  <c:v>1467.11126633019</c:v>
                </c:pt>
                <c:pt idx="534">
                  <c:v>1466.58605111802</c:v>
                </c:pt>
                <c:pt idx="535">
                  <c:v>1465.96335185332</c:v>
                </c:pt>
                <c:pt idx="536">
                  <c:v>1465.2432878402</c:v>
                </c:pt>
                <c:pt idx="537">
                  <c:v>1464.42598087253</c:v>
                </c:pt>
                <c:pt idx="538">
                  <c:v>1463.51155562929</c:v>
                </c:pt>
                <c:pt idx="539">
                  <c:v>1462.50014004868</c:v>
                </c:pt>
                <c:pt idx="540">
                  <c:v>1461.39186567972</c:v>
                </c:pt>
                <c:pt idx="541">
                  <c:v>1460.18686801067</c:v>
                </c:pt>
                <c:pt idx="542">
                  <c:v>1458.88528677394</c:v>
                </c:pt>
                <c:pt idx="543">
                  <c:v>1457.48726622733</c:v>
                </c:pt>
                <c:pt idx="544">
                  <c:v>1455.99295541192</c:v>
                </c:pt>
                <c:pt idx="545">
                  <c:v>1454.40250838716</c:v>
                </c:pt>
                <c:pt idx="546">
                  <c:v>1452.71608444375</c:v>
                </c:pt>
                <c:pt idx="547">
                  <c:v>1450.93384829522</c:v>
                </c:pt>
                <c:pt idx="548">
                  <c:v>1449.0559702493</c:v>
                </c:pt>
                <c:pt idx="549">
                  <c:v>1447.08262635987</c:v>
                </c:pt>
                <c:pt idx="550">
                  <c:v>1445.01399856081</c:v>
                </c:pt>
                <c:pt idx="551">
                  <c:v>1442.85027478285</c:v>
                </c:pt>
                <c:pt idx="552">
                  <c:v>1440.59164905434</c:v>
                </c:pt>
                <c:pt idx="553">
                  <c:v>1438.23832158725</c:v>
                </c:pt>
                <c:pt idx="554">
                  <c:v>1435.79049884932</c:v>
                </c:pt>
                <c:pt idx="555">
                  <c:v>1433.24839362339</c:v>
                </c:pt>
                <c:pt idx="556">
                  <c:v>1430.61222505487</c:v>
                </c:pt>
                <c:pt idx="557">
                  <c:v>1427.88221868822</c:v>
                </c:pt>
                <c:pt idx="558">
                  <c:v>1425.05860649334</c:v>
                </c:pt>
                <c:pt idx="559">
                  <c:v>1422.14162688253</c:v>
                </c:pt>
                <c:pt idx="560">
                  <c:v>1419.13152471887</c:v>
                </c:pt>
                <c:pt idx="561">
                  <c:v>1416.0285513166</c:v>
                </c:pt>
                <c:pt idx="562">
                  <c:v>1412.83296443412</c:v>
                </c:pt>
                <c:pt idx="563">
                  <c:v>1409.54502826015</c:v>
                </c:pt>
                <c:pt idx="564">
                  <c:v>1406.16501339372</c:v>
                </c:pt>
                <c:pt idx="565">
                  <c:v>1402.69319681818</c:v>
                </c:pt>
                <c:pt idx="566">
                  <c:v>1399.12986186992</c:v>
                </c:pt>
                <c:pt idx="567">
                  <c:v>1395.47529820205</c:v>
                </c:pt>
                <c:pt idx="568">
                  <c:v>1391.72980174344</c:v>
                </c:pt>
                <c:pt idx="569">
                  <c:v>1387.89367465347</c:v>
                </c:pt>
                <c:pt idx="570">
                  <c:v>1383.96722527276</c:v>
                </c:pt>
                <c:pt idx="571">
                  <c:v>1379.95076807015</c:v>
                </c:pt>
                <c:pt idx="572">
                  <c:v>1375.84462358623</c:v>
                </c:pt>
                <c:pt idx="573">
                  <c:v>1371.64911837363</c:v>
                </c:pt>
                <c:pt idx="574">
                  <c:v>1367.36458493421</c:v>
                </c:pt>
                <c:pt idx="575">
                  <c:v>1362.99136165352</c:v>
                </c:pt>
                <c:pt idx="576">
                  <c:v>1358.52979273258</c:v>
                </c:pt>
                <c:pt idx="577">
                  <c:v>1353.98022811707</c:v>
                </c:pt>
                <c:pt idx="578">
                  <c:v>1349.34302342442</c:v>
                </c:pt>
                <c:pt idx="579">
                  <c:v>1344.6185398685</c:v>
                </c:pt>
                <c:pt idx="580">
                  <c:v>1339.80714418241</c:v>
                </c:pt>
                <c:pt idx="581">
                  <c:v>1334.90920853935</c:v>
                </c:pt>
                <c:pt idx="582">
                  <c:v>1329.92511047161</c:v>
                </c:pt>
                <c:pt idx="583">
                  <c:v>1324.85523278801</c:v>
                </c:pt>
                <c:pt idx="584">
                  <c:v>1319.69996348968</c:v>
                </c:pt>
                <c:pt idx="585">
                  <c:v>1314.4596956844</c:v>
                </c:pt>
                <c:pt idx="586">
                  <c:v>1309.1348274996</c:v>
                </c:pt>
                <c:pt idx="587">
                  <c:v>1303.72576199401</c:v>
                </c:pt>
                <c:pt idx="588">
                  <c:v>1298.23290706814</c:v>
                </c:pt>
                <c:pt idx="589">
                  <c:v>1292.65667537374</c:v>
                </c:pt>
                <c:pt idx="590">
                  <c:v>1286.99748422204</c:v>
                </c:pt>
                <c:pt idx="591">
                  <c:v>1281.25575549121</c:v>
                </c:pt>
                <c:pt idx="592">
                  <c:v>1275.43191553285</c:v>
                </c:pt>
                <c:pt idx="593">
                  <c:v>1269.52639507765</c:v>
                </c:pt>
                <c:pt idx="594">
                  <c:v>1263.53962914035</c:v>
                </c:pt>
                <c:pt idx="595">
                  <c:v>1257.472056924</c:v>
                </c:pt>
                <c:pt idx="596">
                  <c:v>1251.32412172357</c:v>
                </c:pt>
                <c:pt idx="597">
                  <c:v>1245.09627082908</c:v>
                </c:pt>
                <c:pt idx="598">
                  <c:v>1238.78895542813</c:v>
                </c:pt>
                <c:pt idx="599">
                  <c:v>1232.40263050806</c:v>
                </c:pt>
                <c:pt idx="600">
                  <c:v>1225.9377547577</c:v>
                </c:pt>
                <c:pt idx="601">
                  <c:v>1219.3947904688</c:v>
                </c:pt>
                <c:pt idx="602">
                  <c:v>1212.77420343716</c:v>
                </c:pt>
                <c:pt idx="603">
                  <c:v>1206.07646286358</c:v>
                </c:pt>
                <c:pt idx="604">
                  <c:v>1199.30204125453</c:v>
                </c:pt>
                <c:pt idx="605">
                  <c:v>1192.45141432287</c:v>
                </c:pt>
                <c:pt idx="606">
                  <c:v>1185.52506088827</c:v>
                </c:pt>
                <c:pt idx="607">
                  <c:v>1178.52346277779</c:v>
                </c:pt>
                <c:pt idx="608">
                  <c:v>1171.44710472639</c:v>
                </c:pt>
                <c:pt idx="609">
                  <c:v>1164.29647427745</c:v>
                </c:pt>
                <c:pt idx="610">
                  <c:v>1157.0720616835</c:v>
                </c:pt>
                <c:pt idx="611">
                  <c:v>1149.77435980699</c:v>
                </c:pt>
                <c:pt idx="612">
                  <c:v>1142.40386402133</c:v>
                </c:pt>
                <c:pt idx="613">
                  <c:v>1134.96107211209</c:v>
                </c:pt>
                <c:pt idx="614">
                  <c:v>1127.44648417848</c:v>
                </c:pt>
                <c:pt idx="615">
                  <c:v>1119.86060253517</c:v>
                </c:pt>
                <c:pt idx="616">
                  <c:v>1112.20393161441</c:v>
                </c:pt>
                <c:pt idx="617">
                  <c:v>1104.47697786853</c:v>
                </c:pt>
                <c:pt idx="618">
                  <c:v>1096.68024967288</c:v>
                </c:pt>
                <c:pt idx="619">
                  <c:v>1088.81425722916</c:v>
                </c:pt>
                <c:pt idx="620">
                  <c:v>1080.87951246934</c:v>
                </c:pt>
                <c:pt idx="621">
                  <c:v>1072.87652895995</c:v>
                </c:pt>
                <c:pt idx="622">
                  <c:v>1064.80582180704</c:v>
                </c:pt>
                <c:pt idx="623">
                  <c:v>1056.66790756166</c:v>
                </c:pt>
                <c:pt idx="624">
                  <c:v>1048.46330412594</c:v>
                </c:pt>
                <c:pt idx="625">
                  <c:v>1040.19253065983</c:v>
                </c:pt>
                <c:pt idx="626">
                  <c:v>1031.85610748854</c:v>
                </c:pt>
                <c:pt idx="627">
                  <c:v>1023.45455601056</c:v>
                </c:pt>
                <c:pt idx="628">
                  <c:v>1014.98839860653</c:v>
                </c:pt>
                <c:pt idx="629">
                  <c:v>1006.45815854882</c:v>
                </c:pt>
                <c:pt idx="630">
                  <c:v>997.864359911785</c:v>
                </c:pt>
                <c:pt idx="631">
                  <c:v>989.207527482981</c:v>
                </c:pt>
                <c:pt idx="632">
                  <c:v>980.488186675064</c:v>
                </c:pt>
                <c:pt idx="633">
                  <c:v>971.706863438598</c:v>
                </c:pt>
                <c:pt idx="634">
                  <c:v>962.864084175715</c:v>
                </c:pt>
                <c:pt idx="635">
                  <c:v>953.960375654654</c:v>
                </c:pt>
                <c:pt idx="636">
                  <c:v>944.996264925206</c:v>
                </c:pt>
                <c:pt idx="637">
                  <c:v>935.972279235095</c:v>
                </c:pt>
                <c:pt idx="638">
                  <c:v>926.888945947285</c:v>
                </c:pt>
                <c:pt idx="639">
                  <c:v>917.746792458262</c:v>
                </c:pt>
                <c:pt idx="640">
                  <c:v>908.546346117288</c:v>
                </c:pt>
                <c:pt idx="641">
                  <c:v>899.28813414665</c:v>
                </c:pt>
                <c:pt idx="642">
                  <c:v>889.972683562918</c:v>
                </c:pt>
                <c:pt idx="643">
                  <c:v>880.600521099227</c:v>
                </c:pt>
                <c:pt idx="644">
                  <c:v>871.172173128597</c:v>
                </c:pt>
                <c:pt idx="645">
                  <c:v>861.688165588304</c:v>
                </c:pt>
                <c:pt idx="646">
                  <c:v>852.149023905314</c:v>
                </c:pt>
                <c:pt idx="647">
                  <c:v>842.555272922789</c:v>
                </c:pt>
                <c:pt idx="648">
                  <c:v>832.907436827685</c:v>
                </c:pt>
                <c:pt idx="649">
                  <c:v>823.206039079432</c:v>
                </c:pt>
                <c:pt idx="650">
                  <c:v>813.451602339736</c:v>
                </c:pt>
                <c:pt idx="651">
                  <c:v>803.64464840348</c:v>
                </c:pt>
                <c:pt idx="652">
                  <c:v>793.785698130749</c:v>
                </c:pt>
                <c:pt idx="653">
                  <c:v>783.87527137999</c:v>
                </c:pt>
                <c:pt idx="654">
                  <c:v>773.913886942299</c:v>
                </c:pt>
                <c:pt idx="655">
                  <c:v>763.902062476848</c:v>
                </c:pt>
                <c:pt idx="656">
                  <c:v>753.840314447465</c:v>
                </c:pt>
                <c:pt idx="657">
                  <c:v>743.729158060357</c:v>
                </c:pt>
                <c:pt idx="658">
                  <c:v>733.569107202988</c:v>
                </c:pt>
                <c:pt idx="659">
                  <c:v>723.360674384119</c:v>
                </c:pt>
                <c:pt idx="660">
                  <c:v>713.104370674998</c:v>
                </c:pt>
                <c:pt idx="661">
                  <c:v>702.800705651723</c:v>
                </c:pt>
                <c:pt idx="662">
                  <c:v>692.450187338759</c:v>
                </c:pt>
                <c:pt idx="663">
                  <c:v>682.053322153623</c:v>
                </c:pt>
                <c:pt idx="664">
                  <c:v>671.610614852733</c:v>
                </c:pt>
                <c:pt idx="665">
                  <c:v>661.122568478419</c:v>
                </c:pt>
                <c:pt idx="666">
                  <c:v>650.589684307097</c:v>
                </c:pt>
                <c:pt idx="667">
                  <c:v>640.012461798606</c:v>
                </c:pt>
                <c:pt idx="668">
                  <c:v>629.391398546705</c:v>
                </c:pt>
                <c:pt idx="669">
                  <c:v>618.726990230722</c:v>
                </c:pt>
                <c:pt idx="670">
                  <c:v>608.019730568364</c:v>
                </c:pt>
                <c:pt idx="671">
                  <c:v>597.27011126967</c:v>
                </c:pt>
                <c:pt idx="672">
                  <c:v>586.478621992121</c:v>
                </c:pt>
                <c:pt idx="673">
                  <c:v>575.645750296878</c:v>
                </c:pt>
                <c:pt idx="674">
                  <c:v>564.771981606174</c:v>
                </c:pt>
                <c:pt idx="675">
                  <c:v>553.857799161824</c:v>
                </c:pt>
                <c:pt idx="676">
                  <c:v>542.903683984871</c:v>
                </c:pt>
                <c:pt idx="677">
                  <c:v>531.910114836345</c:v>
                </c:pt>
                <c:pt idx="678">
                  <c:v>520.877568179148</c:v>
                </c:pt>
                <c:pt idx="679">
                  <c:v>509.806518141028</c:v>
                </c:pt>
                <c:pt idx="680">
                  <c:v>498.697436478672</c:v>
                </c:pt>
                <c:pt idx="681">
                  <c:v>487.55079254288</c:v>
                </c:pt>
                <c:pt idx="682">
                  <c:v>476.367053244825</c:v>
                </c:pt>
                <c:pt idx="683">
                  <c:v>465.146683023392</c:v>
                </c:pt>
                <c:pt idx="684">
                  <c:v>453.890143813586</c:v>
                </c:pt>
                <c:pt idx="685">
                  <c:v>442.59789501599</c:v>
                </c:pt>
                <c:pt idx="686">
                  <c:v>431.270393467287</c:v>
                </c:pt>
                <c:pt idx="687">
                  <c:v>419.908093411806</c:v>
                </c:pt>
                <c:pt idx="688">
                  <c:v>408.511446474114</c:v>
                </c:pt>
                <c:pt idx="689">
                  <c:v>397.080901632617</c:v>
                </c:pt>
                <c:pt idx="690">
                  <c:v>385.616905194179</c:v>
                </c:pt>
                <c:pt idx="691">
                  <c:v>374.119900769733</c:v>
                </c:pt>
                <c:pt idx="692">
                  <c:v>362.59032925089</c:v>
                </c:pt>
                <c:pt idx="693">
                  <c:v>351.028628787522</c:v>
                </c:pt>
                <c:pt idx="694">
                  <c:v>339.43523476631</c:v>
                </c:pt>
                <c:pt idx="695">
                  <c:v>327.810579790254</c:v>
                </c:pt>
                <c:pt idx="696">
                  <c:v>316.155093659119</c:v>
                </c:pt>
                <c:pt idx="697">
                  <c:v>304.469203350827</c:v>
                </c:pt>
                <c:pt idx="698">
                  <c:v>292.753333003753</c:v>
                </c:pt>
                <c:pt idx="699">
                  <c:v>281.007903899948</c:v>
                </c:pt>
                <c:pt idx="700">
                  <c:v>269.233334449244</c:v>
                </c:pt>
                <c:pt idx="701">
                  <c:v>257.430040174258</c:v>
                </c:pt>
                <c:pt idx="702">
                  <c:v>245.598433696256</c:v>
                </c:pt>
                <c:pt idx="703">
                  <c:v>233.738924721883</c:v>
                </c:pt>
                <c:pt idx="704">
                  <c:v>221.851920030746</c:v>
                </c:pt>
                <c:pt idx="705">
                  <c:v>209.937823463824</c:v>
                </c:pt>
                <c:pt idx="706">
                  <c:v>197.997035912704</c:v>
                </c:pt>
                <c:pt idx="707">
                  <c:v>186.029955309629</c:v>
                </c:pt>
                <c:pt idx="708">
                  <c:v>174.03697661834</c:v>
                </c:pt>
                <c:pt idx="709">
                  <c:v>162.018491825703</c:v>
                </c:pt>
                <c:pt idx="710">
                  <c:v>149.97488993411</c:v>
                </c:pt>
                <c:pt idx="711">
                  <c:v>137.906556954638</c:v>
                </c:pt>
                <c:pt idx="712">
                  <c:v>125.813875900948</c:v>
                </c:pt>
                <c:pt idx="713">
                  <c:v>113.697226783927</c:v>
                </c:pt>
                <c:pt idx="714">
                  <c:v>101.55698660704</c:v>
                </c:pt>
                <c:pt idx="715">
                  <c:v>89.3935293623948</c:v>
                </c:pt>
                <c:pt idx="716">
                  <c:v>77.2072260275001</c:v>
                </c:pt>
                <c:pt idx="717">
                  <c:v>64.9984445627005</c:v>
                </c:pt>
                <c:pt idx="718">
                  <c:v>52.7675499092845</c:v>
                </c:pt>
                <c:pt idx="719">
                  <c:v>40.5149039882447</c:v>
                </c:pt>
                <c:pt idx="720">
                  <c:v>28.2408656996809</c:v>
                </c:pt>
                <c:pt idx="721">
                  <c:v>15.945790922833</c:v>
                </c:pt>
                <c:pt idx="722">
                  <c:v>3.63003251672989</c:v>
                </c:pt>
                <c:pt idx="723">
                  <c:v>-8.70605967855783</c:v>
                </c:pt>
                <c:pt idx="724">
                  <c:v>-8.71840586047211</c:v>
                </c:pt>
                <c:pt idx="725">
                  <c:v>-8.73075206220054</c:v>
                </c:pt>
                <c:pt idx="726">
                  <c:v>-8.74309828374276</c:v>
                </c:pt>
                <c:pt idx="727">
                  <c:v>-8.75544452509844</c:v>
                </c:pt>
                <c:pt idx="728">
                  <c:v>-8.76779078626723</c:v>
                </c:pt>
                <c:pt idx="729">
                  <c:v>-8.7801370672488</c:v>
                </c:pt>
                <c:pt idx="730">
                  <c:v>-8.79248336804279</c:v>
                </c:pt>
                <c:pt idx="731">
                  <c:v>-8.80482968864887</c:v>
                </c:pt>
                <c:pt idx="732">
                  <c:v>-8.8171760290667</c:v>
                </c:pt>
                <c:pt idx="733">
                  <c:v>-8.82952238929593</c:v>
                </c:pt>
                <c:pt idx="734">
                  <c:v>-8.84186876933622</c:v>
                </c:pt>
                <c:pt idx="735">
                  <c:v>-8.85421516918724</c:v>
                </c:pt>
                <c:pt idx="736">
                  <c:v>-8.86656158884864</c:v>
                </c:pt>
                <c:pt idx="737">
                  <c:v>-8.87890802832007</c:v>
                </c:pt>
                <c:pt idx="738">
                  <c:v>-8.8912544876012</c:v>
                </c:pt>
                <c:pt idx="739">
                  <c:v>-8.90360096669169</c:v>
                </c:pt>
                <c:pt idx="740">
                  <c:v>-8.91594746559119</c:v>
                </c:pt>
                <c:pt idx="741">
                  <c:v>-8.92829398429936</c:v>
                </c:pt>
                <c:pt idx="742">
                  <c:v>-8.94064052281587</c:v>
                </c:pt>
                <c:pt idx="743">
                  <c:v>-8.95298708114036</c:v>
                </c:pt>
                <c:pt idx="744">
                  <c:v>-8.9653336592725</c:v>
                </c:pt>
                <c:pt idx="745">
                  <c:v>-8.97768025721194</c:v>
                </c:pt>
                <c:pt idx="746">
                  <c:v>-8.99002687495835</c:v>
                </c:pt>
                <c:pt idx="747">
                  <c:v>-9.00237351251138</c:v>
                </c:pt>
                <c:pt idx="748">
                  <c:v>-9.0147201698707</c:v>
                </c:pt>
                <c:pt idx="749">
                  <c:v>-9.02706684703595</c:v>
                </c:pt>
                <c:pt idx="750">
                  <c:v>-9.0394135440068</c:v>
                </c:pt>
                <c:pt idx="751">
                  <c:v>-9.0517602607829</c:v>
                </c:pt>
                <c:pt idx="752">
                  <c:v>-9.06410699736392</c:v>
                </c:pt>
                <c:pt idx="753">
                  <c:v>-9.07645375374952</c:v>
                </c:pt>
                <c:pt idx="754">
                  <c:v>-9.08880052993934</c:v>
                </c:pt>
                <c:pt idx="755">
                  <c:v>-9.10114732593305</c:v>
                </c:pt>
                <c:pt idx="756">
                  <c:v>-9.11349414173032</c:v>
                </c:pt>
                <c:pt idx="757">
                  <c:v>-9.12584097733079</c:v>
                </c:pt>
                <c:pt idx="758">
                  <c:v>-9.13818783273412</c:v>
                </c:pt>
                <c:pt idx="759">
                  <c:v>-9.15053470793998</c:v>
                </c:pt>
                <c:pt idx="760">
                  <c:v>-9.16288160294802</c:v>
                </c:pt>
                <c:pt idx="761">
                  <c:v>-9.1752285177579</c:v>
                </c:pt>
                <c:pt idx="762">
                  <c:v>-9.18757545236928</c:v>
                </c:pt>
                <c:pt idx="763">
                  <c:v>-9.19992240678182</c:v>
                </c:pt>
                <c:pt idx="764">
                  <c:v>-9.21226938099518</c:v>
                </c:pt>
                <c:pt idx="765">
                  <c:v>-9.224616375009</c:v>
                </c:pt>
                <c:pt idx="766">
                  <c:v>-9.23696338882297</c:v>
                </c:pt>
                <c:pt idx="767">
                  <c:v>-9.24931042243672</c:v>
                </c:pt>
                <c:pt idx="768">
                  <c:v>-9.26165747584992</c:v>
                </c:pt>
                <c:pt idx="769">
                  <c:v>-9.27400454906223</c:v>
                </c:pt>
                <c:pt idx="770">
                  <c:v>-9.28635164207331</c:v>
                </c:pt>
                <c:pt idx="771">
                  <c:v>-9.29869875488282</c:v>
                </c:pt>
                <c:pt idx="772">
                  <c:v>-9.3110458874904</c:v>
                </c:pt>
                <c:pt idx="773">
                  <c:v>-9.32339303989573</c:v>
                </c:pt>
                <c:pt idx="774">
                  <c:v>-9.33574021209846</c:v>
                </c:pt>
                <c:pt idx="775">
                  <c:v>-9.34808740409825</c:v>
                </c:pt>
                <c:pt idx="776">
                  <c:v>-9.36043461589476</c:v>
                </c:pt>
                <c:pt idx="777">
                  <c:v>-9.37278184748765</c:v>
                </c:pt>
                <c:pt idx="778">
                  <c:v>-9.38512909887657</c:v>
                </c:pt>
                <c:pt idx="779">
                  <c:v>-9.39747637006118</c:v>
                </c:pt>
                <c:pt idx="780">
                  <c:v>-9.40982366104115</c:v>
                </c:pt>
                <c:pt idx="781">
                  <c:v>-9.42217097181612</c:v>
                </c:pt>
                <c:pt idx="782">
                  <c:v>-9.43451830238577</c:v>
                </c:pt>
                <c:pt idx="783">
                  <c:v>-9.44686565274974</c:v>
                </c:pt>
                <c:pt idx="784">
                  <c:v>-9.4592130229077</c:v>
                </c:pt>
                <c:pt idx="785">
                  <c:v>-9.4715604128593</c:v>
                </c:pt>
                <c:pt idx="786">
                  <c:v>-9.4839078226042</c:v>
                </c:pt>
                <c:pt idx="787">
                  <c:v>-9.49625525214207</c:v>
                </c:pt>
                <c:pt idx="788">
                  <c:v>-9.50860270147256</c:v>
                </c:pt>
                <c:pt idx="789">
                  <c:v>-9.52095017059532</c:v>
                </c:pt>
                <c:pt idx="790">
                  <c:v>-9.53329765951003</c:v>
                </c:pt>
                <c:pt idx="791">
                  <c:v>-9.54564516821633</c:v>
                </c:pt>
                <c:pt idx="792">
                  <c:v>-9.55799269671388</c:v>
                </c:pt>
                <c:pt idx="793">
                  <c:v>-9.57034024500235</c:v>
                </c:pt>
                <c:pt idx="794">
                  <c:v>-9.58268781308139</c:v>
                </c:pt>
                <c:pt idx="795">
                  <c:v>-9.59503540095066</c:v>
                </c:pt>
                <c:pt idx="796">
                  <c:v>-9.60738300860981</c:v>
                </c:pt>
                <c:pt idx="797">
                  <c:v>-9.61973063605852</c:v>
                </c:pt>
                <c:pt idx="798">
                  <c:v>-9.63207828329643</c:v>
                </c:pt>
                <c:pt idx="799">
                  <c:v>-9.6444259503232</c:v>
                </c:pt>
                <c:pt idx="800">
                  <c:v>-9.6567736371385</c:v>
                </c:pt>
                <c:pt idx="801">
                  <c:v>-9.66912134374197</c:v>
                </c:pt>
                <c:pt idx="802">
                  <c:v>-9.68146907013329</c:v>
                </c:pt>
                <c:pt idx="803">
                  <c:v>-9.69381681631211</c:v>
                </c:pt>
                <c:pt idx="804">
                  <c:v>-9.70616458227809</c:v>
                </c:pt>
                <c:pt idx="805">
                  <c:v>-9.71851236803088</c:v>
                </c:pt>
                <c:pt idx="806">
                  <c:v>-9.73086017357014</c:v>
                </c:pt>
                <c:pt idx="807">
                  <c:v>-9.74320799889554</c:v>
                </c:pt>
                <c:pt idx="808">
                  <c:v>-9.75555584400673</c:v>
                </c:pt>
                <c:pt idx="809">
                  <c:v>-9.76790370890337</c:v>
                </c:pt>
                <c:pt idx="810">
                  <c:v>-9.78025159358512</c:v>
                </c:pt>
                <c:pt idx="811">
                  <c:v>-9.79259949805163</c:v>
                </c:pt>
                <c:pt idx="812">
                  <c:v>-9.80494742230258</c:v>
                </c:pt>
                <c:pt idx="813">
                  <c:v>-9.8172953663376</c:v>
                </c:pt>
                <c:pt idx="814">
                  <c:v>-9.82964333015637</c:v>
                </c:pt>
                <c:pt idx="815">
                  <c:v>-9.84199131375855</c:v>
                </c:pt>
                <c:pt idx="816">
                  <c:v>-9.85433931714378</c:v>
                </c:pt>
                <c:pt idx="817">
                  <c:v>-9.86668734031173</c:v>
                </c:pt>
                <c:pt idx="818">
                  <c:v>-9.87903538326206</c:v>
                </c:pt>
                <c:pt idx="819">
                  <c:v>-9.89138344599443</c:v>
                </c:pt>
                <c:pt idx="820">
                  <c:v>-9.90373152850849</c:v>
                </c:pt>
                <c:pt idx="821">
                  <c:v>-9.9160796308039</c:v>
                </c:pt>
                <c:pt idx="822">
                  <c:v>-9.92842775288033</c:v>
                </c:pt>
                <c:pt idx="823">
                  <c:v>-9.94077589473742</c:v>
                </c:pt>
                <c:pt idx="824">
                  <c:v>-9.95312405637485</c:v>
                </c:pt>
                <c:pt idx="825">
                  <c:v>-9.96547223779227</c:v>
                </c:pt>
                <c:pt idx="826">
                  <c:v>-9.97782043898933</c:v>
                </c:pt>
                <c:pt idx="827">
                  <c:v>-9.9901686599657</c:v>
                </c:pt>
                <c:pt idx="828">
                  <c:v>-10.002516900721</c:v>
                </c:pt>
                <c:pt idx="829">
                  <c:v>-10.014865161255</c:v>
                </c:pt>
                <c:pt idx="830">
                  <c:v>-10.0272134415672</c:v>
                </c:pt>
                <c:pt idx="831">
                  <c:v>-10.0395617416574</c:v>
                </c:pt>
                <c:pt idx="832">
                  <c:v>-10.0519100615252</c:v>
                </c:pt>
                <c:pt idx="833">
                  <c:v>-10.0642584011702</c:v>
                </c:pt>
                <c:pt idx="834">
                  <c:v>-10.0766067605922</c:v>
                </c:pt>
                <c:pt idx="835">
                  <c:v>-10.0889551397907</c:v>
                </c:pt>
                <c:pt idx="836">
                  <c:v>-10.1013035387655</c:v>
                </c:pt>
                <c:pt idx="837">
                  <c:v>-10.1136519575161</c:v>
                </c:pt>
                <c:pt idx="838">
                  <c:v>-10.1260003960423</c:v>
                </c:pt>
                <c:pt idx="839">
                  <c:v>-10.1383488543437</c:v>
                </c:pt>
                <c:pt idx="840">
                  <c:v>-10.15069733242</c:v>
                </c:pt>
                <c:pt idx="841">
                  <c:v>-10.1630458302708</c:v>
                </c:pt>
                <c:pt idx="842">
                  <c:v>-10.1753943478958</c:v>
                </c:pt>
                <c:pt idx="843">
                  <c:v>-10.1877428852946</c:v>
                </c:pt>
                <c:pt idx="844">
                  <c:v>-10.200091442467</c:v>
                </c:pt>
                <c:pt idx="845">
                  <c:v>-10.2124400194125</c:v>
                </c:pt>
                <c:pt idx="846">
                  <c:v>-10.2247886161308</c:v>
                </c:pt>
                <c:pt idx="847">
                  <c:v>-10.2371372326216</c:v>
                </c:pt>
                <c:pt idx="848">
                  <c:v>-10.2494858688846</c:v>
                </c:pt>
                <c:pt idx="849">
                  <c:v>-10.2618345249193</c:v>
                </c:pt>
                <c:pt idx="850">
                  <c:v>-10.2741832007255</c:v>
                </c:pt>
                <c:pt idx="851">
                  <c:v>-10.2865318963028</c:v>
                </c:pt>
                <c:pt idx="852">
                  <c:v>-10.2988806116509</c:v>
                </c:pt>
                <c:pt idx="853">
                  <c:v>-10.3112293467694</c:v>
                </c:pt>
                <c:pt idx="854">
                  <c:v>-10.323578101658</c:v>
                </c:pt>
                <c:pt idx="855">
                  <c:v>-10.3359268763164</c:v>
                </c:pt>
                <c:pt idx="856">
                  <c:v>-10.3482756707441</c:v>
                </c:pt>
                <c:pt idx="857">
                  <c:v>-10.3606244849409</c:v>
                </c:pt>
                <c:pt idx="858">
                  <c:v>-10.3729733189065</c:v>
                </c:pt>
                <c:pt idx="859">
                  <c:v>-10.3853221726404</c:v>
                </c:pt>
                <c:pt idx="860">
                  <c:v>-10.3976710461424</c:v>
                </c:pt>
                <c:pt idx="861">
                  <c:v>-10.4100199394121</c:v>
                </c:pt>
                <c:pt idx="862">
                  <c:v>-10.4223688524491</c:v>
                </c:pt>
                <c:pt idx="863">
                  <c:v>-10.4347177852532</c:v>
                </c:pt>
                <c:pt idx="864">
                  <c:v>-10.4470667378239</c:v>
                </c:pt>
                <c:pt idx="865">
                  <c:v>-10.459415710161</c:v>
                </c:pt>
                <c:pt idx="866">
                  <c:v>-10.4717647022641</c:v>
                </c:pt>
                <c:pt idx="867">
                  <c:v>-10.4841137141328</c:v>
                </c:pt>
                <c:pt idx="868">
                  <c:v>-10.4964627457668</c:v>
                </c:pt>
                <c:pt idx="869">
                  <c:v>-10.5088117971659</c:v>
                </c:pt>
                <c:pt idx="870">
                  <c:v>-10.5211608683295</c:v>
                </c:pt>
                <c:pt idx="871">
                  <c:v>-10.5335099592574</c:v>
                </c:pt>
                <c:pt idx="872">
                  <c:v>-10.5458590699493</c:v>
                </c:pt>
                <c:pt idx="873">
                  <c:v>-10.5582082004048</c:v>
                </c:pt>
                <c:pt idx="874">
                  <c:v>-10.5705573506236</c:v>
                </c:pt>
                <c:pt idx="875">
                  <c:v>-10.5829065206052</c:v>
                </c:pt>
                <c:pt idx="876">
                  <c:v>-10.5952557103495</c:v>
                </c:pt>
                <c:pt idx="877">
                  <c:v>-10.607604919856</c:v>
                </c:pt>
                <c:pt idx="878">
                  <c:v>-10.6199541491244</c:v>
                </c:pt>
                <c:pt idx="879">
                  <c:v>-10.6323033981544</c:v>
                </c:pt>
                <c:pt idx="880">
                  <c:v>-10.6446526669455</c:v>
                </c:pt>
                <c:pt idx="881">
                  <c:v>-10.6570019554976</c:v>
                </c:pt>
                <c:pt idx="882">
                  <c:v>-10.6693512638102</c:v>
                </c:pt>
                <c:pt idx="883">
                  <c:v>-10.681700591883</c:v>
                </c:pt>
                <c:pt idx="884">
                  <c:v>-10.6940499397156</c:v>
                </c:pt>
                <c:pt idx="885">
                  <c:v>-10.7063993073078</c:v>
                </c:pt>
                <c:pt idx="886">
                  <c:v>-10.7187486946591</c:v>
                </c:pt>
                <c:pt idx="887">
                  <c:v>-10.7310981017693</c:v>
                </c:pt>
                <c:pt idx="888">
                  <c:v>-10.7434475286379</c:v>
                </c:pt>
                <c:pt idx="889">
                  <c:v>-10.7557969752647</c:v>
                </c:pt>
                <c:pt idx="890">
                  <c:v>-10.7681464416493</c:v>
                </c:pt>
                <c:pt idx="891">
                  <c:v>-10.7804959277914</c:v>
                </c:pt>
                <c:pt idx="892">
                  <c:v>-10.7928454336906</c:v>
                </c:pt>
                <c:pt idx="893">
                  <c:v>-10.8051949593466</c:v>
                </c:pt>
                <c:pt idx="894">
                  <c:v>-10.817544504759</c:v>
                </c:pt>
                <c:pt idx="895">
                  <c:v>-10.8298940699275</c:v>
                </c:pt>
                <c:pt idx="896">
                  <c:v>-10.8422436548518</c:v>
                </c:pt>
                <c:pt idx="897">
                  <c:v>-10.8545932595315</c:v>
                </c:pt>
                <c:pt idx="898">
                  <c:v>-10.8669428839663</c:v>
                </c:pt>
                <c:pt idx="899">
                  <c:v>-10.8792925281558</c:v>
                </c:pt>
                <c:pt idx="900">
                  <c:v>-10.8916421920997</c:v>
                </c:pt>
                <c:pt idx="901">
                  <c:v>-10.9039918757977</c:v>
                </c:pt>
                <c:pt idx="902">
                  <c:v>-10.9163415792494</c:v>
                </c:pt>
                <c:pt idx="903">
                  <c:v>-10.9286913024544</c:v>
                </c:pt>
                <c:pt idx="904">
                  <c:v>-10.9410410454125</c:v>
                </c:pt>
                <c:pt idx="905">
                  <c:v>-10.9533908081233</c:v>
                </c:pt>
                <c:pt idx="906">
                  <c:v>-10.9657405905864</c:v>
                </c:pt>
                <c:pt idx="907">
                  <c:v>-10.9780903928015</c:v>
                </c:pt>
                <c:pt idx="908">
                  <c:v>-10.9904402147683</c:v>
                </c:pt>
                <c:pt idx="909">
                  <c:v>-11.0027900564865</c:v>
                </c:pt>
                <c:pt idx="910">
                  <c:v>-11.0151399179556</c:v>
                </c:pt>
                <c:pt idx="911">
                  <c:v>-11.0274897991753</c:v>
                </c:pt>
                <c:pt idx="912">
                  <c:v>-11.0398397001454</c:v>
                </c:pt>
                <c:pt idx="913">
                  <c:v>-11.0521896208654</c:v>
                </c:pt>
                <c:pt idx="914">
                  <c:v>-11.064539561335</c:v>
                </c:pt>
                <c:pt idx="915">
                  <c:v>-11.0768895215539</c:v>
                </c:pt>
                <c:pt idx="916">
                  <c:v>-11.0892395015218</c:v>
                </c:pt>
                <c:pt idx="917">
                  <c:v>-11.1015895012382</c:v>
                </c:pt>
                <c:pt idx="918">
                  <c:v>-11.1139395207029</c:v>
                </c:pt>
                <c:pt idx="919">
                  <c:v>-11.1262895599156</c:v>
                </c:pt>
                <c:pt idx="920">
                  <c:v>-11.1386396188757</c:v>
                </c:pt>
                <c:pt idx="921">
                  <c:v>-11.1509896975832</c:v>
                </c:pt>
                <c:pt idx="922">
                  <c:v>-11.1633397960375</c:v>
                </c:pt>
                <c:pt idx="923">
                  <c:v>-11.1756899142384</c:v>
                </c:pt>
                <c:pt idx="924">
                  <c:v>-11.1880400521854</c:v>
                </c:pt>
                <c:pt idx="925">
                  <c:v>-11.2003902098784</c:v>
                </c:pt>
                <c:pt idx="926">
                  <c:v>-11.2127403873169</c:v>
                </c:pt>
                <c:pt idx="927">
                  <c:v>-11.2250905845005</c:v>
                </c:pt>
                <c:pt idx="928">
                  <c:v>-11.237440801429</c:v>
                </c:pt>
                <c:pt idx="929">
                  <c:v>-11.249791038102</c:v>
                </c:pt>
                <c:pt idx="930">
                  <c:v>-11.2621412945192</c:v>
                </c:pt>
                <c:pt idx="931">
                  <c:v>-11.2744915706802</c:v>
                </c:pt>
                <c:pt idx="932">
                  <c:v>-11.2868418665847</c:v>
                </c:pt>
                <c:pt idx="933">
                  <c:v>-11.2991921822323</c:v>
                </c:pt>
                <c:pt idx="934">
                  <c:v>-11.3115425176227</c:v>
                </c:pt>
                <c:pt idx="935">
                  <c:v>-11.3238928727556</c:v>
                </c:pt>
                <c:pt idx="936">
                  <c:v>-11.3362432476306</c:v>
                </c:pt>
                <c:pt idx="937">
                  <c:v>-11.3485936422473</c:v>
                </c:pt>
                <c:pt idx="938">
                  <c:v>-11.3609440566055</c:v>
                </c:pt>
                <c:pt idx="939">
                  <c:v>-11.3732944907048</c:v>
                </c:pt>
                <c:pt idx="940">
                  <c:v>-11.3856449445449</c:v>
                </c:pt>
                <c:pt idx="941">
                  <c:v>-11.3979954181254</c:v>
                </c:pt>
                <c:pt idx="942">
                  <c:v>-11.4103459114459</c:v>
                </c:pt>
                <c:pt idx="943">
                  <c:v>-11.4226964245061</c:v>
                </c:pt>
                <c:pt idx="944">
                  <c:v>-11.4350469573058</c:v>
                </c:pt>
                <c:pt idx="945">
                  <c:v>-11.4473975098445</c:v>
                </c:pt>
                <c:pt idx="946">
                  <c:v>-11.4597480821219</c:v>
                </c:pt>
                <c:pt idx="947">
                  <c:v>-11.4720986741377</c:v>
                </c:pt>
                <c:pt idx="948">
                  <c:v>-11.4844492858915</c:v>
                </c:pt>
                <c:pt idx="949">
                  <c:v>-11.496799917383</c:v>
                </c:pt>
                <c:pt idx="950">
                  <c:v>-11.5091505686118</c:v>
                </c:pt>
                <c:pt idx="951">
                  <c:v>-11.5215012395776</c:v>
                </c:pt>
                <c:pt idx="952">
                  <c:v>-11.5338519302801</c:v>
                </c:pt>
                <c:pt idx="953">
                  <c:v>-11.5462026407189</c:v>
                </c:pt>
                <c:pt idx="954">
                  <c:v>-11.5585533708937</c:v>
                </c:pt>
                <c:pt idx="955">
                  <c:v>-11.5709041208041</c:v>
                </c:pt>
                <c:pt idx="956">
                  <c:v>-11.5832548904498</c:v>
                </c:pt>
                <c:pt idx="957">
                  <c:v>-11.5956056798305</c:v>
                </c:pt>
                <c:pt idx="958">
                  <c:v>-11.6079564889458</c:v>
                </c:pt>
                <c:pt idx="959">
                  <c:v>-11.6203073177954</c:v>
                </c:pt>
                <c:pt idx="960">
                  <c:v>-11.6326581663789</c:v>
                </c:pt>
                <c:pt idx="961">
                  <c:v>-11.645009034696</c:v>
                </c:pt>
                <c:pt idx="962">
                  <c:v>-11.6573599227463</c:v>
                </c:pt>
                <c:pt idx="963">
                  <c:v>-11.6697108305296</c:v>
                </c:pt>
                <c:pt idx="964">
                  <c:v>-11.6820617580454</c:v>
                </c:pt>
                <c:pt idx="965">
                  <c:v>-11.6944127052935</c:v>
                </c:pt>
                <c:pt idx="966">
                  <c:v>-11.7067636722734</c:v>
                </c:pt>
                <c:pt idx="967">
                  <c:v>-11.7191146589849</c:v>
                </c:pt>
                <c:pt idx="968">
                  <c:v>-11.7314656654276</c:v>
                </c:pt>
                <c:pt idx="969">
                  <c:v>-11.7438166916012</c:v>
                </c:pt>
                <c:pt idx="970">
                  <c:v>-11.7561677375053</c:v>
                </c:pt>
                <c:pt idx="971">
                  <c:v>-11.7685188031395</c:v>
                </c:pt>
                <c:pt idx="972">
                  <c:v>-11.7808698885037</c:v>
                </c:pt>
                <c:pt idx="973">
                  <c:v>-11.7932209935973</c:v>
                </c:pt>
                <c:pt idx="974">
                  <c:v>-11.80557211842</c:v>
                </c:pt>
                <c:pt idx="975">
                  <c:v>-11.8179232629716</c:v>
                </c:pt>
                <c:pt idx="976">
                  <c:v>-11.8302744272517</c:v>
                </c:pt>
                <c:pt idx="977">
                  <c:v>-11.8426256112599</c:v>
                </c:pt>
                <c:pt idx="978">
                  <c:v>-11.8549768149959</c:v>
                </c:pt>
                <c:pt idx="979">
                  <c:v>-11.8673280384594</c:v>
                </c:pt>
                <c:pt idx="980">
                  <c:v>-11.87967928165</c:v>
                </c:pt>
                <c:pt idx="981">
                  <c:v>-11.8920305445673</c:v>
                </c:pt>
                <c:pt idx="982">
                  <c:v>-11.9043818272111</c:v>
                </c:pt>
                <c:pt idx="983">
                  <c:v>-11.916733129581</c:v>
                </c:pt>
                <c:pt idx="984">
                  <c:v>-11.9290844516766</c:v>
                </c:pt>
                <c:pt idx="985">
                  <c:v>-11.9414357934977</c:v>
                </c:pt>
                <c:pt idx="986">
                  <c:v>-11.9537871550438</c:v>
                </c:pt>
                <c:pt idx="987">
                  <c:v>-11.9661385363146</c:v>
                </c:pt>
                <c:pt idx="988">
                  <c:v>-11.9784899373099</c:v>
                </c:pt>
                <c:pt idx="989">
                  <c:v>-11.9908413580292</c:v>
                </c:pt>
                <c:pt idx="990">
                  <c:v>-12.0031927984721</c:v>
                </c:pt>
                <c:pt idx="991">
                  <c:v>-12.0155442586385</c:v>
                </c:pt>
                <c:pt idx="992">
                  <c:v>-12.0278957385279</c:v>
                </c:pt>
                <c:pt idx="993">
                  <c:v>-12.0402472381399</c:v>
                </c:pt>
                <c:pt idx="994">
                  <c:v>-12.0525987574743</c:v>
                </c:pt>
                <c:pt idx="995">
                  <c:v>-12.0649502965307</c:v>
                </c:pt>
                <c:pt idx="996">
                  <c:v>-12.0773018553088</c:v>
                </c:pt>
                <c:pt idx="997">
                  <c:v>-12.0896534338082</c:v>
                </c:pt>
                <c:pt idx="998">
                  <c:v>-12.1020050320286</c:v>
                </c:pt>
                <c:pt idx="999">
                  <c:v>-12.1143566499696</c:v>
                </c:pt>
                <c:pt idx="1000">
                  <c:v>-12.1267082876309</c:v>
                </c:pt>
              </c:numCache>
            </c:numRef>
          </c:yVal>
          <c:smooth val="0"/>
        </c:ser>
        <c:axId val="20757897"/>
        <c:axId val="89062247"/>
      </c:scatterChart>
      <c:valAx>
        <c:axId val="20757897"/>
        <c:scaling>
          <c:orientation val="minMax"/>
        </c:scaling>
        <c:delete val="0"/>
        <c:axPos val="b"/>
        <c:majorGridlines>
          <c:spPr>
            <a:ln w="3240">
              <a:solidFill>
                <a:srgbClr val="000000"/>
              </a:solidFill>
              <a:prstDash val="sysDash"/>
              <a:round/>
            </a:ln>
          </c:spPr>
        </c:majorGridlines>
        <c:title>
          <c:tx>
            <c:rich>
              <a:bodyPr rot="0"/>
              <a:lstStyle/>
              <a:p>
                <a:pPr>
                  <a:defRPr b="0" sz="1000" spc="-1" strike="noStrike">
                    <a:solidFill>
                      <a:srgbClr val="000000"/>
                    </a:solidFill>
                    <a:latin typeface="Arial"/>
                    <a:ea typeface="Arial"/>
                  </a:defRPr>
                </a:pPr>
                <a:r>
                  <a:rPr b="0"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89062247"/>
        <c:crosses val="autoZero"/>
        <c:crossBetween val="midCat"/>
      </c:valAx>
      <c:valAx>
        <c:axId val="89062247"/>
        <c:scaling>
          <c:orientation val="minMax"/>
          <c:min val="0"/>
        </c:scaling>
        <c:delete val="0"/>
        <c:axPos val="l"/>
        <c:majorGridlines>
          <c:spPr>
            <a:ln w="3240">
              <a:solidFill>
                <a:srgbClr val="000000"/>
              </a:solidFill>
              <a:prstDash val="sysDash"/>
              <a:round/>
            </a:ln>
          </c:spPr>
        </c:majorGridlines>
        <c:title>
          <c:tx>
            <c:rich>
              <a:bodyPr rot="-5400000"/>
              <a:lstStyle/>
              <a:p>
                <a:pPr>
                  <a:defRPr b="1" lang="fr-FR" sz="1175" spc="-1" strike="noStrike">
                    <a:solidFill>
                      <a:srgbClr val="000000"/>
                    </a:solidFill>
                    <a:latin typeface="Arial"/>
                    <a:ea typeface="Arial"/>
                  </a:defRPr>
                </a:pPr>
                <a:r>
                  <a:rPr b="1" lang="fr-FR" sz="1175" spc="-1" strike="noStrike">
                    <a:solidFill>
                      <a:srgbClr val="000000"/>
                    </a:solidFill>
                    <a:latin typeface="Arial"/>
                    <a:ea typeface="Arial"/>
                  </a:rPr>
                  <a:t>Positions [m]</a:t>
                </a:r>
              </a:p>
            </c:rich>
          </c:tx>
          <c:layout>
            <c:manualLayout>
              <c:xMode val="edge"/>
              <c:yMode val="edge"/>
              <c:x val="0.0199810563348518"/>
              <c:y val="0.300170626066413"/>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20757897"/>
        <c:crosses val="autoZero"/>
        <c:crossBetween val="midCat"/>
      </c:valAx>
      <c:spPr>
        <a:noFill/>
        <a:ln w="12600">
          <a:solidFill>
            <a:srgbClr val="808080"/>
          </a:solidFill>
          <a:round/>
        </a:ln>
      </c:spPr>
    </c:plotArea>
    <c:legend>
      <c:legendPos val="r"/>
      <c:layout>
        <c:manualLayout>
          <c:xMode val="edge"/>
          <c:yMode val="edge"/>
          <c:x val="0.828616971227653"/>
          <c:y val="0.488889238845144"/>
          <c:w val="0.136792576635468"/>
          <c:h val="0.157777777777778"/>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200" spc="-1" strike="noStrike">
                <a:solidFill>
                  <a:srgbClr val="000000"/>
                </a:solidFill>
                <a:latin typeface="Arial"/>
                <a:ea typeface="Arial"/>
              </a:defRPr>
            </a:pPr>
            <a:r>
              <a:rPr b="0" sz="1200" spc="-1" strike="noStrike">
                <a:solidFill>
                  <a:srgbClr val="000000"/>
                </a:solidFill>
                <a:latin typeface="Arial"/>
                <a:ea typeface="Arial"/>
              </a:rPr>
              <a:t>p29-1G 56F31</a:t>
            </a:r>
          </a:p>
        </c:rich>
      </c:tx>
      <c:layout>
        <c:manualLayout>
          <c:xMode val="edge"/>
          <c:yMode val="edge"/>
          <c:x val="0.471228970630168"/>
          <c:y val="0.0391146149181322"/>
        </c:manualLayout>
      </c:layout>
      <c:overlay val="0"/>
      <c:spPr>
        <a:noFill/>
        <a:ln w="0">
          <a:noFill/>
        </a:ln>
      </c:spPr>
    </c:title>
    <c:autoTitleDeleted val="0"/>
    <c:plotArea>
      <c:layout>
        <c:manualLayout>
          <c:layoutTarget val="inner"/>
          <c:xMode val="edge"/>
          <c:yMode val="edge"/>
          <c:x val="0.0724836042201312"/>
          <c:y val="0.0554881746513038"/>
          <c:w val="0.889649272882806"/>
          <c:h val="0.823529411764706"/>
        </c:manualLayout>
      </c:layout>
      <c:scatterChart>
        <c:scatterStyle val="lineMarker"/>
        <c:varyColors val="0"/>
        <c:ser>
          <c:idx val="0"/>
          <c:order val="0"/>
          <c:tx>
            <c:strRef>
              <c:f>Propu!$A$4</c:f>
              <c:strCache>
                <c:ptCount val="1"/>
                <c:pt idx="0">
                  <c:v>Poussée (en N)</c:v>
                </c:pt>
              </c:strCache>
            </c:strRef>
          </c:tx>
          <c:spPr>
            <a:solidFill>
              <a:srgbClr val="004586"/>
            </a:solidFill>
            <a:ln w="25560">
              <a:solidFill>
                <a:srgbClr val="004586"/>
              </a:solidFill>
              <a:round/>
            </a:ln>
          </c:spPr>
          <c:marker>
            <c:symbol val="square"/>
            <c:size val="4"/>
            <c:spPr>
              <a:solidFill>
                <a:srgbClr val="004586"/>
              </a:solidFill>
            </c:spPr>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Propu!$B$3:$X$3</c:f>
              <c:numCache>
                <c:formatCode>General</c:formatCode>
                <c:ptCount val="23"/>
                <c:pt idx="0">
                  <c:v>0</c:v>
                </c:pt>
                <c:pt idx="1">
                  <c:v>0.05</c:v>
                </c:pt>
                <c:pt idx="2">
                  <c:v>0.5</c:v>
                </c:pt>
                <c:pt idx="3">
                  <c:v>1</c:v>
                </c:pt>
                <c:pt idx="4">
                  <c:v>1.5</c:v>
                </c:pt>
                <c:pt idx="5">
                  <c:v>2</c:v>
                </c:pt>
                <c:pt idx="6">
                  <c:v>2.5</c:v>
                </c:pt>
                <c:pt idx="7">
                  <c:v>2.97</c:v>
                </c:pt>
                <c:pt idx="8">
                  <c:v>3.2</c:v>
                </c:pt>
                <c:pt idx="9">
                  <c:v>3.47</c:v>
                </c:pt>
                <c:pt idx="10">
                  <c:v>3.59</c:v>
                </c:pt>
                <c:pt idx="11">
                  <c:v>3.59</c:v>
                </c:pt>
                <c:pt idx="12">
                  <c:v>3.59</c:v>
                </c:pt>
                <c:pt idx="13">
                  <c:v>3.59</c:v>
                </c:pt>
                <c:pt idx="14">
                  <c:v>3.59</c:v>
                </c:pt>
                <c:pt idx="15">
                  <c:v>3.59</c:v>
                </c:pt>
                <c:pt idx="16">
                  <c:v>3.59</c:v>
                </c:pt>
                <c:pt idx="17">
                  <c:v>3.59</c:v>
                </c:pt>
                <c:pt idx="18">
                  <c:v>3.59</c:v>
                </c:pt>
                <c:pt idx="19">
                  <c:v>3.59</c:v>
                </c:pt>
                <c:pt idx="20">
                  <c:v>3.59</c:v>
                </c:pt>
                <c:pt idx="21">
                  <c:v>3.59</c:v>
                </c:pt>
                <c:pt idx="22">
                  <c:v>3.59</c:v>
                </c:pt>
              </c:numCache>
            </c:numRef>
          </c:xVal>
          <c:yVal>
            <c:numRef>
              <c:f>Propu!$B$4:$X$4</c:f>
              <c:numCache>
                <c:formatCode>General</c:formatCode>
                <c:ptCount val="23"/>
                <c:pt idx="0">
                  <c:v>0</c:v>
                </c:pt>
                <c:pt idx="1">
                  <c:v>893</c:v>
                </c:pt>
                <c:pt idx="2">
                  <c:v>798</c:v>
                </c:pt>
                <c:pt idx="3">
                  <c:v>739</c:v>
                </c:pt>
                <c:pt idx="4">
                  <c:v>659</c:v>
                </c:pt>
                <c:pt idx="5">
                  <c:v>586</c:v>
                </c:pt>
                <c:pt idx="6">
                  <c:v>513</c:v>
                </c:pt>
                <c:pt idx="7">
                  <c:v>417</c:v>
                </c:pt>
                <c:pt idx="8">
                  <c:v>225</c:v>
                </c:pt>
                <c:pt idx="9">
                  <c:v>67</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0"/>
        </c:ser>
        <c:axId val="89110283"/>
        <c:axId val="52247500"/>
      </c:scatterChart>
      <c:valAx>
        <c:axId val="89110283"/>
        <c:scaling>
          <c:orientation val="minMax"/>
        </c:scaling>
        <c:delete val="0"/>
        <c:axPos val="b"/>
        <c:majorGridlines>
          <c:spPr>
            <a:ln w="3240">
              <a:solidFill>
                <a:srgbClr val="b3b3b3"/>
              </a:solidFill>
              <a:prstDash val="sysDash"/>
              <a:round/>
            </a:ln>
          </c:spPr>
        </c:majorGridlines>
        <c:title>
          <c:tx>
            <c:rich>
              <a:bodyPr rot="0"/>
              <a:lstStyle/>
              <a:p>
                <a:pPr>
                  <a:defRPr b="0" lang="fr-FR" sz="1000" spc="-1" strike="noStrike">
                    <a:solidFill>
                      <a:srgbClr val="000000"/>
                    </a:solidFill>
                    <a:latin typeface="Arial"/>
                    <a:ea typeface="Arial"/>
                  </a:defRPr>
                </a:pPr>
                <a:r>
                  <a:rPr b="0" lang="fr-FR" sz="1000" spc="-1" strike="noStrike">
                    <a:solidFill>
                      <a:srgbClr val="000000"/>
                    </a:solidFill>
                    <a:latin typeface="Arial"/>
                    <a:ea typeface="Arial"/>
                  </a:rPr>
                  <a:t>Temps / Time [s]</a:t>
                </a:r>
              </a:p>
            </c:rich>
          </c:tx>
          <c:layout>
            <c:manualLayout>
              <c:xMode val="edge"/>
              <c:yMode val="edge"/>
              <c:x val="0.786655260906758"/>
              <c:y val="0.688902365069739"/>
            </c:manualLayout>
          </c:layout>
          <c:overlay val="0"/>
          <c:spPr>
            <a:noFill/>
            <a:ln w="25560">
              <a:noFill/>
            </a:ln>
          </c:spPr>
        </c:title>
        <c:numFmt formatCode="General" sourceLinked="0"/>
        <c:majorTickMark val="out"/>
        <c:minorTickMark val="none"/>
        <c:tickLblPos val="nextTo"/>
        <c:spPr>
          <a:ln w="3240">
            <a:solidFill>
              <a:srgbClr val="b3b3b3"/>
            </a:solidFill>
            <a:round/>
          </a:ln>
        </c:spPr>
        <c:txPr>
          <a:bodyPr/>
          <a:lstStyle/>
          <a:p>
            <a:pPr>
              <a:defRPr b="0" sz="1000" spc="-1" strike="noStrike">
                <a:solidFill>
                  <a:srgbClr val="000000"/>
                </a:solidFill>
                <a:latin typeface="Arial"/>
                <a:ea typeface="Arial"/>
              </a:defRPr>
            </a:pPr>
          </a:p>
        </c:txPr>
        <c:crossAx val="52247500"/>
        <c:crosses val="autoZero"/>
        <c:crossBetween val="midCat"/>
      </c:valAx>
      <c:valAx>
        <c:axId val="52247500"/>
        <c:scaling>
          <c:orientation val="minMax"/>
        </c:scaling>
        <c:delete val="0"/>
        <c:axPos val="l"/>
        <c:majorGridlines>
          <c:spPr>
            <a:ln w="3240">
              <a:solidFill>
                <a:srgbClr val="b3b3b3"/>
              </a:solidFill>
              <a:prstDash val="sysDash"/>
              <a:round/>
            </a:ln>
          </c:spPr>
        </c:majorGridlines>
        <c:title>
          <c:tx>
            <c:rich>
              <a:bodyPr rot="-5400000"/>
              <a:lstStyle/>
              <a:p>
                <a:pPr>
                  <a:defRPr b="0" lang="fr-FR" sz="1000" spc="-1" strike="noStrike">
                    <a:solidFill>
                      <a:srgbClr val="000000"/>
                    </a:solidFill>
                    <a:latin typeface="Arial"/>
                    <a:ea typeface="Arial"/>
                  </a:defRPr>
                </a:pPr>
                <a:r>
                  <a:rPr b="0" lang="fr-FR" sz="1000" spc="-1" strike="noStrike">
                    <a:solidFill>
                      <a:srgbClr val="000000"/>
                    </a:solidFill>
                    <a:latin typeface="Arial"/>
                    <a:ea typeface="Arial"/>
                  </a:rPr>
                  <a:t>Poussée / Thrust [N]</a:t>
                </a:r>
              </a:p>
            </c:rich>
          </c:tx>
          <c:layout>
            <c:manualLayout>
              <c:xMode val="edge"/>
              <c:yMode val="edge"/>
              <c:x val="0.0852010265183918"/>
              <c:y val="0.352789569436022"/>
            </c:manualLayout>
          </c:layout>
          <c:overlay val="0"/>
          <c:spPr>
            <a:noFill/>
            <a:ln w="25560">
              <a:noFill/>
            </a:ln>
          </c:spPr>
        </c:title>
        <c:numFmt formatCode="General" sourceLinked="0"/>
        <c:majorTickMark val="out"/>
        <c:minorTickMark val="none"/>
        <c:tickLblPos val="nextTo"/>
        <c:spPr>
          <a:ln w="3240">
            <a:solidFill>
              <a:srgbClr val="b3b3b3"/>
            </a:solidFill>
            <a:round/>
          </a:ln>
        </c:spPr>
        <c:txPr>
          <a:bodyPr/>
          <a:lstStyle/>
          <a:p>
            <a:pPr>
              <a:defRPr b="0" sz="1000" spc="-1" strike="noStrike">
                <a:solidFill>
                  <a:srgbClr val="000000"/>
                </a:solidFill>
                <a:latin typeface="Arial"/>
                <a:ea typeface="Arial"/>
              </a:defRPr>
            </a:pPr>
          </a:p>
        </c:txPr>
        <c:crossAx val="89110283"/>
        <c:crosses val="autoZero"/>
        <c:crossBetween val="midCat"/>
      </c:valAx>
      <c:spPr>
        <a:noFill/>
        <a:ln w="3240">
          <a:solidFill>
            <a:srgbClr val="b3b3b3"/>
          </a:solidFill>
          <a:round/>
        </a:ln>
      </c:spPr>
    </c:plotArea>
    <c:plotVisOnly val="0"/>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chart" Target="../charts/chart1.xml"/><Relationship Id="rId4" Type="http://schemas.openxmlformats.org/officeDocument/2006/relationships/chart" Target="../charts/chart2.xml"/><Relationship Id="rId5" Type="http://schemas.openxmlformats.org/officeDocument/2006/relationships/image" Target="../media/image3.png"/><Relationship Id="rId6" Type="http://schemas.openxmlformats.org/officeDocument/2006/relationships/image" Target="../media/image4.png"/><Relationship Id="rId7" Type="http://schemas.openxmlformats.org/officeDocument/2006/relationships/image" Target="../media/image5.png"/>
</Relationships>
</file>

<file path=xl/drawings/_rels/drawing2.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image" Target="../media/image3.png"/>
</Relationships>
</file>

<file path=xl/drawings/_rels/drawing3.xml.rels><?xml version="1.0" encoding="UTF-8"?>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
</Relationships>
</file>

<file path=xl/drawings/_rels/drawing4.xml.rels><?xml version="1.0" encoding="UTF-8"?>
<Relationships xmlns="http://schemas.openxmlformats.org/package/2006/relationships"><Relationship Id="rId1" Type="http://schemas.openxmlformats.org/officeDocument/2006/relationships/chart" Target="../charts/chart9.xml"/>
</Relationships>
</file>

<file path=xl/drawings/_rels/drawing6.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
</Relationships>
</file>

<file path=xl/drawings/_rels/drawing7.xml.rels><?xml version="1.0" encoding="UTF-8"?>
<Relationships xmlns="http://schemas.openxmlformats.org/package/2006/relationships"><Relationship Id="rId1" Type="http://schemas.openxmlformats.org/officeDocument/2006/relationships/image" Target="../media/image6.jpeg"/><Relationship Id="rId2" Type="http://schemas.openxmlformats.org/officeDocument/2006/relationships/image" Target="../media/image7.png"/><Relationship Id="rId3"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25560</xdr:colOff>
      <xdr:row>1</xdr:row>
      <xdr:rowOff>25560</xdr:rowOff>
    </xdr:from>
    <xdr:to>
      <xdr:col>12</xdr:col>
      <xdr:colOff>488160</xdr:colOff>
      <xdr:row>1</xdr:row>
      <xdr:rowOff>139320</xdr:rowOff>
    </xdr:to>
    <xdr:grpSp>
      <xdr:nvGrpSpPr>
        <xdr:cNvPr id="0" name="Groupe 1"/>
        <xdr:cNvGrpSpPr/>
      </xdr:nvGrpSpPr>
      <xdr:grpSpPr>
        <a:xfrm>
          <a:off x="7796520" y="187560"/>
          <a:ext cx="462600" cy="113760"/>
          <a:chOff x="7796520" y="187560"/>
          <a:chExt cx="462600" cy="113760"/>
        </a:xfrm>
      </xdr:grpSpPr>
      <xdr:pic>
        <xdr:nvPicPr>
          <xdr:cNvPr id="1" name="Image 1" descr=""/>
          <xdr:cNvPicPr/>
        </xdr:nvPicPr>
        <xdr:blipFill>
          <a:blip r:embed="rId1"/>
          <a:stretch/>
        </xdr:blipFill>
        <xdr:spPr>
          <a:xfrm>
            <a:off x="7796520" y="187560"/>
            <a:ext cx="180720" cy="113760"/>
          </a:xfrm>
          <a:prstGeom prst="rect">
            <a:avLst/>
          </a:prstGeom>
          <a:ln w="9525">
            <a:noFill/>
          </a:ln>
        </xdr:spPr>
      </xdr:pic>
      <xdr:pic>
        <xdr:nvPicPr>
          <xdr:cNvPr id="2" name="Image 2" descr=""/>
          <xdr:cNvPicPr/>
        </xdr:nvPicPr>
        <xdr:blipFill>
          <a:blip r:embed="rId2"/>
          <a:stretch/>
        </xdr:blipFill>
        <xdr:spPr>
          <a:xfrm>
            <a:off x="8017920" y="187560"/>
            <a:ext cx="241200" cy="113760"/>
          </a:xfrm>
          <a:prstGeom prst="rect">
            <a:avLst/>
          </a:prstGeom>
          <a:ln w="9525">
            <a:noFill/>
          </a:ln>
        </xdr:spPr>
      </xdr:pic>
    </xdr:grpSp>
    <xdr:clientData/>
  </xdr:twoCellAnchor>
  <xdr:twoCellAnchor editAs="oneCell">
    <xdr:from>
      <xdr:col>4</xdr:col>
      <xdr:colOff>279360</xdr:colOff>
      <xdr:row>1</xdr:row>
      <xdr:rowOff>0</xdr:rowOff>
    </xdr:from>
    <xdr:to>
      <xdr:col>9</xdr:col>
      <xdr:colOff>376920</xdr:colOff>
      <xdr:row>23</xdr:row>
      <xdr:rowOff>161280</xdr:rowOff>
    </xdr:to>
    <xdr:graphicFrame>
      <xdr:nvGraphicFramePr>
        <xdr:cNvPr id="3" name="Graphique 9"/>
        <xdr:cNvGraphicFramePr/>
      </xdr:nvGraphicFramePr>
      <xdr:xfrm>
        <a:off x="3386880" y="162000"/>
        <a:ext cx="3031560" cy="37234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0</xdr:colOff>
      <xdr:row>25</xdr:row>
      <xdr:rowOff>0</xdr:rowOff>
    </xdr:from>
    <xdr:to>
      <xdr:col>15</xdr:col>
      <xdr:colOff>607680</xdr:colOff>
      <xdr:row>34</xdr:row>
      <xdr:rowOff>161280</xdr:rowOff>
    </xdr:to>
    <xdr:graphicFrame>
      <xdr:nvGraphicFramePr>
        <xdr:cNvPr id="4" name="Graphique 19"/>
        <xdr:cNvGraphicFramePr/>
      </xdr:nvGraphicFramePr>
      <xdr:xfrm>
        <a:off x="6572880" y="4048200"/>
        <a:ext cx="3016080" cy="16185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983520</xdr:colOff>
      <xdr:row>4</xdr:row>
      <xdr:rowOff>151560</xdr:rowOff>
    </xdr:to>
    <xdr:pic>
      <xdr:nvPicPr>
        <xdr:cNvPr id="5" name="Picture 8" descr="logoplasci"/>
        <xdr:cNvPicPr/>
      </xdr:nvPicPr>
      <xdr:blipFill>
        <a:blip r:embed="rId5"/>
        <a:stretch/>
      </xdr:blipFill>
      <xdr:spPr>
        <a:xfrm>
          <a:off x="153720" y="162000"/>
          <a:ext cx="983520" cy="637200"/>
        </a:xfrm>
        <a:prstGeom prst="rect">
          <a:avLst/>
        </a:prstGeom>
        <a:ln w="9525">
          <a:noFill/>
        </a:ln>
      </xdr:spPr>
    </xdr:pic>
    <xdr:clientData/>
  </xdr:twoCellAnchor>
  <xdr:twoCellAnchor editAs="oneCell">
    <xdr:from>
      <xdr:col>1</xdr:col>
      <xdr:colOff>0</xdr:colOff>
      <xdr:row>37</xdr:row>
      <xdr:rowOff>0</xdr:rowOff>
    </xdr:from>
    <xdr:to>
      <xdr:col>2</xdr:col>
      <xdr:colOff>850320</xdr:colOff>
      <xdr:row>48</xdr:row>
      <xdr:rowOff>69120</xdr:rowOff>
    </xdr:to>
    <xdr:pic>
      <xdr:nvPicPr>
        <xdr:cNvPr id="6" name="Image 1" descr=""/>
        <xdr:cNvPicPr/>
      </xdr:nvPicPr>
      <xdr:blipFill>
        <a:blip r:embed="rId6"/>
        <a:stretch/>
      </xdr:blipFill>
      <xdr:spPr>
        <a:xfrm>
          <a:off x="153720" y="5991120"/>
          <a:ext cx="1996920" cy="1850400"/>
        </a:xfrm>
        <a:prstGeom prst="rect">
          <a:avLst/>
        </a:prstGeom>
        <a:ln w="9525">
          <a:noFill/>
        </a:ln>
      </xdr:spPr>
    </xdr:pic>
    <xdr:clientData/>
  </xdr:twoCellAnchor>
  <xdr:twoCellAnchor editAs="oneCell">
    <xdr:from>
      <xdr:col>18</xdr:col>
      <xdr:colOff>0</xdr:colOff>
      <xdr:row>3</xdr:row>
      <xdr:rowOff>12600</xdr:rowOff>
    </xdr:from>
    <xdr:to>
      <xdr:col>20</xdr:col>
      <xdr:colOff>564480</xdr:colOff>
      <xdr:row>9</xdr:row>
      <xdr:rowOff>11880</xdr:rowOff>
    </xdr:to>
    <xdr:pic>
      <xdr:nvPicPr>
        <xdr:cNvPr id="7" name="Image 2" descr=""/>
        <xdr:cNvPicPr/>
      </xdr:nvPicPr>
      <xdr:blipFill>
        <a:blip r:embed="rId7"/>
        <a:stretch/>
      </xdr:blipFill>
      <xdr:spPr>
        <a:xfrm>
          <a:off x="9897120" y="498240"/>
          <a:ext cx="2166120" cy="970920"/>
        </a:xfrm>
        <a:prstGeom prst="rect">
          <a:avLst/>
        </a:prstGeom>
        <a:ln w="9525">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0</xdr:colOff>
      <xdr:row>1</xdr:row>
      <xdr:rowOff>0</xdr:rowOff>
    </xdr:from>
    <xdr:to>
      <xdr:col>8</xdr:col>
      <xdr:colOff>755640</xdr:colOff>
      <xdr:row>19</xdr:row>
      <xdr:rowOff>161280</xdr:rowOff>
    </xdr:to>
    <xdr:graphicFrame>
      <xdr:nvGraphicFramePr>
        <xdr:cNvPr id="8" name="Graphique 1"/>
        <xdr:cNvGraphicFramePr/>
      </xdr:nvGraphicFramePr>
      <xdr:xfrm>
        <a:off x="3094200" y="162000"/>
        <a:ext cx="3319200" cy="3075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1</xdr:row>
      <xdr:rowOff>0</xdr:rowOff>
    </xdr:from>
    <xdr:to>
      <xdr:col>12</xdr:col>
      <xdr:colOff>755640</xdr:colOff>
      <xdr:row>19</xdr:row>
      <xdr:rowOff>161280</xdr:rowOff>
    </xdr:to>
    <xdr:graphicFrame>
      <xdr:nvGraphicFramePr>
        <xdr:cNvPr id="9" name="Graphique 2"/>
        <xdr:cNvGraphicFramePr/>
      </xdr:nvGraphicFramePr>
      <xdr:xfrm>
        <a:off x="6414120" y="162000"/>
        <a:ext cx="3024360" cy="3075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983520</xdr:colOff>
      <xdr:row>4</xdr:row>
      <xdr:rowOff>151560</xdr:rowOff>
    </xdr:to>
    <xdr:pic>
      <xdr:nvPicPr>
        <xdr:cNvPr id="10" name="Picture 8" descr="logoplasci"/>
        <xdr:cNvPicPr/>
      </xdr:nvPicPr>
      <xdr:blipFill>
        <a:blip r:embed="rId3"/>
        <a:stretch/>
      </xdr:blipFill>
      <xdr:spPr>
        <a:xfrm>
          <a:off x="153720" y="162000"/>
          <a:ext cx="983520" cy="637200"/>
        </a:xfrm>
        <a:prstGeom prst="rect">
          <a:avLst/>
        </a:prstGeom>
        <a:ln w="9525">
          <a:noFill/>
        </a:ln>
      </xdr:spPr>
    </xdr:pic>
    <xdr:clientData/>
  </xdr:twoCellAnchor>
  <xdr:twoCellAnchor editAs="twoCell">
    <xdr:from>
      <xdr:col>2</xdr:col>
      <xdr:colOff>139680</xdr:colOff>
      <xdr:row>38</xdr:row>
      <xdr:rowOff>120600</xdr:rowOff>
    </xdr:from>
    <xdr:to>
      <xdr:col>3</xdr:col>
      <xdr:colOff>690120</xdr:colOff>
      <xdr:row>45</xdr:row>
      <xdr:rowOff>161280</xdr:rowOff>
    </xdr:to>
    <xdr:grpSp>
      <xdr:nvGrpSpPr>
        <xdr:cNvPr id="11" name="Groupe 1"/>
        <xdr:cNvGrpSpPr/>
      </xdr:nvGrpSpPr>
      <xdr:grpSpPr>
        <a:xfrm>
          <a:off x="1440000" y="6254640"/>
          <a:ext cx="1351440" cy="1174320"/>
          <a:chOff x="1440000" y="6254640"/>
          <a:chExt cx="1351440" cy="1174320"/>
        </a:xfrm>
      </xdr:grpSpPr>
      <xdr:sp>
        <xdr:nvSpPr>
          <xdr:cNvPr id="12" name="Line 320"/>
          <xdr:cNvSpPr/>
        </xdr:nvSpPr>
        <xdr:spPr>
          <a:xfrm flipH="1">
            <a:off x="1545120" y="7135920"/>
            <a:ext cx="368640" cy="360"/>
          </a:xfrm>
          <a:prstGeom prst="line">
            <a:avLst/>
          </a:prstGeom>
          <a:ln w="9525">
            <a:solidFill>
              <a:srgbClr val="000000"/>
            </a:solidFill>
            <a:round/>
            <a:headEnd len="med" type="triangle" w="med"/>
            <a:tailEnd len="med" type="triangle" w="med"/>
          </a:ln>
        </xdr:spPr>
        <xdr:style>
          <a:lnRef idx="0"/>
          <a:fillRef idx="0"/>
          <a:effectRef idx="0"/>
          <a:fontRef idx="minor"/>
        </xdr:style>
      </xdr:sp>
      <xdr:sp>
        <xdr:nvSpPr>
          <xdr:cNvPr id="13" name="Rectangle 314"/>
          <xdr:cNvSpPr/>
        </xdr:nvSpPr>
        <xdr:spPr>
          <a:xfrm>
            <a:off x="1935000" y="6254640"/>
            <a:ext cx="505080" cy="1174320"/>
          </a:xfrm>
          <a:prstGeom prst="rect">
            <a:avLst/>
          </a:prstGeom>
          <a:solidFill>
            <a:srgbClr val="f2f2f2"/>
          </a:solidFill>
          <a:ln w="9525">
            <a:solidFill>
              <a:srgbClr val="000000"/>
            </a:solidFill>
            <a:miter/>
          </a:ln>
        </xdr:spPr>
        <xdr:style>
          <a:lnRef idx="0"/>
          <a:fillRef idx="0"/>
          <a:effectRef idx="0"/>
          <a:fontRef idx="minor"/>
        </xdr:style>
      </xdr:sp>
      <xdr:sp>
        <xdr:nvSpPr>
          <xdr:cNvPr id="14" name="Rectangle 315"/>
          <xdr:cNvSpPr/>
        </xdr:nvSpPr>
        <xdr:spPr>
          <a:xfrm rot="16200000">
            <a:off x="1940040" y="6234120"/>
            <a:ext cx="505440" cy="1197000"/>
          </a:xfrm>
          <a:prstGeom prst="rect">
            <a:avLst/>
          </a:prstGeom>
          <a:solidFill>
            <a:srgbClr val="f2f2f2"/>
          </a:solidFill>
          <a:ln w="9525">
            <a:solidFill>
              <a:srgbClr val="000000"/>
            </a:solidFill>
            <a:miter/>
          </a:ln>
        </xdr:spPr>
        <xdr:style>
          <a:lnRef idx="0"/>
          <a:fillRef idx="0"/>
          <a:effectRef idx="0"/>
          <a:fontRef idx="minor"/>
        </xdr:style>
      </xdr:sp>
      <xdr:sp>
        <xdr:nvSpPr>
          <xdr:cNvPr id="15" name="Line 316"/>
          <xdr:cNvSpPr/>
        </xdr:nvSpPr>
        <xdr:spPr>
          <a:xfrm>
            <a:off x="1935000" y="6587280"/>
            <a:ext cx="360" cy="479880"/>
          </a:xfrm>
          <a:prstGeom prst="line">
            <a:avLst/>
          </a:prstGeom>
          <a:ln w="9525">
            <a:solidFill>
              <a:srgbClr val="000000"/>
            </a:solidFill>
            <a:round/>
          </a:ln>
        </xdr:spPr>
        <xdr:style>
          <a:lnRef idx="0"/>
          <a:fillRef idx="0"/>
          <a:effectRef idx="0"/>
          <a:fontRef idx="minor"/>
        </xdr:style>
      </xdr:sp>
      <xdr:sp>
        <xdr:nvSpPr>
          <xdr:cNvPr id="16" name="Line 317"/>
          <xdr:cNvSpPr/>
        </xdr:nvSpPr>
        <xdr:spPr>
          <a:xfrm>
            <a:off x="2437200" y="6587280"/>
            <a:ext cx="360" cy="479880"/>
          </a:xfrm>
          <a:prstGeom prst="line">
            <a:avLst/>
          </a:prstGeom>
          <a:ln w="9525">
            <a:solidFill>
              <a:srgbClr val="000000"/>
            </a:solidFill>
            <a:round/>
          </a:ln>
        </xdr:spPr>
        <xdr:style>
          <a:lnRef idx="0"/>
          <a:fillRef idx="0"/>
          <a:effectRef idx="0"/>
          <a:fontRef idx="minor"/>
        </xdr:style>
      </xdr:sp>
      <xdr:sp>
        <xdr:nvSpPr>
          <xdr:cNvPr id="17" name="Line 319"/>
          <xdr:cNvSpPr/>
        </xdr:nvSpPr>
        <xdr:spPr>
          <a:xfrm>
            <a:off x="1440000" y="6587280"/>
            <a:ext cx="360" cy="479880"/>
          </a:xfrm>
          <a:prstGeom prst="line">
            <a:avLst/>
          </a:prstGeom>
          <a:ln w="9525">
            <a:solidFill>
              <a:srgbClr val="000000"/>
            </a:solidFill>
            <a:round/>
            <a:headEnd len="med" type="triangle" w="med"/>
            <a:tailEnd len="med" type="triangle" w="med"/>
          </a:ln>
        </xdr:spPr>
        <xdr:style>
          <a:lnRef idx="0"/>
          <a:fillRef idx="0"/>
          <a:effectRef idx="0"/>
          <a:fontRef idx="minor"/>
        </xdr:style>
      </xdr:sp>
    </xdr:grpSp>
    <xdr:clientData/>
  </xdr:twoCellAnchor>
  <xdr:twoCellAnchor editAs="twoCell">
    <xdr:from>
      <xdr:col>2</xdr:col>
      <xdr:colOff>260280</xdr:colOff>
      <xdr:row>49</xdr:row>
      <xdr:rowOff>19080</xdr:rowOff>
    </xdr:from>
    <xdr:to>
      <xdr:col>3</xdr:col>
      <xdr:colOff>513720</xdr:colOff>
      <xdr:row>54</xdr:row>
      <xdr:rowOff>119880</xdr:rowOff>
    </xdr:to>
    <xdr:sp>
      <xdr:nvSpPr>
        <xdr:cNvPr id="18" name="Oval 323"/>
        <xdr:cNvSpPr/>
      </xdr:nvSpPr>
      <xdr:spPr>
        <a:xfrm>
          <a:off x="1560600" y="7934400"/>
          <a:ext cx="1054440" cy="910440"/>
        </a:xfrm>
        <a:prstGeom prst="ellipse">
          <a:avLst/>
        </a:prstGeom>
        <a:solidFill>
          <a:srgbClr val="f2f2f2"/>
        </a:solidFill>
        <a:ln w="9525">
          <a:solidFill>
            <a:srgbClr val="000000"/>
          </a:solidFill>
          <a:round/>
        </a:ln>
      </xdr:spPr>
      <xdr:style>
        <a:lnRef idx="0"/>
        <a:fillRef idx="0"/>
        <a:effectRef idx="0"/>
        <a:fontRef idx="minor"/>
      </xdr:style>
    </xdr:sp>
    <xdr:clientData/>
  </xdr:twoCellAnchor>
  <xdr:twoCellAnchor editAs="twoCell">
    <xdr:from>
      <xdr:col>2</xdr:col>
      <xdr:colOff>698400</xdr:colOff>
      <xdr:row>51</xdr:row>
      <xdr:rowOff>57240</xdr:rowOff>
    </xdr:from>
    <xdr:to>
      <xdr:col>3</xdr:col>
      <xdr:colOff>88200</xdr:colOff>
      <xdr:row>52</xdr:row>
      <xdr:rowOff>75600</xdr:rowOff>
    </xdr:to>
    <xdr:sp>
      <xdr:nvSpPr>
        <xdr:cNvPr id="19" name="Oval 323"/>
        <xdr:cNvSpPr/>
      </xdr:nvSpPr>
      <xdr:spPr>
        <a:xfrm>
          <a:off x="1998720" y="8296200"/>
          <a:ext cx="190800" cy="18036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3</xdr:col>
      <xdr:colOff>0</xdr:colOff>
      <xdr:row>49</xdr:row>
      <xdr:rowOff>18720</xdr:rowOff>
    </xdr:from>
    <xdr:to>
      <xdr:col>3</xdr:col>
      <xdr:colOff>0</xdr:colOff>
      <xdr:row>51</xdr:row>
      <xdr:rowOff>145800</xdr:rowOff>
    </xdr:to>
    <xdr:sp>
      <xdr:nvSpPr>
        <xdr:cNvPr id="20" name="Line 324"/>
        <xdr:cNvSpPr/>
      </xdr:nvSpPr>
      <xdr:spPr>
        <a:xfrm>
          <a:off x="2101320" y="7934040"/>
          <a:ext cx="0" cy="450720"/>
        </a:xfrm>
        <a:prstGeom prst="line">
          <a:avLst/>
        </a:prstGeom>
        <a:ln w="9525">
          <a:solidFill>
            <a:srgbClr val="000000"/>
          </a:solidFill>
          <a:round/>
          <a:headEnd len="med" type="triangle" w="med"/>
          <a:tailEnd len="med" type="triangle" w="med"/>
        </a:ln>
      </xdr:spPr>
      <xdr:style>
        <a:lnRef idx="0"/>
        <a:fillRef idx="0"/>
        <a:effectRef idx="0"/>
        <a:fontRef idx="minor"/>
      </xdr:style>
    </xdr:sp>
    <xdr:clientData/>
  </xdr:twoCellAnchor>
  <xdr:twoCellAnchor editAs="twoCell">
    <xdr:from>
      <xdr:col>3</xdr:col>
      <xdr:colOff>0</xdr:colOff>
      <xdr:row>51</xdr:row>
      <xdr:rowOff>145800</xdr:rowOff>
    </xdr:from>
    <xdr:to>
      <xdr:col>3</xdr:col>
      <xdr:colOff>0</xdr:colOff>
      <xdr:row>52</xdr:row>
      <xdr:rowOff>88560</xdr:rowOff>
    </xdr:to>
    <xdr:sp>
      <xdr:nvSpPr>
        <xdr:cNvPr id="21" name="Line 324"/>
        <xdr:cNvSpPr/>
      </xdr:nvSpPr>
      <xdr:spPr>
        <a:xfrm>
          <a:off x="2101320" y="8384760"/>
          <a:ext cx="0" cy="104760"/>
        </a:xfrm>
        <a:prstGeom prst="line">
          <a:avLst/>
        </a:prstGeom>
        <a:ln w="9525">
          <a:solidFill>
            <a:srgbClr val="000000"/>
          </a:solidFill>
          <a:round/>
          <a:headEnd len="sm" type="triangle" w="sm"/>
          <a:tailEnd len="sm" type="triangle" w="sm"/>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165240</xdr:colOff>
      <xdr:row>1</xdr:row>
      <xdr:rowOff>0</xdr:rowOff>
    </xdr:from>
    <xdr:to>
      <xdr:col>10</xdr:col>
      <xdr:colOff>621720</xdr:colOff>
      <xdr:row>18</xdr:row>
      <xdr:rowOff>151560</xdr:rowOff>
    </xdr:to>
    <xdr:graphicFrame>
      <xdr:nvGraphicFramePr>
        <xdr:cNvPr id="22" name="Graphique 1"/>
        <xdr:cNvGraphicFramePr/>
      </xdr:nvGraphicFramePr>
      <xdr:xfrm>
        <a:off x="165240" y="152280"/>
        <a:ext cx="7981200" cy="2742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165240</xdr:colOff>
      <xdr:row>37</xdr:row>
      <xdr:rowOff>0</xdr:rowOff>
    </xdr:from>
    <xdr:to>
      <xdr:col>10</xdr:col>
      <xdr:colOff>621720</xdr:colOff>
      <xdr:row>54</xdr:row>
      <xdr:rowOff>151560</xdr:rowOff>
    </xdr:to>
    <xdr:graphicFrame>
      <xdr:nvGraphicFramePr>
        <xdr:cNvPr id="23" name="Graphique 2"/>
        <xdr:cNvGraphicFramePr/>
      </xdr:nvGraphicFramePr>
      <xdr:xfrm>
        <a:off x="165240" y="5638680"/>
        <a:ext cx="7981200" cy="27424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165240</xdr:colOff>
      <xdr:row>19</xdr:row>
      <xdr:rowOff>0</xdr:rowOff>
    </xdr:from>
    <xdr:to>
      <xdr:col>10</xdr:col>
      <xdr:colOff>621720</xdr:colOff>
      <xdr:row>36</xdr:row>
      <xdr:rowOff>151560</xdr:rowOff>
    </xdr:to>
    <xdr:graphicFrame>
      <xdr:nvGraphicFramePr>
        <xdr:cNvPr id="24" name="Graphique 3"/>
        <xdr:cNvGraphicFramePr/>
      </xdr:nvGraphicFramePr>
      <xdr:xfrm>
        <a:off x="165240" y="2895480"/>
        <a:ext cx="7981200" cy="27424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165240</xdr:colOff>
      <xdr:row>55</xdr:row>
      <xdr:rowOff>0</xdr:rowOff>
    </xdr:from>
    <xdr:to>
      <xdr:col>10</xdr:col>
      <xdr:colOff>621720</xdr:colOff>
      <xdr:row>72</xdr:row>
      <xdr:rowOff>151560</xdr:rowOff>
    </xdr:to>
    <xdr:graphicFrame>
      <xdr:nvGraphicFramePr>
        <xdr:cNvPr id="25" name="Graphique 4"/>
        <xdr:cNvGraphicFramePr/>
      </xdr:nvGraphicFramePr>
      <xdr:xfrm>
        <a:off x="165240" y="8381880"/>
        <a:ext cx="7981200" cy="27424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12600</xdr:colOff>
      <xdr:row>4</xdr:row>
      <xdr:rowOff>44280</xdr:rowOff>
    </xdr:from>
    <xdr:to>
      <xdr:col>7</xdr:col>
      <xdr:colOff>214920</xdr:colOff>
      <xdr:row>19</xdr:row>
      <xdr:rowOff>132480</xdr:rowOff>
    </xdr:to>
    <xdr:graphicFrame>
      <xdr:nvGraphicFramePr>
        <xdr:cNvPr id="26" name="Graphique 1"/>
        <xdr:cNvGraphicFramePr/>
      </xdr:nvGraphicFramePr>
      <xdr:xfrm>
        <a:off x="12600" y="682560"/>
        <a:ext cx="6312240" cy="2374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272880</xdr:colOff>
      <xdr:row>1008</xdr:row>
      <xdr:rowOff>145800</xdr:rowOff>
    </xdr:from>
    <xdr:to>
      <xdr:col>16</xdr:col>
      <xdr:colOff>152280</xdr:colOff>
      <xdr:row>1010</xdr:row>
      <xdr:rowOff>82440</xdr:rowOff>
    </xdr:to>
    <xdr:sp>
      <xdr:nvSpPr>
        <xdr:cNvPr id="27" name="Line 60"/>
        <xdr:cNvSpPr/>
      </xdr:nvSpPr>
      <xdr:spPr>
        <a:xfrm flipH="1">
          <a:off x="5806440" y="153774360"/>
          <a:ext cx="1109160" cy="241560"/>
        </a:xfrm>
        <a:prstGeom prst="line">
          <a:avLst/>
        </a:prstGeom>
        <a:ln w="9525">
          <a:solidFill>
            <a:srgbClr val="000000"/>
          </a:solidFill>
          <a:round/>
          <a:tailEnd len="med" type="triangle" w="med"/>
        </a:ln>
      </xdr:spPr>
      <xdr:style>
        <a:lnRef idx="0"/>
        <a:fillRef idx="0"/>
        <a:effectRef idx="0"/>
        <a:fontRef idx="minor"/>
      </xdr:style>
    </xdr:sp>
    <xdr:clientData/>
  </xdr:twoCellAnchor>
  <xdr:twoCellAnchor editAs="twoCell">
    <xdr:from>
      <xdr:col>12</xdr:col>
      <xdr:colOff>279360</xdr:colOff>
      <xdr:row>1011</xdr:row>
      <xdr:rowOff>95040</xdr:rowOff>
    </xdr:from>
    <xdr:to>
      <xdr:col>17</xdr:col>
      <xdr:colOff>349200</xdr:colOff>
      <xdr:row>1013</xdr:row>
      <xdr:rowOff>139680</xdr:rowOff>
    </xdr:to>
    <xdr:sp>
      <xdr:nvSpPr>
        <xdr:cNvPr id="28" name="Line 71"/>
        <xdr:cNvSpPr/>
      </xdr:nvSpPr>
      <xdr:spPr>
        <a:xfrm flipH="1" flipV="1">
          <a:off x="5812920" y="154180800"/>
          <a:ext cx="1908000" cy="349560"/>
        </a:xfrm>
        <a:prstGeom prst="line">
          <a:avLst/>
        </a:prstGeom>
        <a:ln w="9525">
          <a:solidFill>
            <a:srgbClr val="000000"/>
          </a:solidFill>
          <a:round/>
          <a:tailEnd len="med" type="triangle" w="med"/>
        </a:ln>
      </xdr:spPr>
      <xdr:style>
        <a:lnRef idx="0"/>
        <a:fillRef idx="0"/>
        <a:effectRef idx="0"/>
        <a:fontRef idx="minor"/>
      </xdr:style>
    </xdr:sp>
    <xdr:clientData/>
  </xdr:twoCellAnchor>
  <xdr:twoCellAnchor editAs="twoCell">
    <xdr:from>
      <xdr:col>12</xdr:col>
      <xdr:colOff>279360</xdr:colOff>
      <xdr:row>1012</xdr:row>
      <xdr:rowOff>139680</xdr:rowOff>
    </xdr:from>
    <xdr:to>
      <xdr:col>17</xdr:col>
      <xdr:colOff>349200</xdr:colOff>
      <xdr:row>1015</xdr:row>
      <xdr:rowOff>25200</xdr:rowOff>
    </xdr:to>
    <xdr:sp>
      <xdr:nvSpPr>
        <xdr:cNvPr id="29" name="Line 71"/>
        <xdr:cNvSpPr/>
      </xdr:nvSpPr>
      <xdr:spPr>
        <a:xfrm flipH="1" flipV="1">
          <a:off x="5812920" y="154378080"/>
          <a:ext cx="1908000" cy="342720"/>
        </a:xfrm>
        <a:prstGeom prst="line">
          <a:avLst/>
        </a:prstGeom>
        <a:ln w="9525">
          <a:solidFill>
            <a:srgbClr val="000000"/>
          </a:solidFill>
          <a:round/>
          <a:tailEnd len="med" type="triangle" w="med"/>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0</xdr:rowOff>
    </xdr:from>
    <xdr:to>
      <xdr:col>1</xdr:col>
      <xdr:colOff>983520</xdr:colOff>
      <xdr:row>4</xdr:row>
      <xdr:rowOff>151560</xdr:rowOff>
    </xdr:to>
    <xdr:pic>
      <xdr:nvPicPr>
        <xdr:cNvPr id="30" name="Picture 8" descr="logoplasci"/>
        <xdr:cNvPicPr/>
      </xdr:nvPicPr>
      <xdr:blipFill>
        <a:blip r:embed="rId1"/>
        <a:stretch/>
      </xdr:blipFill>
      <xdr:spPr>
        <a:xfrm>
          <a:off x="153720" y="162000"/>
          <a:ext cx="983520" cy="637200"/>
        </a:xfrm>
        <a:prstGeom prst="rect">
          <a:avLst/>
        </a:prstGeom>
        <a:ln w="9525">
          <a:noFill/>
        </a:ln>
      </xdr:spPr>
    </xdr:pic>
    <xdr:clientData/>
  </xdr:twoCellAnchor>
  <xdr:twoCellAnchor editAs="oneCell">
    <xdr:from>
      <xdr:col>6</xdr:col>
      <xdr:colOff>450720</xdr:colOff>
      <xdr:row>0</xdr:row>
      <xdr:rowOff>120600</xdr:rowOff>
    </xdr:from>
    <xdr:to>
      <xdr:col>12</xdr:col>
      <xdr:colOff>450000</xdr:colOff>
      <xdr:row>17</xdr:row>
      <xdr:rowOff>24480</xdr:rowOff>
    </xdr:to>
    <xdr:graphicFrame>
      <xdr:nvGraphicFramePr>
        <xdr:cNvPr id="31" name="Graphique 2"/>
        <xdr:cNvGraphicFramePr/>
      </xdr:nvGraphicFramePr>
      <xdr:xfrm>
        <a:off x="4857480" y="120600"/>
        <a:ext cx="4514400" cy="2694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450720</xdr:colOff>
      <xdr:row>17</xdr:row>
      <xdr:rowOff>25560</xdr:rowOff>
    </xdr:from>
    <xdr:to>
      <xdr:col>12</xdr:col>
      <xdr:colOff>450000</xdr:colOff>
      <xdr:row>34</xdr:row>
      <xdr:rowOff>18360</xdr:rowOff>
    </xdr:to>
    <xdr:graphicFrame>
      <xdr:nvGraphicFramePr>
        <xdr:cNvPr id="32" name="Graphique 2"/>
        <xdr:cNvGraphicFramePr/>
      </xdr:nvGraphicFramePr>
      <xdr:xfrm>
        <a:off x="4857480" y="2816280"/>
        <a:ext cx="4514400" cy="25837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12600</xdr:colOff>
      <xdr:row>17</xdr:row>
      <xdr:rowOff>25560</xdr:rowOff>
    </xdr:from>
    <xdr:to>
      <xdr:col>6</xdr:col>
      <xdr:colOff>450000</xdr:colOff>
      <xdr:row>34</xdr:row>
      <xdr:rowOff>18360</xdr:rowOff>
    </xdr:to>
    <xdr:graphicFrame>
      <xdr:nvGraphicFramePr>
        <xdr:cNvPr id="33" name="Graphique 2"/>
        <xdr:cNvGraphicFramePr/>
      </xdr:nvGraphicFramePr>
      <xdr:xfrm>
        <a:off x="166320" y="2816280"/>
        <a:ext cx="4690440" cy="25837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69840</xdr:colOff>
      <xdr:row>33</xdr:row>
      <xdr:rowOff>25560</xdr:rowOff>
    </xdr:from>
    <xdr:to>
      <xdr:col>2</xdr:col>
      <xdr:colOff>11880</xdr:colOff>
      <xdr:row>44</xdr:row>
      <xdr:rowOff>18360</xdr:rowOff>
    </xdr:to>
    <xdr:pic>
      <xdr:nvPicPr>
        <xdr:cNvPr id="34" name="Image 1" descr=""/>
        <xdr:cNvPicPr/>
      </xdr:nvPicPr>
      <xdr:blipFill>
        <a:blip r:embed="rId1"/>
        <a:stretch/>
      </xdr:blipFill>
      <xdr:spPr>
        <a:xfrm>
          <a:off x="69840" y="5102280"/>
          <a:ext cx="1242360" cy="1669320"/>
        </a:xfrm>
        <a:prstGeom prst="rect">
          <a:avLst/>
        </a:prstGeom>
        <a:ln w="9525">
          <a:noFill/>
        </a:ln>
      </xdr:spPr>
    </xdr:pic>
    <xdr:clientData/>
  </xdr:twoCellAnchor>
  <xdr:twoCellAnchor editAs="oneCell">
    <xdr:from>
      <xdr:col>1</xdr:col>
      <xdr:colOff>1123920</xdr:colOff>
      <xdr:row>53</xdr:row>
      <xdr:rowOff>44280</xdr:rowOff>
    </xdr:from>
    <xdr:to>
      <xdr:col>10</xdr:col>
      <xdr:colOff>608760</xdr:colOff>
      <xdr:row>81</xdr:row>
      <xdr:rowOff>24480</xdr:rowOff>
    </xdr:to>
    <xdr:pic>
      <xdr:nvPicPr>
        <xdr:cNvPr id="35" name="Image 2" descr=""/>
        <xdr:cNvPicPr/>
      </xdr:nvPicPr>
      <xdr:blipFill>
        <a:blip r:embed="rId2"/>
        <a:stretch/>
      </xdr:blipFill>
      <xdr:spPr>
        <a:xfrm>
          <a:off x="1277640" y="8169120"/>
          <a:ext cx="7067880" cy="4247280"/>
        </a:xfrm>
        <a:prstGeom prst="rect">
          <a:avLst/>
        </a:prstGeom>
        <a:ln w="9525">
          <a:noFill/>
        </a:ln>
      </xdr:spPr>
    </xdr:pic>
    <xdr:clientData/>
  </xdr:twoCellAnchor>
  <xdr:twoCellAnchor editAs="oneCell">
    <xdr:from>
      <xdr:col>1</xdr:col>
      <xdr:colOff>0</xdr:colOff>
      <xdr:row>1</xdr:row>
      <xdr:rowOff>0</xdr:rowOff>
    </xdr:from>
    <xdr:to>
      <xdr:col>1</xdr:col>
      <xdr:colOff>983520</xdr:colOff>
      <xdr:row>4</xdr:row>
      <xdr:rowOff>151560</xdr:rowOff>
    </xdr:to>
    <xdr:pic>
      <xdr:nvPicPr>
        <xdr:cNvPr id="36" name="Picture 8" descr="logoplasci"/>
        <xdr:cNvPicPr/>
      </xdr:nvPicPr>
      <xdr:blipFill>
        <a:blip r:embed="rId3"/>
        <a:stretch/>
      </xdr:blipFill>
      <xdr:spPr>
        <a:xfrm>
          <a:off x="153720" y="152280"/>
          <a:ext cx="983520" cy="608760"/>
        </a:xfrm>
        <a:prstGeom prst="rect">
          <a:avLst/>
        </a:prstGeom>
        <a:ln w="9525">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69840</xdr:colOff>
      <xdr:row>80</xdr:row>
      <xdr:rowOff>12600</xdr:rowOff>
    </xdr:from>
    <xdr:to>
      <xdr:col>7</xdr:col>
      <xdr:colOff>474120</xdr:colOff>
      <xdr:row>102</xdr:row>
      <xdr:rowOff>107640</xdr:rowOff>
    </xdr:to>
    <xdr:grpSp>
      <xdr:nvGrpSpPr>
        <xdr:cNvPr id="37" name="Group 232"/>
        <xdr:cNvGrpSpPr/>
      </xdr:nvGrpSpPr>
      <xdr:grpSpPr>
        <a:xfrm>
          <a:off x="4387320" y="13166640"/>
          <a:ext cx="2281320" cy="3638160"/>
          <a:chOff x="4387320" y="13166640"/>
          <a:chExt cx="2281320" cy="3638160"/>
        </a:xfrm>
      </xdr:grpSpPr>
      <xdr:grpSp>
        <xdr:nvGrpSpPr>
          <xdr:cNvPr id="38" name="Group 233"/>
          <xdr:cNvGrpSpPr/>
        </xdr:nvGrpSpPr>
        <xdr:grpSpPr>
          <a:xfrm>
            <a:off x="5011200" y="13166640"/>
            <a:ext cx="511920" cy="2587680"/>
            <a:chOff x="5011200" y="13166640"/>
            <a:chExt cx="511920" cy="2587680"/>
          </a:xfrm>
        </xdr:grpSpPr>
        <xdr:sp>
          <xdr:nvSpPr>
            <xdr:cNvPr id="39" name="Arc 234"/>
            <xdr:cNvSpPr/>
          </xdr:nvSpPr>
          <xdr:spPr>
            <a:xfrm flipH="1">
              <a:off x="5163840" y="13166640"/>
              <a:ext cx="358920" cy="608400"/>
            </a:xfrm>
            <a:custGeom>
              <a:avLst/>
              <a:gdLst>
                <a:gd name="textAreaLeft" fmla="*/ 360 w 358920"/>
                <a:gd name="textAreaRight" fmla="*/ 360000 w 358920"/>
                <a:gd name="textAreaTop" fmla="*/ 0 h 608400"/>
                <a:gd name="textAreaBottom" fmla="*/ 609120 h 60840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40" name="Group 235"/>
            <xdr:cNvGrpSpPr/>
          </xdr:nvGrpSpPr>
          <xdr:grpSpPr>
            <a:xfrm>
              <a:off x="5011200" y="13752360"/>
              <a:ext cx="284400" cy="2001960"/>
              <a:chOff x="5011200" y="13752360"/>
              <a:chExt cx="284400" cy="2001960"/>
            </a:xfrm>
          </xdr:grpSpPr>
          <xdr:sp>
            <xdr:nvSpPr>
              <xdr:cNvPr id="41" name="Line 236"/>
              <xdr:cNvSpPr/>
            </xdr:nvSpPr>
            <xdr:spPr>
              <a:xfrm>
                <a:off x="5162400" y="13752360"/>
                <a:ext cx="360" cy="591120"/>
              </a:xfrm>
              <a:prstGeom prst="line">
                <a:avLst/>
              </a:prstGeom>
              <a:ln w="9525">
                <a:solidFill>
                  <a:srgbClr val="00b0f0"/>
                </a:solidFill>
                <a:round/>
              </a:ln>
            </xdr:spPr>
            <xdr:style>
              <a:lnRef idx="0"/>
              <a:fillRef idx="0"/>
              <a:effectRef idx="0"/>
              <a:fontRef idx="minor"/>
            </xdr:style>
          </xdr:sp>
          <xdr:sp>
            <xdr:nvSpPr>
              <xdr:cNvPr id="42" name="Line 237"/>
              <xdr:cNvSpPr/>
            </xdr:nvSpPr>
            <xdr:spPr>
              <a:xfrm flipH="1">
                <a:off x="5011200" y="14343480"/>
                <a:ext cx="151200" cy="160560"/>
              </a:xfrm>
              <a:prstGeom prst="line">
                <a:avLst/>
              </a:prstGeom>
              <a:ln w="9525">
                <a:solidFill>
                  <a:srgbClr val="00b0f0"/>
                </a:solidFill>
                <a:round/>
              </a:ln>
            </xdr:spPr>
            <xdr:style>
              <a:lnRef idx="0"/>
              <a:fillRef idx="0"/>
              <a:effectRef idx="0"/>
              <a:fontRef idx="minor"/>
            </xdr:style>
          </xdr:sp>
          <xdr:sp>
            <xdr:nvSpPr>
              <xdr:cNvPr id="43" name="Line 238"/>
              <xdr:cNvSpPr/>
            </xdr:nvSpPr>
            <xdr:spPr>
              <a:xfrm>
                <a:off x="5011200" y="14504040"/>
                <a:ext cx="360" cy="405720"/>
              </a:xfrm>
              <a:prstGeom prst="line">
                <a:avLst/>
              </a:prstGeom>
              <a:ln w="9525">
                <a:solidFill>
                  <a:srgbClr val="00b0f0"/>
                </a:solidFill>
                <a:round/>
              </a:ln>
            </xdr:spPr>
            <xdr:style>
              <a:lnRef idx="0"/>
              <a:fillRef idx="0"/>
              <a:effectRef idx="0"/>
              <a:fontRef idx="minor"/>
            </xdr:style>
          </xdr:sp>
          <xdr:sp>
            <xdr:nvSpPr>
              <xdr:cNvPr id="44" name="Line 239"/>
              <xdr:cNvSpPr/>
            </xdr:nvSpPr>
            <xdr:spPr>
              <a:xfrm>
                <a:off x="5011200" y="14909760"/>
                <a:ext cx="284040" cy="231840"/>
              </a:xfrm>
              <a:prstGeom prst="line">
                <a:avLst/>
              </a:prstGeom>
              <a:ln w="9525">
                <a:solidFill>
                  <a:srgbClr val="00b0f0"/>
                </a:solidFill>
                <a:round/>
              </a:ln>
            </xdr:spPr>
            <xdr:style>
              <a:lnRef idx="0"/>
              <a:fillRef idx="0"/>
              <a:effectRef idx="0"/>
              <a:fontRef idx="minor"/>
            </xdr:style>
          </xdr:sp>
          <xdr:sp>
            <xdr:nvSpPr>
              <xdr:cNvPr id="45" name="Line 240"/>
              <xdr:cNvSpPr/>
            </xdr:nvSpPr>
            <xdr:spPr>
              <a:xfrm>
                <a:off x="5295240" y="15141600"/>
                <a:ext cx="360" cy="612720"/>
              </a:xfrm>
              <a:prstGeom prst="line">
                <a:avLst/>
              </a:prstGeom>
              <a:ln w="9525">
                <a:solidFill>
                  <a:srgbClr val="00b0f0"/>
                </a:solidFill>
                <a:round/>
              </a:ln>
            </xdr:spPr>
            <xdr:style>
              <a:lnRef idx="0"/>
              <a:fillRef idx="0"/>
              <a:effectRef idx="0"/>
              <a:fontRef idx="minor"/>
            </xdr:style>
          </xdr:sp>
        </xdr:grpSp>
      </xdr:grpSp>
      <xdr:grpSp>
        <xdr:nvGrpSpPr>
          <xdr:cNvPr id="46" name="Group 241"/>
          <xdr:cNvGrpSpPr/>
        </xdr:nvGrpSpPr>
        <xdr:grpSpPr>
          <a:xfrm>
            <a:off x="5522400" y="13166640"/>
            <a:ext cx="513720" cy="2587680"/>
            <a:chOff x="5522400" y="13166640"/>
            <a:chExt cx="513720" cy="2587680"/>
          </a:xfrm>
        </xdr:grpSpPr>
        <xdr:sp>
          <xdr:nvSpPr>
            <xdr:cNvPr id="47" name="Arc 242"/>
            <xdr:cNvSpPr/>
          </xdr:nvSpPr>
          <xdr:spPr>
            <a:xfrm>
              <a:off x="5522400" y="13166640"/>
              <a:ext cx="358920" cy="608400"/>
            </a:xfrm>
            <a:custGeom>
              <a:avLst/>
              <a:gdLst>
                <a:gd name="textAreaLeft" fmla="*/ 0 w 358920"/>
                <a:gd name="textAreaRight" fmla="*/ 359640 w 358920"/>
                <a:gd name="textAreaTop" fmla="*/ 0 h 608400"/>
                <a:gd name="textAreaBottom" fmla="*/ 609120 h 60840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48" name="Group 243"/>
            <xdr:cNvGrpSpPr/>
          </xdr:nvGrpSpPr>
          <xdr:grpSpPr>
            <a:xfrm>
              <a:off x="5751720" y="13752360"/>
              <a:ext cx="284400" cy="2001960"/>
              <a:chOff x="5751720" y="13752360"/>
              <a:chExt cx="284400" cy="2001960"/>
            </a:xfrm>
          </xdr:grpSpPr>
          <xdr:sp>
            <xdr:nvSpPr>
              <xdr:cNvPr id="49" name="Line 244"/>
              <xdr:cNvSpPr/>
            </xdr:nvSpPr>
            <xdr:spPr>
              <a:xfrm>
                <a:off x="5884200" y="13752360"/>
                <a:ext cx="360" cy="591120"/>
              </a:xfrm>
              <a:prstGeom prst="line">
                <a:avLst/>
              </a:prstGeom>
              <a:ln w="9525">
                <a:solidFill>
                  <a:srgbClr val="00b0f0"/>
                </a:solidFill>
                <a:round/>
              </a:ln>
            </xdr:spPr>
            <xdr:style>
              <a:lnRef idx="0"/>
              <a:fillRef idx="0"/>
              <a:effectRef idx="0"/>
              <a:fontRef idx="minor"/>
            </xdr:style>
          </xdr:sp>
          <xdr:sp>
            <xdr:nvSpPr>
              <xdr:cNvPr id="50" name="Line 245"/>
              <xdr:cNvSpPr/>
            </xdr:nvSpPr>
            <xdr:spPr>
              <a:xfrm>
                <a:off x="5884200" y="14343480"/>
                <a:ext cx="151560" cy="160560"/>
              </a:xfrm>
              <a:prstGeom prst="line">
                <a:avLst/>
              </a:prstGeom>
              <a:ln w="9525">
                <a:solidFill>
                  <a:srgbClr val="00b0f0"/>
                </a:solidFill>
                <a:round/>
              </a:ln>
            </xdr:spPr>
            <xdr:style>
              <a:lnRef idx="0"/>
              <a:fillRef idx="0"/>
              <a:effectRef idx="0"/>
              <a:fontRef idx="minor"/>
            </xdr:style>
          </xdr:sp>
          <xdr:sp>
            <xdr:nvSpPr>
              <xdr:cNvPr id="51" name="Line 246"/>
              <xdr:cNvSpPr/>
            </xdr:nvSpPr>
            <xdr:spPr>
              <a:xfrm>
                <a:off x="6035760" y="14504040"/>
                <a:ext cx="360" cy="405720"/>
              </a:xfrm>
              <a:prstGeom prst="line">
                <a:avLst/>
              </a:prstGeom>
              <a:ln w="9525">
                <a:solidFill>
                  <a:srgbClr val="00b0f0"/>
                </a:solidFill>
                <a:round/>
              </a:ln>
            </xdr:spPr>
            <xdr:style>
              <a:lnRef idx="0"/>
              <a:fillRef idx="0"/>
              <a:effectRef idx="0"/>
              <a:fontRef idx="minor"/>
            </xdr:style>
          </xdr:sp>
          <xdr:sp>
            <xdr:nvSpPr>
              <xdr:cNvPr id="52" name="Line 247"/>
              <xdr:cNvSpPr/>
            </xdr:nvSpPr>
            <xdr:spPr>
              <a:xfrm flipH="1">
                <a:off x="5751720" y="14909760"/>
                <a:ext cx="284040" cy="231840"/>
              </a:xfrm>
              <a:prstGeom prst="line">
                <a:avLst/>
              </a:prstGeom>
              <a:ln w="9525">
                <a:solidFill>
                  <a:srgbClr val="00b0f0"/>
                </a:solidFill>
                <a:round/>
              </a:ln>
            </xdr:spPr>
            <xdr:style>
              <a:lnRef idx="0"/>
              <a:fillRef idx="0"/>
              <a:effectRef idx="0"/>
              <a:fontRef idx="minor"/>
            </xdr:style>
          </xdr:sp>
          <xdr:sp>
            <xdr:nvSpPr>
              <xdr:cNvPr id="53" name="Line 248"/>
              <xdr:cNvSpPr/>
            </xdr:nvSpPr>
            <xdr:spPr>
              <a:xfrm>
                <a:off x="5751720" y="15141600"/>
                <a:ext cx="360" cy="612720"/>
              </a:xfrm>
              <a:prstGeom prst="line">
                <a:avLst/>
              </a:prstGeom>
              <a:ln w="9525">
                <a:solidFill>
                  <a:srgbClr val="00b0f0"/>
                </a:solidFill>
                <a:round/>
              </a:ln>
            </xdr:spPr>
            <xdr:style>
              <a:lnRef idx="0"/>
              <a:fillRef idx="0"/>
              <a:effectRef idx="0"/>
              <a:fontRef idx="minor"/>
            </xdr:style>
          </xdr:sp>
        </xdr:grpSp>
      </xdr:grpSp>
      <xdr:sp>
        <xdr:nvSpPr>
          <xdr:cNvPr id="54" name="Line 249"/>
          <xdr:cNvSpPr/>
        </xdr:nvSpPr>
        <xdr:spPr>
          <a:xfrm>
            <a:off x="5295240" y="15649920"/>
            <a:ext cx="1800" cy="833400"/>
          </a:xfrm>
          <a:prstGeom prst="line">
            <a:avLst/>
          </a:prstGeom>
          <a:ln w="9525">
            <a:solidFill>
              <a:srgbClr val="00b0f0"/>
            </a:solidFill>
            <a:round/>
          </a:ln>
        </xdr:spPr>
        <xdr:style>
          <a:lnRef idx="0"/>
          <a:fillRef idx="0"/>
          <a:effectRef idx="0"/>
          <a:fontRef idx="minor"/>
        </xdr:style>
      </xdr:sp>
      <xdr:sp>
        <xdr:nvSpPr>
          <xdr:cNvPr id="55" name="Line 250"/>
          <xdr:cNvSpPr/>
        </xdr:nvSpPr>
        <xdr:spPr>
          <a:xfrm>
            <a:off x="5751720" y="15649920"/>
            <a:ext cx="360" cy="833400"/>
          </a:xfrm>
          <a:prstGeom prst="line">
            <a:avLst/>
          </a:prstGeom>
          <a:ln w="9525">
            <a:solidFill>
              <a:srgbClr val="00b0f0"/>
            </a:solidFill>
            <a:round/>
          </a:ln>
        </xdr:spPr>
        <xdr:style>
          <a:lnRef idx="0"/>
          <a:fillRef idx="0"/>
          <a:effectRef idx="0"/>
          <a:fontRef idx="minor"/>
        </xdr:style>
      </xdr:sp>
      <xdr:sp>
        <xdr:nvSpPr>
          <xdr:cNvPr id="56" name="Line 251"/>
          <xdr:cNvSpPr/>
        </xdr:nvSpPr>
        <xdr:spPr>
          <a:xfrm>
            <a:off x="5293080" y="16483320"/>
            <a:ext cx="456480" cy="360"/>
          </a:xfrm>
          <a:prstGeom prst="line">
            <a:avLst/>
          </a:prstGeom>
          <a:ln w="9525">
            <a:solidFill>
              <a:srgbClr val="00b0f0"/>
            </a:solidFill>
            <a:round/>
          </a:ln>
        </xdr:spPr>
        <xdr:style>
          <a:lnRef idx="0"/>
          <a:fillRef idx="0"/>
          <a:effectRef idx="0"/>
          <a:fontRef idx="minor"/>
        </xdr:style>
      </xdr:sp>
      <xdr:sp>
        <xdr:nvSpPr>
          <xdr:cNvPr id="57" name="Line 252"/>
          <xdr:cNvSpPr/>
        </xdr:nvSpPr>
        <xdr:spPr>
          <a:xfrm flipV="1">
            <a:off x="6667560" y="16188840"/>
            <a:ext cx="1080" cy="597600"/>
          </a:xfrm>
          <a:prstGeom prst="line">
            <a:avLst/>
          </a:prstGeom>
          <a:ln w="9525">
            <a:solidFill>
              <a:srgbClr val="00b0f0"/>
            </a:solidFill>
            <a:round/>
          </a:ln>
        </xdr:spPr>
        <xdr:style>
          <a:lnRef idx="0"/>
          <a:fillRef idx="0"/>
          <a:effectRef idx="0"/>
          <a:fontRef idx="minor"/>
        </xdr:style>
      </xdr:sp>
      <xdr:sp>
        <xdr:nvSpPr>
          <xdr:cNvPr id="58" name="Line 253"/>
          <xdr:cNvSpPr/>
        </xdr:nvSpPr>
        <xdr:spPr>
          <a:xfrm>
            <a:off x="5757480" y="16350840"/>
            <a:ext cx="906120" cy="449640"/>
          </a:xfrm>
          <a:prstGeom prst="line">
            <a:avLst/>
          </a:prstGeom>
          <a:ln w="9525">
            <a:solidFill>
              <a:srgbClr val="00b0f0"/>
            </a:solidFill>
            <a:round/>
          </a:ln>
        </xdr:spPr>
        <xdr:style>
          <a:lnRef idx="0"/>
          <a:fillRef idx="0"/>
          <a:effectRef idx="0"/>
          <a:fontRef idx="minor"/>
        </xdr:style>
      </xdr:sp>
      <xdr:sp>
        <xdr:nvSpPr>
          <xdr:cNvPr id="59" name="Line 254"/>
          <xdr:cNvSpPr/>
        </xdr:nvSpPr>
        <xdr:spPr>
          <a:xfrm flipH="1" flipV="1">
            <a:off x="5765400" y="15325920"/>
            <a:ext cx="902160" cy="866880"/>
          </a:xfrm>
          <a:prstGeom prst="line">
            <a:avLst/>
          </a:prstGeom>
          <a:ln w="9525">
            <a:solidFill>
              <a:srgbClr val="00b0f0"/>
            </a:solidFill>
            <a:round/>
          </a:ln>
        </xdr:spPr>
        <xdr:style>
          <a:lnRef idx="0"/>
          <a:fillRef idx="0"/>
          <a:effectRef idx="0"/>
          <a:fontRef idx="minor"/>
        </xdr:style>
      </xdr:sp>
      <xdr:sp>
        <xdr:nvSpPr>
          <xdr:cNvPr id="60" name="Line 255"/>
          <xdr:cNvSpPr/>
        </xdr:nvSpPr>
        <xdr:spPr>
          <a:xfrm flipH="1" flipV="1">
            <a:off x="4387320" y="16198560"/>
            <a:ext cx="720" cy="597600"/>
          </a:xfrm>
          <a:prstGeom prst="line">
            <a:avLst/>
          </a:prstGeom>
          <a:ln w="9525">
            <a:solidFill>
              <a:srgbClr val="00b0f0"/>
            </a:solidFill>
            <a:round/>
          </a:ln>
        </xdr:spPr>
        <xdr:style>
          <a:lnRef idx="0"/>
          <a:fillRef idx="0"/>
          <a:effectRef idx="0"/>
          <a:fontRef idx="minor"/>
        </xdr:style>
      </xdr:sp>
      <xdr:sp>
        <xdr:nvSpPr>
          <xdr:cNvPr id="61" name="Line 256"/>
          <xdr:cNvSpPr/>
        </xdr:nvSpPr>
        <xdr:spPr>
          <a:xfrm flipH="1">
            <a:off x="4387320" y="16355160"/>
            <a:ext cx="905760" cy="449640"/>
          </a:xfrm>
          <a:prstGeom prst="line">
            <a:avLst/>
          </a:prstGeom>
          <a:ln w="9525">
            <a:solidFill>
              <a:srgbClr val="00b0f0"/>
            </a:solidFill>
            <a:round/>
          </a:ln>
        </xdr:spPr>
        <xdr:style>
          <a:lnRef idx="0"/>
          <a:fillRef idx="0"/>
          <a:effectRef idx="0"/>
          <a:fontRef idx="minor"/>
        </xdr:style>
      </xdr:sp>
      <xdr:sp>
        <xdr:nvSpPr>
          <xdr:cNvPr id="62" name="Line 257"/>
          <xdr:cNvSpPr/>
        </xdr:nvSpPr>
        <xdr:spPr>
          <a:xfrm flipV="1">
            <a:off x="4395240" y="15330240"/>
            <a:ext cx="901800" cy="866880"/>
          </a:xfrm>
          <a:prstGeom prst="line">
            <a:avLst/>
          </a:prstGeom>
          <a:ln w="9525">
            <a:solidFill>
              <a:srgbClr val="00b0f0"/>
            </a:solidFill>
            <a:round/>
          </a:ln>
        </xdr:spPr>
        <xdr:style>
          <a:lnRef idx="0"/>
          <a:fillRef idx="0"/>
          <a:effectRef idx="0"/>
          <a:fontRef idx="minor"/>
        </xdr:style>
      </xdr:sp>
    </xdr:grpSp>
    <xdr:clientData/>
  </xdr:twoCellAnchor>
  <xdr:twoCellAnchor editAs="twoCell">
    <xdr:from>
      <xdr:col>6</xdr:col>
      <xdr:colOff>825480</xdr:colOff>
      <xdr:row>84</xdr:row>
      <xdr:rowOff>101520</xdr:rowOff>
    </xdr:from>
    <xdr:to>
      <xdr:col>6</xdr:col>
      <xdr:colOff>1542960</xdr:colOff>
      <xdr:row>84</xdr:row>
      <xdr:rowOff>101520</xdr:rowOff>
    </xdr:to>
    <xdr:sp>
      <xdr:nvSpPr>
        <xdr:cNvPr id="63" name="Line 268"/>
        <xdr:cNvSpPr/>
      </xdr:nvSpPr>
      <xdr:spPr>
        <a:xfrm>
          <a:off x="5142960" y="13922280"/>
          <a:ext cx="71748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6</xdr:col>
      <xdr:colOff>152280</xdr:colOff>
      <xdr:row>80</xdr:row>
      <xdr:rowOff>0</xdr:rowOff>
    </xdr:from>
    <xdr:to>
      <xdr:col>9</xdr:col>
      <xdr:colOff>179280</xdr:colOff>
      <xdr:row>80</xdr:row>
      <xdr:rowOff>0</xdr:rowOff>
    </xdr:to>
    <xdr:sp>
      <xdr:nvSpPr>
        <xdr:cNvPr id="64" name="Line 269"/>
        <xdr:cNvSpPr/>
      </xdr:nvSpPr>
      <xdr:spPr>
        <a:xfrm>
          <a:off x="4469760" y="13154040"/>
          <a:ext cx="2852640" cy="0"/>
        </a:xfrm>
        <a:prstGeom prst="line">
          <a:avLst/>
        </a:prstGeom>
        <a:ln w="6350">
          <a:solidFill>
            <a:srgbClr val="000000"/>
          </a:solidFill>
          <a:round/>
        </a:ln>
      </xdr:spPr>
      <xdr:style>
        <a:lnRef idx="0"/>
        <a:fillRef idx="0"/>
        <a:effectRef idx="0"/>
        <a:fontRef idx="minor"/>
      </xdr:style>
    </xdr:sp>
    <xdr:clientData/>
  </xdr:twoCellAnchor>
  <xdr:twoCellAnchor editAs="twoCell">
    <xdr:from>
      <xdr:col>8</xdr:col>
      <xdr:colOff>228600</xdr:colOff>
      <xdr:row>80</xdr:row>
      <xdr:rowOff>12600</xdr:rowOff>
    </xdr:from>
    <xdr:to>
      <xdr:col>8</xdr:col>
      <xdr:colOff>228600</xdr:colOff>
      <xdr:row>93</xdr:row>
      <xdr:rowOff>82440</xdr:rowOff>
    </xdr:to>
    <xdr:sp>
      <xdr:nvSpPr>
        <xdr:cNvPr id="65" name="Line 270"/>
        <xdr:cNvSpPr/>
      </xdr:nvSpPr>
      <xdr:spPr>
        <a:xfrm>
          <a:off x="6897240" y="13166640"/>
          <a:ext cx="0" cy="216540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6</xdr:col>
      <xdr:colOff>139680</xdr:colOff>
      <xdr:row>83</xdr:row>
      <xdr:rowOff>50760</xdr:rowOff>
    </xdr:from>
    <xdr:to>
      <xdr:col>6</xdr:col>
      <xdr:colOff>838080</xdr:colOff>
      <xdr:row>83</xdr:row>
      <xdr:rowOff>50760</xdr:rowOff>
    </xdr:to>
    <xdr:sp>
      <xdr:nvSpPr>
        <xdr:cNvPr id="66" name="Line 271"/>
        <xdr:cNvSpPr/>
      </xdr:nvSpPr>
      <xdr:spPr>
        <a:xfrm>
          <a:off x="4457160" y="13709520"/>
          <a:ext cx="69840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152280</xdr:colOff>
      <xdr:row>80</xdr:row>
      <xdr:rowOff>0</xdr:rowOff>
    </xdr:from>
    <xdr:to>
      <xdr:col>6</xdr:col>
      <xdr:colOff>152280</xdr:colOff>
      <xdr:row>83</xdr:row>
      <xdr:rowOff>50760</xdr:rowOff>
    </xdr:to>
    <xdr:sp>
      <xdr:nvSpPr>
        <xdr:cNvPr id="67" name="Line 272"/>
        <xdr:cNvSpPr/>
      </xdr:nvSpPr>
      <xdr:spPr>
        <a:xfrm>
          <a:off x="4469760" y="13154040"/>
          <a:ext cx="0" cy="55548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8</xdr:col>
      <xdr:colOff>313200</xdr:colOff>
      <xdr:row>102</xdr:row>
      <xdr:rowOff>95040</xdr:rowOff>
    </xdr:from>
    <xdr:to>
      <xdr:col>9</xdr:col>
      <xdr:colOff>77760</xdr:colOff>
      <xdr:row>102</xdr:row>
      <xdr:rowOff>95040</xdr:rowOff>
    </xdr:to>
    <xdr:sp>
      <xdr:nvSpPr>
        <xdr:cNvPr id="68" name="Line 277"/>
        <xdr:cNvSpPr/>
      </xdr:nvSpPr>
      <xdr:spPr>
        <a:xfrm>
          <a:off x="6981840" y="16792200"/>
          <a:ext cx="239040" cy="0"/>
        </a:xfrm>
        <a:prstGeom prst="line">
          <a:avLst/>
        </a:prstGeom>
        <a:ln w="6350">
          <a:solidFill>
            <a:srgbClr val="000000"/>
          </a:solidFill>
          <a:round/>
        </a:ln>
      </xdr:spPr>
      <xdr:style>
        <a:lnRef idx="0"/>
        <a:fillRef idx="0"/>
        <a:effectRef idx="0"/>
        <a:fontRef idx="minor"/>
      </xdr:style>
    </xdr:sp>
    <xdr:clientData/>
  </xdr:twoCellAnchor>
  <xdr:twoCellAnchor editAs="twoCell">
    <xdr:from>
      <xdr:col>8</xdr:col>
      <xdr:colOff>12600</xdr:colOff>
      <xdr:row>98</xdr:row>
      <xdr:rowOff>133200</xdr:rowOff>
    </xdr:from>
    <xdr:to>
      <xdr:col>8</xdr:col>
      <xdr:colOff>469800</xdr:colOff>
      <xdr:row>98</xdr:row>
      <xdr:rowOff>133200</xdr:rowOff>
    </xdr:to>
    <xdr:sp>
      <xdr:nvSpPr>
        <xdr:cNvPr id="69" name="Line 278"/>
        <xdr:cNvSpPr/>
      </xdr:nvSpPr>
      <xdr:spPr>
        <a:xfrm>
          <a:off x="6681240" y="16173360"/>
          <a:ext cx="45720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475920</xdr:colOff>
      <xdr:row>93</xdr:row>
      <xdr:rowOff>75960</xdr:rowOff>
    </xdr:from>
    <xdr:to>
      <xdr:col>9</xdr:col>
      <xdr:colOff>77760</xdr:colOff>
      <xdr:row>93</xdr:row>
      <xdr:rowOff>75960</xdr:rowOff>
    </xdr:to>
    <xdr:sp>
      <xdr:nvSpPr>
        <xdr:cNvPr id="70" name="Line 279"/>
        <xdr:cNvSpPr/>
      </xdr:nvSpPr>
      <xdr:spPr>
        <a:xfrm>
          <a:off x="4793400" y="15325560"/>
          <a:ext cx="242748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475920</xdr:colOff>
      <xdr:row>99</xdr:row>
      <xdr:rowOff>152280</xdr:rowOff>
    </xdr:from>
    <xdr:to>
      <xdr:col>6</xdr:col>
      <xdr:colOff>1428480</xdr:colOff>
      <xdr:row>99</xdr:row>
      <xdr:rowOff>152280</xdr:rowOff>
    </xdr:to>
    <xdr:sp>
      <xdr:nvSpPr>
        <xdr:cNvPr id="71" name="Line 280"/>
        <xdr:cNvSpPr/>
      </xdr:nvSpPr>
      <xdr:spPr>
        <a:xfrm>
          <a:off x="4793400" y="16344720"/>
          <a:ext cx="95256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475920</xdr:colOff>
      <xdr:row>93</xdr:row>
      <xdr:rowOff>75960</xdr:rowOff>
    </xdr:from>
    <xdr:to>
      <xdr:col>6</xdr:col>
      <xdr:colOff>475920</xdr:colOff>
      <xdr:row>99</xdr:row>
      <xdr:rowOff>171360</xdr:rowOff>
    </xdr:to>
    <xdr:sp>
      <xdr:nvSpPr>
        <xdr:cNvPr id="72" name="Line 281"/>
        <xdr:cNvSpPr/>
      </xdr:nvSpPr>
      <xdr:spPr>
        <a:xfrm>
          <a:off x="4793400" y="15325560"/>
          <a:ext cx="0" cy="10382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9</xdr:col>
      <xdr:colOff>14400</xdr:colOff>
      <xdr:row>98</xdr:row>
      <xdr:rowOff>133200</xdr:rowOff>
    </xdr:from>
    <xdr:to>
      <xdr:col>9</xdr:col>
      <xdr:colOff>14400</xdr:colOff>
      <xdr:row>102</xdr:row>
      <xdr:rowOff>95040</xdr:rowOff>
    </xdr:to>
    <xdr:sp>
      <xdr:nvSpPr>
        <xdr:cNvPr id="73" name="Line 282"/>
        <xdr:cNvSpPr/>
      </xdr:nvSpPr>
      <xdr:spPr>
        <a:xfrm>
          <a:off x="7157520" y="16173360"/>
          <a:ext cx="0" cy="6188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9</xdr:col>
      <xdr:colOff>14400</xdr:colOff>
      <xdr:row>93</xdr:row>
      <xdr:rowOff>63360</xdr:rowOff>
    </xdr:from>
    <xdr:to>
      <xdr:col>9</xdr:col>
      <xdr:colOff>14400</xdr:colOff>
      <xdr:row>98</xdr:row>
      <xdr:rowOff>133200</xdr:rowOff>
    </xdr:to>
    <xdr:sp>
      <xdr:nvSpPr>
        <xdr:cNvPr id="74" name="Line 283"/>
        <xdr:cNvSpPr/>
      </xdr:nvSpPr>
      <xdr:spPr>
        <a:xfrm>
          <a:off x="7157520" y="15312960"/>
          <a:ext cx="0" cy="86040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8</xdr:col>
      <xdr:colOff>0</xdr:colOff>
      <xdr:row>102</xdr:row>
      <xdr:rowOff>95040</xdr:rowOff>
    </xdr:from>
    <xdr:to>
      <xdr:col>8</xdr:col>
      <xdr:colOff>0</xdr:colOff>
      <xdr:row>102</xdr:row>
      <xdr:rowOff>162000</xdr:rowOff>
    </xdr:to>
    <xdr:sp>
      <xdr:nvSpPr>
        <xdr:cNvPr id="75" name="Line 284"/>
        <xdr:cNvSpPr/>
      </xdr:nvSpPr>
      <xdr:spPr>
        <a:xfrm flipV="1">
          <a:off x="6668640" y="16792200"/>
          <a:ext cx="0" cy="6696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1428480</xdr:colOff>
      <xdr:row>99</xdr:row>
      <xdr:rowOff>139680</xdr:rowOff>
    </xdr:from>
    <xdr:to>
      <xdr:col>6</xdr:col>
      <xdr:colOff>1428480</xdr:colOff>
      <xdr:row>102</xdr:row>
      <xdr:rowOff>162000</xdr:rowOff>
    </xdr:to>
    <xdr:sp>
      <xdr:nvSpPr>
        <xdr:cNvPr id="76" name="Line 285"/>
        <xdr:cNvSpPr/>
      </xdr:nvSpPr>
      <xdr:spPr>
        <a:xfrm flipV="1">
          <a:off x="5745960" y="16332120"/>
          <a:ext cx="0" cy="52704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1422360</xdr:colOff>
      <xdr:row>103</xdr:row>
      <xdr:rowOff>0</xdr:rowOff>
    </xdr:from>
    <xdr:to>
      <xdr:col>7</xdr:col>
      <xdr:colOff>474120</xdr:colOff>
      <xdr:row>103</xdr:row>
      <xdr:rowOff>0</xdr:rowOff>
    </xdr:to>
    <xdr:sp>
      <xdr:nvSpPr>
        <xdr:cNvPr id="77" name="Line 286"/>
        <xdr:cNvSpPr/>
      </xdr:nvSpPr>
      <xdr:spPr>
        <a:xfrm>
          <a:off x="5739840" y="16859160"/>
          <a:ext cx="92880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6</xdr:col>
      <xdr:colOff>685800</xdr:colOff>
      <xdr:row>89</xdr:row>
      <xdr:rowOff>69840</xdr:rowOff>
    </xdr:from>
    <xdr:to>
      <xdr:col>6</xdr:col>
      <xdr:colOff>1695240</xdr:colOff>
      <xdr:row>89</xdr:row>
      <xdr:rowOff>69840</xdr:rowOff>
    </xdr:to>
    <xdr:sp>
      <xdr:nvSpPr>
        <xdr:cNvPr id="78" name="Line 287"/>
        <xdr:cNvSpPr/>
      </xdr:nvSpPr>
      <xdr:spPr>
        <a:xfrm>
          <a:off x="5003280" y="14690880"/>
          <a:ext cx="1009440" cy="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6</xdr:col>
      <xdr:colOff>990360</xdr:colOff>
      <xdr:row>93</xdr:row>
      <xdr:rowOff>25200</xdr:rowOff>
    </xdr:from>
    <xdr:to>
      <xdr:col>6</xdr:col>
      <xdr:colOff>1396800</xdr:colOff>
      <xdr:row>93</xdr:row>
      <xdr:rowOff>25200</xdr:rowOff>
    </xdr:to>
    <xdr:sp>
      <xdr:nvSpPr>
        <xdr:cNvPr id="79" name="Line 288"/>
        <xdr:cNvSpPr/>
      </xdr:nvSpPr>
      <xdr:spPr>
        <a:xfrm>
          <a:off x="5307840" y="15274800"/>
          <a:ext cx="406440" cy="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6</xdr:col>
      <xdr:colOff>850680</xdr:colOff>
      <xdr:row>87</xdr:row>
      <xdr:rowOff>56880</xdr:rowOff>
    </xdr:from>
    <xdr:to>
      <xdr:col>8</xdr:col>
      <xdr:colOff>44280</xdr:colOff>
      <xdr:row>87</xdr:row>
      <xdr:rowOff>56880</xdr:rowOff>
    </xdr:to>
    <xdr:sp>
      <xdr:nvSpPr>
        <xdr:cNvPr id="80" name="Line 289"/>
        <xdr:cNvSpPr/>
      </xdr:nvSpPr>
      <xdr:spPr>
        <a:xfrm>
          <a:off x="5168160" y="14363280"/>
          <a:ext cx="154476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698400</xdr:colOff>
      <xdr:row>88</xdr:row>
      <xdr:rowOff>56880</xdr:rowOff>
    </xdr:from>
    <xdr:to>
      <xdr:col>8</xdr:col>
      <xdr:colOff>56880</xdr:colOff>
      <xdr:row>88</xdr:row>
      <xdr:rowOff>56880</xdr:rowOff>
    </xdr:to>
    <xdr:sp>
      <xdr:nvSpPr>
        <xdr:cNvPr id="81" name="Line 290"/>
        <xdr:cNvSpPr/>
      </xdr:nvSpPr>
      <xdr:spPr>
        <a:xfrm>
          <a:off x="5015880" y="14515920"/>
          <a:ext cx="170964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698400</xdr:colOff>
      <xdr:row>90</xdr:row>
      <xdr:rowOff>139680</xdr:rowOff>
    </xdr:from>
    <xdr:to>
      <xdr:col>8</xdr:col>
      <xdr:colOff>69840</xdr:colOff>
      <xdr:row>90</xdr:row>
      <xdr:rowOff>139680</xdr:rowOff>
    </xdr:to>
    <xdr:sp>
      <xdr:nvSpPr>
        <xdr:cNvPr id="82" name="Line 291"/>
        <xdr:cNvSpPr/>
      </xdr:nvSpPr>
      <xdr:spPr>
        <a:xfrm>
          <a:off x="5015880" y="14932080"/>
          <a:ext cx="172260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977760</xdr:colOff>
      <xdr:row>92</xdr:row>
      <xdr:rowOff>44280</xdr:rowOff>
    </xdr:from>
    <xdr:to>
      <xdr:col>8</xdr:col>
      <xdr:colOff>44280</xdr:colOff>
      <xdr:row>92</xdr:row>
      <xdr:rowOff>44280</xdr:rowOff>
    </xdr:to>
    <xdr:sp>
      <xdr:nvSpPr>
        <xdr:cNvPr id="83" name="Line 292"/>
        <xdr:cNvSpPr/>
      </xdr:nvSpPr>
      <xdr:spPr>
        <a:xfrm>
          <a:off x="5295240" y="15141240"/>
          <a:ext cx="141768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1790640</xdr:colOff>
      <xdr:row>80</xdr:row>
      <xdr:rowOff>0</xdr:rowOff>
    </xdr:from>
    <xdr:to>
      <xdr:col>6</xdr:col>
      <xdr:colOff>1790640</xdr:colOff>
      <xdr:row>87</xdr:row>
      <xdr:rowOff>63360</xdr:rowOff>
    </xdr:to>
    <xdr:sp>
      <xdr:nvSpPr>
        <xdr:cNvPr id="84" name="Line 293"/>
        <xdr:cNvSpPr/>
      </xdr:nvSpPr>
      <xdr:spPr>
        <a:xfrm>
          <a:off x="6108120" y="13154040"/>
          <a:ext cx="0" cy="121572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7</xdr:col>
      <xdr:colOff>190440</xdr:colOff>
      <xdr:row>80</xdr:row>
      <xdr:rowOff>0</xdr:rowOff>
    </xdr:from>
    <xdr:to>
      <xdr:col>7</xdr:col>
      <xdr:colOff>190440</xdr:colOff>
      <xdr:row>90</xdr:row>
      <xdr:rowOff>133200</xdr:rowOff>
    </xdr:to>
    <xdr:sp>
      <xdr:nvSpPr>
        <xdr:cNvPr id="85" name="Line 294"/>
        <xdr:cNvSpPr/>
      </xdr:nvSpPr>
      <xdr:spPr>
        <a:xfrm>
          <a:off x="6384960" y="13154040"/>
          <a:ext cx="0" cy="177156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8</xdr:col>
      <xdr:colOff>44280</xdr:colOff>
      <xdr:row>87</xdr:row>
      <xdr:rowOff>56880</xdr:rowOff>
    </xdr:from>
    <xdr:to>
      <xdr:col>8</xdr:col>
      <xdr:colOff>44280</xdr:colOff>
      <xdr:row>88</xdr:row>
      <xdr:rowOff>56880</xdr:rowOff>
    </xdr:to>
    <xdr:sp>
      <xdr:nvSpPr>
        <xdr:cNvPr id="86" name="Line 295"/>
        <xdr:cNvSpPr/>
      </xdr:nvSpPr>
      <xdr:spPr>
        <a:xfrm>
          <a:off x="6712920" y="14363280"/>
          <a:ext cx="0" cy="15264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8</xdr:col>
      <xdr:colOff>44280</xdr:colOff>
      <xdr:row>90</xdr:row>
      <xdr:rowOff>139680</xdr:rowOff>
    </xdr:from>
    <xdr:to>
      <xdr:col>8</xdr:col>
      <xdr:colOff>44280</xdr:colOff>
      <xdr:row>92</xdr:row>
      <xdr:rowOff>44280</xdr:rowOff>
    </xdr:to>
    <xdr:sp>
      <xdr:nvSpPr>
        <xdr:cNvPr id="87" name="Line 296"/>
        <xdr:cNvSpPr/>
      </xdr:nvSpPr>
      <xdr:spPr>
        <a:xfrm>
          <a:off x="6712920" y="14932080"/>
          <a:ext cx="0" cy="20916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6</xdr:col>
      <xdr:colOff>0</xdr:colOff>
      <xdr:row>84</xdr:row>
      <xdr:rowOff>101520</xdr:rowOff>
    </xdr:from>
    <xdr:to>
      <xdr:col>6</xdr:col>
      <xdr:colOff>838080</xdr:colOff>
      <xdr:row>84</xdr:row>
      <xdr:rowOff>101520</xdr:rowOff>
    </xdr:to>
    <xdr:sp>
      <xdr:nvSpPr>
        <xdr:cNvPr id="88" name="Line 297"/>
        <xdr:cNvSpPr/>
      </xdr:nvSpPr>
      <xdr:spPr>
        <a:xfrm>
          <a:off x="4317480" y="13922280"/>
          <a:ext cx="838080" cy="0"/>
        </a:xfrm>
        <a:prstGeom prst="line">
          <a:avLst/>
        </a:prstGeom>
        <a:ln w="9525">
          <a:solidFill>
            <a:srgbClr val="000000"/>
          </a:solidFill>
          <a:round/>
        </a:ln>
      </xdr:spPr>
      <xdr:style>
        <a:lnRef idx="0"/>
        <a:fillRef idx="0"/>
        <a:effectRef idx="0"/>
        <a:fontRef idx="minor"/>
      </xdr:style>
    </xdr:sp>
    <xdr:clientData/>
  </xdr:twoCellAnchor>
  <xdr:twoCellAnchor editAs="twoCell">
    <xdr:from>
      <xdr:col>6</xdr:col>
      <xdr:colOff>0</xdr:colOff>
      <xdr:row>89</xdr:row>
      <xdr:rowOff>69840</xdr:rowOff>
    </xdr:from>
    <xdr:to>
      <xdr:col>6</xdr:col>
      <xdr:colOff>685800</xdr:colOff>
      <xdr:row>89</xdr:row>
      <xdr:rowOff>69840</xdr:rowOff>
    </xdr:to>
    <xdr:sp>
      <xdr:nvSpPr>
        <xdr:cNvPr id="89" name="Line 298"/>
        <xdr:cNvSpPr/>
      </xdr:nvSpPr>
      <xdr:spPr>
        <a:xfrm>
          <a:off x="4317480" y="14690880"/>
          <a:ext cx="685800" cy="0"/>
        </a:xfrm>
        <a:prstGeom prst="line">
          <a:avLst/>
        </a:prstGeom>
        <a:ln w="9525">
          <a:solidFill>
            <a:srgbClr val="92d050"/>
          </a:solidFill>
          <a:round/>
        </a:ln>
      </xdr:spPr>
      <xdr:style>
        <a:lnRef idx="0"/>
        <a:fillRef idx="0"/>
        <a:effectRef idx="0"/>
        <a:fontRef idx="minor"/>
      </xdr:style>
    </xdr:sp>
    <xdr:clientData/>
  </xdr:twoCellAnchor>
  <xdr:twoCellAnchor editAs="twoCell">
    <xdr:from>
      <xdr:col>6</xdr:col>
      <xdr:colOff>0</xdr:colOff>
      <xdr:row>93</xdr:row>
      <xdr:rowOff>25200</xdr:rowOff>
    </xdr:from>
    <xdr:to>
      <xdr:col>6</xdr:col>
      <xdr:colOff>971280</xdr:colOff>
      <xdr:row>93</xdr:row>
      <xdr:rowOff>25200</xdr:rowOff>
    </xdr:to>
    <xdr:sp>
      <xdr:nvSpPr>
        <xdr:cNvPr id="90" name="Line 299"/>
        <xdr:cNvSpPr/>
      </xdr:nvSpPr>
      <xdr:spPr>
        <a:xfrm>
          <a:off x="4317480" y="15274800"/>
          <a:ext cx="971280" cy="0"/>
        </a:xfrm>
        <a:prstGeom prst="line">
          <a:avLst/>
        </a:prstGeom>
        <a:ln w="9525">
          <a:solidFill>
            <a:srgbClr val="92d050"/>
          </a:solidFill>
          <a:round/>
        </a:ln>
      </xdr:spPr>
      <xdr:style>
        <a:lnRef idx="0"/>
        <a:fillRef idx="0"/>
        <a:effectRef idx="0"/>
        <a:fontRef idx="minor"/>
      </xdr:style>
    </xdr:sp>
    <xdr:clientData/>
  </xdr:twoCellAnchor>
  <xdr:twoCellAnchor editAs="twoCell">
    <xdr:from>
      <xdr:col>6</xdr:col>
      <xdr:colOff>0</xdr:colOff>
      <xdr:row>96</xdr:row>
      <xdr:rowOff>75960</xdr:rowOff>
    </xdr:from>
    <xdr:to>
      <xdr:col>6</xdr:col>
      <xdr:colOff>475920</xdr:colOff>
      <xdr:row>96</xdr:row>
      <xdr:rowOff>75960</xdr:rowOff>
    </xdr:to>
    <xdr:sp>
      <xdr:nvSpPr>
        <xdr:cNvPr id="91" name="Line 300"/>
        <xdr:cNvSpPr/>
      </xdr:nvSpPr>
      <xdr:spPr>
        <a:xfrm>
          <a:off x="4317480" y="15792120"/>
          <a:ext cx="475920" cy="0"/>
        </a:xfrm>
        <a:prstGeom prst="line">
          <a:avLst/>
        </a:prstGeom>
        <a:ln w="9525">
          <a:solidFill>
            <a:srgbClr val="000000"/>
          </a:solidFill>
          <a:round/>
        </a:ln>
      </xdr:spPr>
      <xdr:style>
        <a:lnRef idx="0"/>
        <a:fillRef idx="0"/>
        <a:effectRef idx="0"/>
        <a:fontRef idx="minor"/>
      </xdr:style>
    </xdr:sp>
    <xdr:clientData/>
  </xdr:twoCellAnchor>
  <xdr:twoCellAnchor editAs="twoCell">
    <xdr:from>
      <xdr:col>7</xdr:col>
      <xdr:colOff>152280</xdr:colOff>
      <xdr:row>103</xdr:row>
      <xdr:rowOff>0</xdr:rowOff>
    </xdr:from>
    <xdr:to>
      <xdr:col>7</xdr:col>
      <xdr:colOff>152280</xdr:colOff>
      <xdr:row>104</xdr:row>
      <xdr:rowOff>12600</xdr:rowOff>
    </xdr:to>
    <xdr:sp>
      <xdr:nvSpPr>
        <xdr:cNvPr id="92" name="Line 301"/>
        <xdr:cNvSpPr/>
      </xdr:nvSpPr>
      <xdr:spPr>
        <a:xfrm>
          <a:off x="6346800" y="16859160"/>
          <a:ext cx="0" cy="184320"/>
        </a:xfrm>
        <a:prstGeom prst="line">
          <a:avLst/>
        </a:prstGeom>
        <a:ln w="9525">
          <a:solidFill>
            <a:srgbClr val="000000"/>
          </a:solidFill>
          <a:round/>
        </a:ln>
      </xdr:spPr>
      <xdr:style>
        <a:lnRef idx="0"/>
        <a:fillRef idx="0"/>
        <a:effectRef idx="0"/>
        <a:fontRef idx="minor"/>
      </xdr:style>
    </xdr:sp>
    <xdr:clientData/>
  </xdr:twoCellAnchor>
  <xdr:twoCellAnchor editAs="twoCell">
    <xdr:from>
      <xdr:col>6</xdr:col>
      <xdr:colOff>0</xdr:colOff>
      <xdr:row>81</xdr:row>
      <xdr:rowOff>75960</xdr:rowOff>
    </xdr:from>
    <xdr:to>
      <xdr:col>6</xdr:col>
      <xdr:colOff>152280</xdr:colOff>
      <xdr:row>81</xdr:row>
      <xdr:rowOff>75960</xdr:rowOff>
    </xdr:to>
    <xdr:sp>
      <xdr:nvSpPr>
        <xdr:cNvPr id="93" name="Line 302"/>
        <xdr:cNvSpPr/>
      </xdr:nvSpPr>
      <xdr:spPr>
        <a:xfrm>
          <a:off x="4317480" y="13401360"/>
          <a:ext cx="152280" cy="0"/>
        </a:xfrm>
        <a:prstGeom prst="line">
          <a:avLst/>
        </a:prstGeom>
        <a:ln w="9525">
          <a:solidFill>
            <a:srgbClr val="000000"/>
          </a:solidFill>
          <a:round/>
        </a:ln>
      </xdr:spPr>
      <xdr:style>
        <a:lnRef idx="0"/>
        <a:fillRef idx="0"/>
        <a:effectRef idx="0"/>
        <a:fontRef idx="minor"/>
      </xdr:style>
    </xdr:sp>
    <xdr:clientData/>
  </xdr:twoCellAnchor>
  <xdr:twoCellAnchor editAs="twoCell">
    <xdr:from>
      <xdr:col>6</xdr:col>
      <xdr:colOff>1777680</xdr:colOff>
      <xdr:row>83</xdr:row>
      <xdr:rowOff>82440</xdr:rowOff>
    </xdr:from>
    <xdr:to>
      <xdr:col>8</xdr:col>
      <xdr:colOff>474480</xdr:colOff>
      <xdr:row>83</xdr:row>
      <xdr:rowOff>82440</xdr:rowOff>
    </xdr:to>
    <xdr:sp>
      <xdr:nvSpPr>
        <xdr:cNvPr id="94" name="Line 303"/>
        <xdr:cNvSpPr/>
      </xdr:nvSpPr>
      <xdr:spPr>
        <a:xfrm>
          <a:off x="6095160" y="13741200"/>
          <a:ext cx="104796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7</xdr:col>
      <xdr:colOff>190440</xdr:colOff>
      <xdr:row>85</xdr:row>
      <xdr:rowOff>75960</xdr:rowOff>
    </xdr:from>
    <xdr:to>
      <xdr:col>8</xdr:col>
      <xdr:colOff>474480</xdr:colOff>
      <xdr:row>85</xdr:row>
      <xdr:rowOff>75960</xdr:rowOff>
    </xdr:to>
    <xdr:sp>
      <xdr:nvSpPr>
        <xdr:cNvPr id="95" name="Line 304"/>
        <xdr:cNvSpPr/>
      </xdr:nvSpPr>
      <xdr:spPr>
        <a:xfrm>
          <a:off x="6384960" y="14068080"/>
          <a:ext cx="75816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8</xdr:col>
      <xdr:colOff>44280</xdr:colOff>
      <xdr:row>87</xdr:row>
      <xdr:rowOff>133200</xdr:rowOff>
    </xdr:from>
    <xdr:to>
      <xdr:col>8</xdr:col>
      <xdr:colOff>474480</xdr:colOff>
      <xdr:row>87</xdr:row>
      <xdr:rowOff>133200</xdr:rowOff>
    </xdr:to>
    <xdr:sp>
      <xdr:nvSpPr>
        <xdr:cNvPr id="96" name="Line 305"/>
        <xdr:cNvSpPr/>
      </xdr:nvSpPr>
      <xdr:spPr>
        <a:xfrm>
          <a:off x="6712920" y="14439600"/>
          <a:ext cx="43020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8</xdr:col>
      <xdr:colOff>44280</xdr:colOff>
      <xdr:row>91</xdr:row>
      <xdr:rowOff>75960</xdr:rowOff>
    </xdr:from>
    <xdr:to>
      <xdr:col>9</xdr:col>
      <xdr:colOff>12600</xdr:colOff>
      <xdr:row>91</xdr:row>
      <xdr:rowOff>75960</xdr:rowOff>
    </xdr:to>
    <xdr:sp>
      <xdr:nvSpPr>
        <xdr:cNvPr id="97" name="Line 308"/>
        <xdr:cNvSpPr/>
      </xdr:nvSpPr>
      <xdr:spPr>
        <a:xfrm flipH="1">
          <a:off x="6712920" y="15020640"/>
          <a:ext cx="44280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8</xdr:col>
      <xdr:colOff>222120</xdr:colOff>
      <xdr:row>89</xdr:row>
      <xdr:rowOff>88560</xdr:rowOff>
    </xdr:from>
    <xdr:to>
      <xdr:col>8</xdr:col>
      <xdr:colOff>463320</xdr:colOff>
      <xdr:row>89</xdr:row>
      <xdr:rowOff>88560</xdr:rowOff>
    </xdr:to>
    <xdr:sp>
      <xdr:nvSpPr>
        <xdr:cNvPr id="98" name="Line 278"/>
        <xdr:cNvSpPr/>
      </xdr:nvSpPr>
      <xdr:spPr>
        <a:xfrm>
          <a:off x="6890760" y="14709600"/>
          <a:ext cx="24120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69840</xdr:colOff>
      <xdr:row>1</xdr:row>
      <xdr:rowOff>12600</xdr:rowOff>
    </xdr:from>
    <xdr:to>
      <xdr:col>18</xdr:col>
      <xdr:colOff>1146600</xdr:colOff>
      <xdr:row>31</xdr:row>
      <xdr:rowOff>101520</xdr:rowOff>
    </xdr:to>
    <xdr:grpSp>
      <xdr:nvGrpSpPr>
        <xdr:cNvPr id="99" name="Group 232"/>
        <xdr:cNvGrpSpPr/>
      </xdr:nvGrpSpPr>
      <xdr:grpSpPr>
        <a:xfrm>
          <a:off x="13766040" y="183960"/>
          <a:ext cx="2223720" cy="5127840"/>
          <a:chOff x="13766040" y="183960"/>
          <a:chExt cx="2223720" cy="5127840"/>
        </a:xfrm>
      </xdr:grpSpPr>
      <xdr:grpSp>
        <xdr:nvGrpSpPr>
          <xdr:cNvPr id="100" name="Group 233"/>
          <xdr:cNvGrpSpPr/>
        </xdr:nvGrpSpPr>
        <xdr:grpSpPr>
          <a:xfrm>
            <a:off x="14374080" y="183960"/>
            <a:ext cx="498960" cy="3647160"/>
            <a:chOff x="14374080" y="183960"/>
            <a:chExt cx="498960" cy="3647160"/>
          </a:xfrm>
        </xdr:grpSpPr>
        <xdr:sp>
          <xdr:nvSpPr>
            <xdr:cNvPr id="101" name="Arc 234"/>
            <xdr:cNvSpPr/>
          </xdr:nvSpPr>
          <xdr:spPr>
            <a:xfrm flipH="1">
              <a:off x="14523120" y="183960"/>
              <a:ext cx="349920" cy="857520"/>
            </a:xfrm>
            <a:custGeom>
              <a:avLst/>
              <a:gdLst>
                <a:gd name="textAreaLeft" fmla="*/ -360 w 349920"/>
                <a:gd name="textAreaRight" fmla="*/ 350280 w 349920"/>
                <a:gd name="textAreaTop" fmla="*/ 0 h 857520"/>
                <a:gd name="textAreaBottom" fmla="*/ 858240 h 85752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102" name="Group 235"/>
            <xdr:cNvGrpSpPr/>
          </xdr:nvGrpSpPr>
          <xdr:grpSpPr>
            <a:xfrm>
              <a:off x="14374080" y="1009440"/>
              <a:ext cx="277200" cy="2821680"/>
              <a:chOff x="14374080" y="1009440"/>
              <a:chExt cx="277200" cy="2821680"/>
            </a:xfrm>
          </xdr:grpSpPr>
          <xdr:sp>
            <xdr:nvSpPr>
              <xdr:cNvPr id="103" name="Line 236"/>
              <xdr:cNvSpPr/>
            </xdr:nvSpPr>
            <xdr:spPr>
              <a:xfrm>
                <a:off x="14521680" y="1009440"/>
                <a:ext cx="360" cy="833400"/>
              </a:xfrm>
              <a:prstGeom prst="line">
                <a:avLst/>
              </a:prstGeom>
              <a:ln w="9525">
                <a:solidFill>
                  <a:srgbClr val="00b0f0"/>
                </a:solidFill>
                <a:round/>
              </a:ln>
            </xdr:spPr>
            <xdr:style>
              <a:lnRef idx="0"/>
              <a:fillRef idx="0"/>
              <a:effectRef idx="0"/>
              <a:fontRef idx="minor"/>
            </xdr:style>
          </xdr:sp>
          <xdr:sp>
            <xdr:nvSpPr>
              <xdr:cNvPr id="104" name="Line 237"/>
              <xdr:cNvSpPr/>
            </xdr:nvSpPr>
            <xdr:spPr>
              <a:xfrm flipH="1">
                <a:off x="14374080" y="1842840"/>
                <a:ext cx="147600" cy="226080"/>
              </a:xfrm>
              <a:prstGeom prst="line">
                <a:avLst/>
              </a:prstGeom>
              <a:ln w="9525">
                <a:solidFill>
                  <a:srgbClr val="00b0f0"/>
                </a:solidFill>
                <a:round/>
              </a:ln>
            </xdr:spPr>
            <xdr:style>
              <a:lnRef idx="0"/>
              <a:fillRef idx="0"/>
              <a:effectRef idx="0"/>
              <a:fontRef idx="minor"/>
            </xdr:style>
          </xdr:sp>
          <xdr:sp>
            <xdr:nvSpPr>
              <xdr:cNvPr id="105" name="Line 238"/>
              <xdr:cNvSpPr/>
            </xdr:nvSpPr>
            <xdr:spPr>
              <a:xfrm>
                <a:off x="14374080" y="2068920"/>
                <a:ext cx="360" cy="571680"/>
              </a:xfrm>
              <a:prstGeom prst="line">
                <a:avLst/>
              </a:prstGeom>
              <a:ln w="9525">
                <a:solidFill>
                  <a:srgbClr val="00b0f0"/>
                </a:solidFill>
                <a:round/>
              </a:ln>
            </xdr:spPr>
            <xdr:style>
              <a:lnRef idx="0"/>
              <a:fillRef idx="0"/>
              <a:effectRef idx="0"/>
              <a:fontRef idx="minor"/>
            </xdr:style>
          </xdr:sp>
          <xdr:sp>
            <xdr:nvSpPr>
              <xdr:cNvPr id="106" name="Line 239"/>
              <xdr:cNvSpPr/>
            </xdr:nvSpPr>
            <xdr:spPr>
              <a:xfrm>
                <a:off x="14374080" y="2640600"/>
                <a:ext cx="276840" cy="326520"/>
              </a:xfrm>
              <a:prstGeom prst="line">
                <a:avLst/>
              </a:prstGeom>
              <a:ln w="9525">
                <a:solidFill>
                  <a:srgbClr val="00b0f0"/>
                </a:solidFill>
                <a:round/>
              </a:ln>
            </xdr:spPr>
            <xdr:style>
              <a:lnRef idx="0"/>
              <a:fillRef idx="0"/>
              <a:effectRef idx="0"/>
              <a:fontRef idx="minor"/>
            </xdr:style>
          </xdr:sp>
          <xdr:sp>
            <xdr:nvSpPr>
              <xdr:cNvPr id="107" name="Line 240"/>
              <xdr:cNvSpPr/>
            </xdr:nvSpPr>
            <xdr:spPr>
              <a:xfrm>
                <a:off x="14650920" y="2967120"/>
                <a:ext cx="360" cy="864000"/>
              </a:xfrm>
              <a:prstGeom prst="line">
                <a:avLst/>
              </a:prstGeom>
              <a:ln w="9525">
                <a:solidFill>
                  <a:srgbClr val="00b0f0"/>
                </a:solidFill>
                <a:round/>
              </a:ln>
            </xdr:spPr>
            <xdr:style>
              <a:lnRef idx="0"/>
              <a:fillRef idx="0"/>
              <a:effectRef idx="0"/>
              <a:fontRef idx="minor"/>
            </xdr:style>
          </xdr:sp>
        </xdr:grpSp>
      </xdr:grpSp>
      <xdr:grpSp>
        <xdr:nvGrpSpPr>
          <xdr:cNvPr id="108" name="Group 241"/>
          <xdr:cNvGrpSpPr/>
        </xdr:nvGrpSpPr>
        <xdr:grpSpPr>
          <a:xfrm>
            <a:off x="14872680" y="183960"/>
            <a:ext cx="500400" cy="3647160"/>
            <a:chOff x="14872680" y="183960"/>
            <a:chExt cx="500400" cy="3647160"/>
          </a:xfrm>
        </xdr:grpSpPr>
        <xdr:sp>
          <xdr:nvSpPr>
            <xdr:cNvPr id="109" name="Arc 242"/>
            <xdr:cNvSpPr/>
          </xdr:nvSpPr>
          <xdr:spPr>
            <a:xfrm>
              <a:off x="14872680" y="183960"/>
              <a:ext cx="349920" cy="857520"/>
            </a:xfrm>
            <a:custGeom>
              <a:avLst/>
              <a:gdLst>
                <a:gd name="textAreaLeft" fmla="*/ 0 w 349920"/>
                <a:gd name="textAreaRight" fmla="*/ 350640 w 349920"/>
                <a:gd name="textAreaTop" fmla="*/ 0 h 857520"/>
                <a:gd name="textAreaBottom" fmla="*/ 858240 h 85752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110" name="Group 243"/>
            <xdr:cNvGrpSpPr/>
          </xdr:nvGrpSpPr>
          <xdr:grpSpPr>
            <a:xfrm>
              <a:off x="15095880" y="1009440"/>
              <a:ext cx="277200" cy="2821680"/>
              <a:chOff x="15095880" y="1009440"/>
              <a:chExt cx="277200" cy="2821680"/>
            </a:xfrm>
          </xdr:grpSpPr>
          <xdr:sp>
            <xdr:nvSpPr>
              <xdr:cNvPr id="111" name="Line 244"/>
              <xdr:cNvSpPr/>
            </xdr:nvSpPr>
            <xdr:spPr>
              <a:xfrm>
                <a:off x="15225120" y="1009440"/>
                <a:ext cx="360" cy="833400"/>
              </a:xfrm>
              <a:prstGeom prst="line">
                <a:avLst/>
              </a:prstGeom>
              <a:ln w="9525">
                <a:solidFill>
                  <a:srgbClr val="00b0f0"/>
                </a:solidFill>
                <a:round/>
              </a:ln>
            </xdr:spPr>
            <xdr:style>
              <a:lnRef idx="0"/>
              <a:fillRef idx="0"/>
              <a:effectRef idx="0"/>
              <a:fontRef idx="minor"/>
            </xdr:style>
          </xdr:sp>
          <xdr:sp>
            <xdr:nvSpPr>
              <xdr:cNvPr id="112" name="Line 245"/>
              <xdr:cNvSpPr/>
            </xdr:nvSpPr>
            <xdr:spPr>
              <a:xfrm>
                <a:off x="15225120" y="1842840"/>
                <a:ext cx="147600" cy="226080"/>
              </a:xfrm>
              <a:prstGeom prst="line">
                <a:avLst/>
              </a:prstGeom>
              <a:ln w="9525">
                <a:solidFill>
                  <a:srgbClr val="00b0f0"/>
                </a:solidFill>
                <a:round/>
              </a:ln>
            </xdr:spPr>
            <xdr:style>
              <a:lnRef idx="0"/>
              <a:fillRef idx="0"/>
              <a:effectRef idx="0"/>
              <a:fontRef idx="minor"/>
            </xdr:style>
          </xdr:sp>
          <xdr:sp>
            <xdr:nvSpPr>
              <xdr:cNvPr id="113" name="Line 246"/>
              <xdr:cNvSpPr/>
            </xdr:nvSpPr>
            <xdr:spPr>
              <a:xfrm>
                <a:off x="15372720" y="2068920"/>
                <a:ext cx="360" cy="571680"/>
              </a:xfrm>
              <a:prstGeom prst="line">
                <a:avLst/>
              </a:prstGeom>
              <a:ln w="9525">
                <a:solidFill>
                  <a:srgbClr val="00b0f0"/>
                </a:solidFill>
                <a:round/>
              </a:ln>
            </xdr:spPr>
            <xdr:style>
              <a:lnRef idx="0"/>
              <a:fillRef idx="0"/>
              <a:effectRef idx="0"/>
              <a:fontRef idx="minor"/>
            </xdr:style>
          </xdr:sp>
          <xdr:sp>
            <xdr:nvSpPr>
              <xdr:cNvPr id="114" name="Line 247"/>
              <xdr:cNvSpPr/>
            </xdr:nvSpPr>
            <xdr:spPr>
              <a:xfrm flipH="1">
                <a:off x="15095880" y="2640600"/>
                <a:ext cx="276840" cy="326520"/>
              </a:xfrm>
              <a:prstGeom prst="line">
                <a:avLst/>
              </a:prstGeom>
              <a:ln w="9525">
                <a:solidFill>
                  <a:srgbClr val="00b0f0"/>
                </a:solidFill>
                <a:round/>
              </a:ln>
            </xdr:spPr>
            <xdr:style>
              <a:lnRef idx="0"/>
              <a:fillRef idx="0"/>
              <a:effectRef idx="0"/>
              <a:fontRef idx="minor"/>
            </xdr:style>
          </xdr:sp>
          <xdr:sp>
            <xdr:nvSpPr>
              <xdr:cNvPr id="115" name="Line 248"/>
              <xdr:cNvSpPr/>
            </xdr:nvSpPr>
            <xdr:spPr>
              <a:xfrm>
                <a:off x="15095880" y="2967120"/>
                <a:ext cx="360" cy="864000"/>
              </a:xfrm>
              <a:prstGeom prst="line">
                <a:avLst/>
              </a:prstGeom>
              <a:ln w="9525">
                <a:solidFill>
                  <a:srgbClr val="00b0f0"/>
                </a:solidFill>
                <a:round/>
              </a:ln>
            </xdr:spPr>
            <xdr:style>
              <a:lnRef idx="0"/>
              <a:fillRef idx="0"/>
              <a:effectRef idx="0"/>
              <a:fontRef idx="minor"/>
            </xdr:style>
          </xdr:sp>
        </xdr:grpSp>
      </xdr:grpSp>
      <xdr:sp>
        <xdr:nvSpPr>
          <xdr:cNvPr id="116" name="Line 249"/>
          <xdr:cNvSpPr/>
        </xdr:nvSpPr>
        <xdr:spPr>
          <a:xfrm>
            <a:off x="14650920" y="3683880"/>
            <a:ext cx="1800" cy="1174680"/>
          </a:xfrm>
          <a:prstGeom prst="line">
            <a:avLst/>
          </a:prstGeom>
          <a:ln w="9525">
            <a:solidFill>
              <a:srgbClr val="00b0f0"/>
            </a:solidFill>
            <a:round/>
          </a:ln>
        </xdr:spPr>
        <xdr:style>
          <a:lnRef idx="0"/>
          <a:fillRef idx="0"/>
          <a:effectRef idx="0"/>
          <a:fontRef idx="minor"/>
        </xdr:style>
      </xdr:sp>
      <xdr:sp>
        <xdr:nvSpPr>
          <xdr:cNvPr id="117" name="Line 250"/>
          <xdr:cNvSpPr/>
        </xdr:nvSpPr>
        <xdr:spPr>
          <a:xfrm>
            <a:off x="15095880" y="3683880"/>
            <a:ext cx="360" cy="1174680"/>
          </a:xfrm>
          <a:prstGeom prst="line">
            <a:avLst/>
          </a:prstGeom>
          <a:ln w="9525">
            <a:solidFill>
              <a:srgbClr val="00b0f0"/>
            </a:solidFill>
            <a:round/>
          </a:ln>
        </xdr:spPr>
        <xdr:style>
          <a:lnRef idx="0"/>
          <a:fillRef idx="0"/>
          <a:effectRef idx="0"/>
          <a:fontRef idx="minor"/>
        </xdr:style>
      </xdr:sp>
      <xdr:sp>
        <xdr:nvSpPr>
          <xdr:cNvPr id="118" name="Line 251"/>
          <xdr:cNvSpPr/>
        </xdr:nvSpPr>
        <xdr:spPr>
          <a:xfrm>
            <a:off x="14649120" y="4858560"/>
            <a:ext cx="444600" cy="360"/>
          </a:xfrm>
          <a:prstGeom prst="line">
            <a:avLst/>
          </a:prstGeom>
          <a:ln w="9525">
            <a:solidFill>
              <a:srgbClr val="00b0f0"/>
            </a:solidFill>
            <a:round/>
          </a:ln>
        </xdr:spPr>
        <xdr:style>
          <a:lnRef idx="0"/>
          <a:fillRef idx="0"/>
          <a:effectRef idx="0"/>
          <a:fontRef idx="minor"/>
        </xdr:style>
      </xdr:sp>
      <xdr:sp>
        <xdr:nvSpPr>
          <xdr:cNvPr id="119" name="Line 252"/>
          <xdr:cNvSpPr/>
        </xdr:nvSpPr>
        <xdr:spPr>
          <a:xfrm flipV="1">
            <a:off x="15988680" y="4443480"/>
            <a:ext cx="1080" cy="842400"/>
          </a:xfrm>
          <a:prstGeom prst="line">
            <a:avLst/>
          </a:prstGeom>
          <a:ln w="9525">
            <a:solidFill>
              <a:srgbClr val="00b0f0"/>
            </a:solidFill>
            <a:round/>
          </a:ln>
        </xdr:spPr>
        <xdr:style>
          <a:lnRef idx="0"/>
          <a:fillRef idx="0"/>
          <a:effectRef idx="0"/>
          <a:fontRef idx="minor"/>
        </xdr:style>
      </xdr:sp>
      <xdr:sp>
        <xdr:nvSpPr>
          <xdr:cNvPr id="120" name="Line 253"/>
          <xdr:cNvSpPr/>
        </xdr:nvSpPr>
        <xdr:spPr>
          <a:xfrm>
            <a:off x="15101640" y="4671360"/>
            <a:ext cx="883080" cy="633960"/>
          </a:xfrm>
          <a:prstGeom prst="line">
            <a:avLst/>
          </a:prstGeom>
          <a:ln w="9525">
            <a:solidFill>
              <a:srgbClr val="00b0f0"/>
            </a:solidFill>
            <a:round/>
          </a:ln>
        </xdr:spPr>
        <xdr:style>
          <a:lnRef idx="0"/>
          <a:fillRef idx="0"/>
          <a:effectRef idx="0"/>
          <a:fontRef idx="minor"/>
        </xdr:style>
      </xdr:sp>
      <xdr:sp>
        <xdr:nvSpPr>
          <xdr:cNvPr id="121" name="Line 254"/>
          <xdr:cNvSpPr/>
        </xdr:nvSpPr>
        <xdr:spPr>
          <a:xfrm flipH="1" flipV="1">
            <a:off x="15109560" y="3227400"/>
            <a:ext cx="879120" cy="1221480"/>
          </a:xfrm>
          <a:prstGeom prst="line">
            <a:avLst/>
          </a:prstGeom>
          <a:ln w="9525">
            <a:solidFill>
              <a:srgbClr val="00b0f0"/>
            </a:solidFill>
            <a:round/>
          </a:ln>
        </xdr:spPr>
        <xdr:style>
          <a:lnRef idx="0"/>
          <a:fillRef idx="0"/>
          <a:effectRef idx="0"/>
          <a:fontRef idx="minor"/>
        </xdr:style>
      </xdr:sp>
      <xdr:sp>
        <xdr:nvSpPr>
          <xdr:cNvPr id="122" name="Line 255"/>
          <xdr:cNvSpPr/>
        </xdr:nvSpPr>
        <xdr:spPr>
          <a:xfrm flipH="1" flipV="1">
            <a:off x="13766040" y="4456800"/>
            <a:ext cx="720" cy="842400"/>
          </a:xfrm>
          <a:prstGeom prst="line">
            <a:avLst/>
          </a:prstGeom>
          <a:ln w="9525">
            <a:solidFill>
              <a:srgbClr val="00b0f0"/>
            </a:solidFill>
            <a:round/>
          </a:ln>
        </xdr:spPr>
        <xdr:style>
          <a:lnRef idx="0"/>
          <a:fillRef idx="0"/>
          <a:effectRef idx="0"/>
          <a:fontRef idx="minor"/>
        </xdr:style>
      </xdr:sp>
      <xdr:sp>
        <xdr:nvSpPr>
          <xdr:cNvPr id="123" name="Line 256"/>
          <xdr:cNvSpPr/>
        </xdr:nvSpPr>
        <xdr:spPr>
          <a:xfrm flipH="1">
            <a:off x="13766040" y="4677840"/>
            <a:ext cx="883080" cy="633960"/>
          </a:xfrm>
          <a:prstGeom prst="line">
            <a:avLst/>
          </a:prstGeom>
          <a:ln w="9525">
            <a:solidFill>
              <a:srgbClr val="00b0f0"/>
            </a:solidFill>
            <a:round/>
          </a:ln>
        </xdr:spPr>
        <xdr:style>
          <a:lnRef idx="0"/>
          <a:fillRef idx="0"/>
          <a:effectRef idx="0"/>
          <a:fontRef idx="minor"/>
        </xdr:style>
      </xdr:sp>
      <xdr:sp>
        <xdr:nvSpPr>
          <xdr:cNvPr id="124" name="Line 257"/>
          <xdr:cNvSpPr/>
        </xdr:nvSpPr>
        <xdr:spPr>
          <a:xfrm flipV="1">
            <a:off x="13773600" y="3233520"/>
            <a:ext cx="879120" cy="1221480"/>
          </a:xfrm>
          <a:prstGeom prst="line">
            <a:avLst/>
          </a:prstGeom>
          <a:ln w="9525">
            <a:solidFill>
              <a:srgbClr val="00b0f0"/>
            </a:solidFill>
            <a:round/>
          </a:ln>
        </xdr:spPr>
        <xdr:style>
          <a:lnRef idx="0"/>
          <a:fillRef idx="0"/>
          <a:effectRef idx="0"/>
          <a:fontRef idx="minor"/>
        </xdr:style>
      </xdr:sp>
    </xdr:grpSp>
    <xdr:clientData/>
  </xdr:twoCellAnchor>
  <xdr:twoCellAnchor editAs="twoCell">
    <xdr:from>
      <xdr:col>17</xdr:col>
      <xdr:colOff>831600</xdr:colOff>
      <xdr:row>11</xdr:row>
      <xdr:rowOff>101520</xdr:rowOff>
    </xdr:from>
    <xdr:to>
      <xdr:col>18</xdr:col>
      <xdr:colOff>368280</xdr:colOff>
      <xdr:row>11</xdr:row>
      <xdr:rowOff>101520</xdr:rowOff>
    </xdr:to>
    <xdr:sp>
      <xdr:nvSpPr>
        <xdr:cNvPr id="125" name="Line 268"/>
        <xdr:cNvSpPr/>
      </xdr:nvSpPr>
      <xdr:spPr>
        <a:xfrm>
          <a:off x="14527800" y="2025720"/>
          <a:ext cx="68364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88560</xdr:colOff>
      <xdr:row>1</xdr:row>
      <xdr:rowOff>12600</xdr:rowOff>
    </xdr:from>
    <xdr:to>
      <xdr:col>19</xdr:col>
      <xdr:colOff>336240</xdr:colOff>
      <xdr:row>1</xdr:row>
      <xdr:rowOff>12600</xdr:rowOff>
    </xdr:to>
    <xdr:sp>
      <xdr:nvSpPr>
        <xdr:cNvPr id="126" name="Line 269"/>
        <xdr:cNvSpPr/>
      </xdr:nvSpPr>
      <xdr:spPr>
        <a:xfrm>
          <a:off x="13784760" y="183960"/>
          <a:ext cx="25412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18</xdr:col>
      <xdr:colOff>1054080</xdr:colOff>
      <xdr:row>1</xdr:row>
      <xdr:rowOff>12600</xdr:rowOff>
    </xdr:from>
    <xdr:to>
      <xdr:col>18</xdr:col>
      <xdr:colOff>1054080</xdr:colOff>
      <xdr:row>28</xdr:row>
      <xdr:rowOff>139680</xdr:rowOff>
    </xdr:to>
    <xdr:sp>
      <xdr:nvSpPr>
        <xdr:cNvPr id="127" name="Line 270"/>
        <xdr:cNvSpPr/>
      </xdr:nvSpPr>
      <xdr:spPr>
        <a:xfrm>
          <a:off x="15897240" y="183960"/>
          <a:ext cx="0" cy="465156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120600</xdr:colOff>
      <xdr:row>10</xdr:row>
      <xdr:rowOff>152280</xdr:rowOff>
    </xdr:from>
    <xdr:to>
      <xdr:col>18</xdr:col>
      <xdr:colOff>412560</xdr:colOff>
      <xdr:row>10</xdr:row>
      <xdr:rowOff>152280</xdr:rowOff>
    </xdr:to>
    <xdr:sp>
      <xdr:nvSpPr>
        <xdr:cNvPr id="128" name="Line 271"/>
        <xdr:cNvSpPr/>
      </xdr:nvSpPr>
      <xdr:spPr>
        <a:xfrm>
          <a:off x="13816800" y="1904760"/>
          <a:ext cx="143892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152280</xdr:colOff>
      <xdr:row>0</xdr:row>
      <xdr:rowOff>158400</xdr:rowOff>
    </xdr:from>
    <xdr:to>
      <xdr:col>17</xdr:col>
      <xdr:colOff>152280</xdr:colOff>
      <xdr:row>10</xdr:row>
      <xdr:rowOff>139680</xdr:rowOff>
    </xdr:to>
    <xdr:sp>
      <xdr:nvSpPr>
        <xdr:cNvPr id="129" name="Line 272"/>
        <xdr:cNvSpPr/>
      </xdr:nvSpPr>
      <xdr:spPr>
        <a:xfrm>
          <a:off x="13848480" y="158400"/>
          <a:ext cx="0" cy="173376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16</xdr:col>
      <xdr:colOff>234720</xdr:colOff>
      <xdr:row>31</xdr:row>
      <xdr:rowOff>95040</xdr:rowOff>
    </xdr:from>
    <xdr:to>
      <xdr:col>17</xdr:col>
      <xdr:colOff>82440</xdr:colOff>
      <xdr:row>31</xdr:row>
      <xdr:rowOff>95040</xdr:rowOff>
    </xdr:to>
    <xdr:sp>
      <xdr:nvSpPr>
        <xdr:cNvPr id="130" name="Line 277"/>
        <xdr:cNvSpPr/>
      </xdr:nvSpPr>
      <xdr:spPr>
        <a:xfrm>
          <a:off x="13111200" y="5305320"/>
          <a:ext cx="6674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18</xdr:col>
      <xdr:colOff>196560</xdr:colOff>
      <xdr:row>29</xdr:row>
      <xdr:rowOff>88560</xdr:rowOff>
    </xdr:from>
    <xdr:to>
      <xdr:col>18</xdr:col>
      <xdr:colOff>1035000</xdr:colOff>
      <xdr:row>29</xdr:row>
      <xdr:rowOff>88560</xdr:rowOff>
    </xdr:to>
    <xdr:sp>
      <xdr:nvSpPr>
        <xdr:cNvPr id="131" name="Line 280"/>
        <xdr:cNvSpPr/>
      </xdr:nvSpPr>
      <xdr:spPr>
        <a:xfrm>
          <a:off x="15039720" y="4955760"/>
          <a:ext cx="8384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507960</xdr:colOff>
      <xdr:row>20</xdr:row>
      <xdr:rowOff>0</xdr:rowOff>
    </xdr:from>
    <xdr:to>
      <xdr:col>17</xdr:col>
      <xdr:colOff>507960</xdr:colOff>
      <xdr:row>28</xdr:row>
      <xdr:rowOff>126720</xdr:rowOff>
    </xdr:to>
    <xdr:sp>
      <xdr:nvSpPr>
        <xdr:cNvPr id="132" name="Line 281"/>
        <xdr:cNvSpPr/>
      </xdr:nvSpPr>
      <xdr:spPr>
        <a:xfrm>
          <a:off x="14204160" y="3390840"/>
          <a:ext cx="0" cy="143172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16</xdr:col>
      <xdr:colOff>311040</xdr:colOff>
      <xdr:row>27</xdr:row>
      <xdr:rowOff>133200</xdr:rowOff>
    </xdr:from>
    <xdr:to>
      <xdr:col>16</xdr:col>
      <xdr:colOff>323640</xdr:colOff>
      <xdr:row>31</xdr:row>
      <xdr:rowOff>95040</xdr:rowOff>
    </xdr:to>
    <xdr:sp>
      <xdr:nvSpPr>
        <xdr:cNvPr id="133" name="Line 282"/>
        <xdr:cNvSpPr/>
      </xdr:nvSpPr>
      <xdr:spPr>
        <a:xfrm flipH="1">
          <a:off x="13187520" y="4657680"/>
          <a:ext cx="12600" cy="6476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16</xdr:col>
      <xdr:colOff>730080</xdr:colOff>
      <xdr:row>20</xdr:row>
      <xdr:rowOff>0</xdr:rowOff>
    </xdr:from>
    <xdr:to>
      <xdr:col>16</xdr:col>
      <xdr:colOff>730080</xdr:colOff>
      <xdr:row>27</xdr:row>
      <xdr:rowOff>133200</xdr:rowOff>
    </xdr:to>
    <xdr:sp>
      <xdr:nvSpPr>
        <xdr:cNvPr id="134" name="Line 283"/>
        <xdr:cNvSpPr/>
      </xdr:nvSpPr>
      <xdr:spPr>
        <a:xfrm>
          <a:off x="13606560" y="3390840"/>
          <a:ext cx="0" cy="12668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69840</xdr:colOff>
      <xdr:row>31</xdr:row>
      <xdr:rowOff>95040</xdr:rowOff>
    </xdr:from>
    <xdr:to>
      <xdr:col>17</xdr:col>
      <xdr:colOff>69840</xdr:colOff>
      <xdr:row>31</xdr:row>
      <xdr:rowOff>171360</xdr:rowOff>
    </xdr:to>
    <xdr:sp>
      <xdr:nvSpPr>
        <xdr:cNvPr id="135" name="Line 284"/>
        <xdr:cNvSpPr/>
      </xdr:nvSpPr>
      <xdr:spPr>
        <a:xfrm flipV="1">
          <a:off x="13766040" y="5305320"/>
          <a:ext cx="0" cy="7632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946080</xdr:colOff>
      <xdr:row>29</xdr:row>
      <xdr:rowOff>88560</xdr:rowOff>
    </xdr:from>
    <xdr:to>
      <xdr:col>17</xdr:col>
      <xdr:colOff>946080</xdr:colOff>
      <xdr:row>31</xdr:row>
      <xdr:rowOff>158400</xdr:rowOff>
    </xdr:to>
    <xdr:sp>
      <xdr:nvSpPr>
        <xdr:cNvPr id="136" name="Line 285"/>
        <xdr:cNvSpPr/>
      </xdr:nvSpPr>
      <xdr:spPr>
        <a:xfrm flipV="1">
          <a:off x="14642280" y="4955760"/>
          <a:ext cx="0" cy="41292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88560</xdr:colOff>
      <xdr:row>31</xdr:row>
      <xdr:rowOff>126720</xdr:rowOff>
    </xdr:from>
    <xdr:to>
      <xdr:col>17</xdr:col>
      <xdr:colOff>958680</xdr:colOff>
      <xdr:row>31</xdr:row>
      <xdr:rowOff>126720</xdr:rowOff>
    </xdr:to>
    <xdr:sp>
      <xdr:nvSpPr>
        <xdr:cNvPr id="137" name="Line 286"/>
        <xdr:cNvSpPr/>
      </xdr:nvSpPr>
      <xdr:spPr>
        <a:xfrm>
          <a:off x="13784760" y="5337000"/>
          <a:ext cx="87012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666720</xdr:colOff>
      <xdr:row>16</xdr:row>
      <xdr:rowOff>56880</xdr:rowOff>
    </xdr:from>
    <xdr:to>
      <xdr:col>18</xdr:col>
      <xdr:colOff>514080</xdr:colOff>
      <xdr:row>16</xdr:row>
      <xdr:rowOff>56880</xdr:rowOff>
    </xdr:to>
    <xdr:sp>
      <xdr:nvSpPr>
        <xdr:cNvPr id="138" name="Line 287"/>
        <xdr:cNvSpPr/>
      </xdr:nvSpPr>
      <xdr:spPr>
        <a:xfrm>
          <a:off x="14362920" y="2800080"/>
          <a:ext cx="994320" cy="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17</xdr:col>
      <xdr:colOff>831600</xdr:colOff>
      <xdr:row>14</xdr:row>
      <xdr:rowOff>126720</xdr:rowOff>
    </xdr:from>
    <xdr:to>
      <xdr:col>19</xdr:col>
      <xdr:colOff>18720</xdr:colOff>
      <xdr:row>14</xdr:row>
      <xdr:rowOff>126720</xdr:rowOff>
    </xdr:to>
    <xdr:sp>
      <xdr:nvSpPr>
        <xdr:cNvPr id="139" name="Line 289"/>
        <xdr:cNvSpPr/>
      </xdr:nvSpPr>
      <xdr:spPr>
        <a:xfrm>
          <a:off x="14527800" y="2545920"/>
          <a:ext cx="148068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679320</xdr:colOff>
      <xdr:row>15</xdr:row>
      <xdr:rowOff>126720</xdr:rowOff>
    </xdr:from>
    <xdr:to>
      <xdr:col>19</xdr:col>
      <xdr:colOff>44280</xdr:colOff>
      <xdr:row>15</xdr:row>
      <xdr:rowOff>126720</xdr:rowOff>
    </xdr:to>
    <xdr:sp>
      <xdr:nvSpPr>
        <xdr:cNvPr id="140" name="Line 290"/>
        <xdr:cNvSpPr/>
      </xdr:nvSpPr>
      <xdr:spPr>
        <a:xfrm>
          <a:off x="14375520" y="2707920"/>
          <a:ext cx="165852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666720</xdr:colOff>
      <xdr:row>18</xdr:row>
      <xdr:rowOff>69840</xdr:rowOff>
    </xdr:from>
    <xdr:to>
      <xdr:col>19</xdr:col>
      <xdr:colOff>44280</xdr:colOff>
      <xdr:row>18</xdr:row>
      <xdr:rowOff>69840</xdr:rowOff>
    </xdr:to>
    <xdr:sp>
      <xdr:nvSpPr>
        <xdr:cNvPr id="141" name="Line 291"/>
        <xdr:cNvSpPr/>
      </xdr:nvSpPr>
      <xdr:spPr>
        <a:xfrm>
          <a:off x="14362920" y="3137040"/>
          <a:ext cx="167112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946080</xdr:colOff>
      <xdr:row>19</xdr:row>
      <xdr:rowOff>139680</xdr:rowOff>
    </xdr:from>
    <xdr:to>
      <xdr:col>19</xdr:col>
      <xdr:colOff>12600</xdr:colOff>
      <xdr:row>19</xdr:row>
      <xdr:rowOff>139680</xdr:rowOff>
    </xdr:to>
    <xdr:sp>
      <xdr:nvSpPr>
        <xdr:cNvPr id="142" name="Line 292"/>
        <xdr:cNvSpPr/>
      </xdr:nvSpPr>
      <xdr:spPr>
        <a:xfrm>
          <a:off x="14642280" y="3368520"/>
          <a:ext cx="136008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1136520</xdr:colOff>
      <xdr:row>1</xdr:row>
      <xdr:rowOff>0</xdr:rowOff>
    </xdr:from>
    <xdr:to>
      <xdr:col>17</xdr:col>
      <xdr:colOff>1146960</xdr:colOff>
      <xdr:row>14</xdr:row>
      <xdr:rowOff>126720</xdr:rowOff>
    </xdr:to>
    <xdr:sp>
      <xdr:nvSpPr>
        <xdr:cNvPr id="143" name="Line 293"/>
        <xdr:cNvSpPr/>
      </xdr:nvSpPr>
      <xdr:spPr>
        <a:xfrm flipH="1">
          <a:off x="14832720" y="171360"/>
          <a:ext cx="10440" cy="237456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18</xdr:col>
      <xdr:colOff>190440</xdr:colOff>
      <xdr:row>1</xdr:row>
      <xdr:rowOff>0</xdr:rowOff>
    </xdr:from>
    <xdr:to>
      <xdr:col>18</xdr:col>
      <xdr:colOff>190440</xdr:colOff>
      <xdr:row>18</xdr:row>
      <xdr:rowOff>69840</xdr:rowOff>
    </xdr:to>
    <xdr:sp>
      <xdr:nvSpPr>
        <xdr:cNvPr id="144" name="Line 294"/>
        <xdr:cNvSpPr/>
      </xdr:nvSpPr>
      <xdr:spPr>
        <a:xfrm>
          <a:off x="15033600" y="171360"/>
          <a:ext cx="0" cy="296568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19</xdr:col>
      <xdr:colOff>18720</xdr:colOff>
      <xdr:row>14</xdr:row>
      <xdr:rowOff>126720</xdr:rowOff>
    </xdr:from>
    <xdr:to>
      <xdr:col>19</xdr:col>
      <xdr:colOff>18720</xdr:colOff>
      <xdr:row>15</xdr:row>
      <xdr:rowOff>126720</xdr:rowOff>
    </xdr:to>
    <xdr:sp>
      <xdr:nvSpPr>
        <xdr:cNvPr id="145" name="Line 295"/>
        <xdr:cNvSpPr/>
      </xdr:nvSpPr>
      <xdr:spPr>
        <a:xfrm>
          <a:off x="16008480" y="2545920"/>
          <a:ext cx="0" cy="16200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19</xdr:col>
      <xdr:colOff>12600</xdr:colOff>
      <xdr:row>18</xdr:row>
      <xdr:rowOff>69840</xdr:rowOff>
    </xdr:from>
    <xdr:to>
      <xdr:col>19</xdr:col>
      <xdr:colOff>12600</xdr:colOff>
      <xdr:row>19</xdr:row>
      <xdr:rowOff>139680</xdr:rowOff>
    </xdr:to>
    <xdr:sp>
      <xdr:nvSpPr>
        <xdr:cNvPr id="146" name="Line 296"/>
        <xdr:cNvSpPr/>
      </xdr:nvSpPr>
      <xdr:spPr>
        <a:xfrm>
          <a:off x="16002360" y="3137040"/>
          <a:ext cx="0" cy="23148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17</xdr:col>
      <xdr:colOff>0</xdr:colOff>
      <xdr:row>11</xdr:row>
      <xdr:rowOff>101520</xdr:rowOff>
    </xdr:from>
    <xdr:to>
      <xdr:col>17</xdr:col>
      <xdr:colOff>838080</xdr:colOff>
      <xdr:row>11</xdr:row>
      <xdr:rowOff>101520</xdr:rowOff>
    </xdr:to>
    <xdr:sp>
      <xdr:nvSpPr>
        <xdr:cNvPr id="147" name="Line 297"/>
        <xdr:cNvSpPr/>
      </xdr:nvSpPr>
      <xdr:spPr>
        <a:xfrm>
          <a:off x="13696200" y="2025720"/>
          <a:ext cx="838080" cy="0"/>
        </a:xfrm>
        <a:prstGeom prst="line">
          <a:avLst/>
        </a:prstGeom>
        <a:ln w="9525">
          <a:solidFill>
            <a:srgbClr val="000000"/>
          </a:solidFill>
          <a:round/>
        </a:ln>
      </xdr:spPr>
      <xdr:style>
        <a:lnRef idx="0"/>
        <a:fillRef idx="0"/>
        <a:effectRef idx="0"/>
        <a:fontRef idx="minor"/>
      </xdr:style>
    </xdr:sp>
    <xdr:clientData/>
  </xdr:twoCellAnchor>
  <xdr:twoCellAnchor editAs="twoCell">
    <xdr:from>
      <xdr:col>17</xdr:col>
      <xdr:colOff>0</xdr:colOff>
      <xdr:row>16</xdr:row>
      <xdr:rowOff>69840</xdr:rowOff>
    </xdr:from>
    <xdr:to>
      <xdr:col>17</xdr:col>
      <xdr:colOff>679320</xdr:colOff>
      <xdr:row>16</xdr:row>
      <xdr:rowOff>69840</xdr:rowOff>
    </xdr:to>
    <xdr:sp>
      <xdr:nvSpPr>
        <xdr:cNvPr id="148" name="Line 298"/>
        <xdr:cNvSpPr/>
      </xdr:nvSpPr>
      <xdr:spPr>
        <a:xfrm>
          <a:off x="13696200" y="2813040"/>
          <a:ext cx="679320" cy="0"/>
        </a:xfrm>
        <a:prstGeom prst="line">
          <a:avLst/>
        </a:prstGeom>
        <a:ln w="9525">
          <a:solidFill>
            <a:srgbClr val="92d050"/>
          </a:solidFill>
          <a:round/>
        </a:ln>
      </xdr:spPr>
      <xdr:style>
        <a:lnRef idx="0"/>
        <a:fillRef idx="0"/>
        <a:effectRef idx="0"/>
        <a:fontRef idx="minor"/>
      </xdr:style>
    </xdr:sp>
    <xdr:clientData/>
  </xdr:twoCellAnchor>
  <xdr:twoCellAnchor editAs="twoCell">
    <xdr:from>
      <xdr:col>17</xdr:col>
      <xdr:colOff>514080</xdr:colOff>
      <xdr:row>31</xdr:row>
      <xdr:rowOff>126720</xdr:rowOff>
    </xdr:from>
    <xdr:to>
      <xdr:col>17</xdr:col>
      <xdr:colOff>514080</xdr:colOff>
      <xdr:row>33</xdr:row>
      <xdr:rowOff>95040</xdr:rowOff>
    </xdr:to>
    <xdr:sp>
      <xdr:nvSpPr>
        <xdr:cNvPr id="149" name="Line 301"/>
        <xdr:cNvSpPr/>
      </xdr:nvSpPr>
      <xdr:spPr>
        <a:xfrm>
          <a:off x="14210280" y="5337000"/>
          <a:ext cx="0" cy="311040"/>
        </a:xfrm>
        <a:prstGeom prst="line">
          <a:avLst/>
        </a:prstGeom>
        <a:ln w="9525">
          <a:solidFill>
            <a:srgbClr val="000000"/>
          </a:solidFill>
          <a:round/>
        </a:ln>
      </xdr:spPr>
      <xdr:style>
        <a:lnRef idx="0"/>
        <a:fillRef idx="0"/>
        <a:effectRef idx="0"/>
        <a:fontRef idx="minor"/>
      </xdr:style>
    </xdr:sp>
    <xdr:clientData/>
  </xdr:twoCellAnchor>
  <xdr:twoCellAnchor editAs="twoCell">
    <xdr:from>
      <xdr:col>17</xdr:col>
      <xdr:colOff>0</xdr:colOff>
      <xdr:row>2</xdr:row>
      <xdr:rowOff>75960</xdr:rowOff>
    </xdr:from>
    <xdr:to>
      <xdr:col>17</xdr:col>
      <xdr:colOff>152280</xdr:colOff>
      <xdr:row>2</xdr:row>
      <xdr:rowOff>75960</xdr:rowOff>
    </xdr:to>
    <xdr:sp>
      <xdr:nvSpPr>
        <xdr:cNvPr id="150" name="Line 302"/>
        <xdr:cNvSpPr/>
      </xdr:nvSpPr>
      <xdr:spPr>
        <a:xfrm>
          <a:off x="13696200" y="419040"/>
          <a:ext cx="152280" cy="0"/>
        </a:xfrm>
        <a:prstGeom prst="line">
          <a:avLst/>
        </a:prstGeom>
        <a:ln w="9525">
          <a:solidFill>
            <a:srgbClr val="000000"/>
          </a:solidFill>
          <a:round/>
        </a:ln>
      </xdr:spPr>
      <xdr:style>
        <a:lnRef idx="0"/>
        <a:fillRef idx="0"/>
        <a:effectRef idx="0"/>
        <a:fontRef idx="minor"/>
      </xdr:style>
    </xdr:sp>
    <xdr:clientData/>
  </xdr:twoCellAnchor>
  <xdr:twoCellAnchor editAs="twoCell">
    <xdr:from>
      <xdr:col>18</xdr:col>
      <xdr:colOff>624600</xdr:colOff>
      <xdr:row>10</xdr:row>
      <xdr:rowOff>88560</xdr:rowOff>
    </xdr:from>
    <xdr:to>
      <xdr:col>19</xdr:col>
      <xdr:colOff>820080</xdr:colOff>
      <xdr:row>10</xdr:row>
      <xdr:rowOff>88560</xdr:rowOff>
    </xdr:to>
    <xdr:sp>
      <xdr:nvSpPr>
        <xdr:cNvPr id="151" name="Line 303"/>
        <xdr:cNvSpPr/>
      </xdr:nvSpPr>
      <xdr:spPr>
        <a:xfrm>
          <a:off x="15467760" y="1841040"/>
          <a:ext cx="134208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18</xdr:col>
      <xdr:colOff>190440</xdr:colOff>
      <xdr:row>12</xdr:row>
      <xdr:rowOff>75960</xdr:rowOff>
    </xdr:from>
    <xdr:to>
      <xdr:col>19</xdr:col>
      <xdr:colOff>820080</xdr:colOff>
      <xdr:row>12</xdr:row>
      <xdr:rowOff>75960</xdr:rowOff>
    </xdr:to>
    <xdr:sp>
      <xdr:nvSpPr>
        <xdr:cNvPr id="152" name="Line 304"/>
        <xdr:cNvSpPr/>
      </xdr:nvSpPr>
      <xdr:spPr>
        <a:xfrm>
          <a:off x="15033600" y="2171520"/>
          <a:ext cx="177624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19</xdr:col>
      <xdr:colOff>18720</xdr:colOff>
      <xdr:row>15</xdr:row>
      <xdr:rowOff>44280</xdr:rowOff>
    </xdr:from>
    <xdr:to>
      <xdr:col>19</xdr:col>
      <xdr:colOff>787320</xdr:colOff>
      <xdr:row>15</xdr:row>
      <xdr:rowOff>44280</xdr:rowOff>
    </xdr:to>
    <xdr:sp>
      <xdr:nvSpPr>
        <xdr:cNvPr id="153" name="Line 305"/>
        <xdr:cNvSpPr/>
      </xdr:nvSpPr>
      <xdr:spPr>
        <a:xfrm>
          <a:off x="16008480" y="2625480"/>
          <a:ext cx="76860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19</xdr:col>
      <xdr:colOff>18720</xdr:colOff>
      <xdr:row>19</xdr:row>
      <xdr:rowOff>25200</xdr:rowOff>
    </xdr:from>
    <xdr:to>
      <xdr:col>19</xdr:col>
      <xdr:colOff>806400</xdr:colOff>
      <xdr:row>19</xdr:row>
      <xdr:rowOff>25200</xdr:rowOff>
    </xdr:to>
    <xdr:sp>
      <xdr:nvSpPr>
        <xdr:cNvPr id="154" name="Line 308"/>
        <xdr:cNvSpPr/>
      </xdr:nvSpPr>
      <xdr:spPr>
        <a:xfrm flipH="1">
          <a:off x="16008480" y="3254040"/>
          <a:ext cx="78768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15</xdr:col>
      <xdr:colOff>812520</xdr:colOff>
      <xdr:row>28</xdr:row>
      <xdr:rowOff>88560</xdr:rowOff>
    </xdr:from>
    <xdr:to>
      <xdr:col>16</xdr:col>
      <xdr:colOff>323640</xdr:colOff>
      <xdr:row>28</xdr:row>
      <xdr:rowOff>88560</xdr:rowOff>
    </xdr:to>
    <xdr:sp>
      <xdr:nvSpPr>
        <xdr:cNvPr id="155" name="Line 310"/>
        <xdr:cNvSpPr/>
      </xdr:nvSpPr>
      <xdr:spPr>
        <a:xfrm>
          <a:off x="12869280" y="4784400"/>
          <a:ext cx="330840" cy="0"/>
        </a:xfrm>
        <a:prstGeom prst="line">
          <a:avLst/>
        </a:prstGeom>
        <a:ln w="9525">
          <a:solidFill>
            <a:srgbClr val="000000"/>
          </a:solidFill>
          <a:round/>
        </a:ln>
      </xdr:spPr>
      <xdr:style>
        <a:lnRef idx="0"/>
        <a:fillRef idx="0"/>
        <a:effectRef idx="0"/>
        <a:fontRef idx="minor"/>
      </xdr:style>
    </xdr:sp>
    <xdr:clientData/>
  </xdr:twoCellAnchor>
  <xdr:twoCellAnchor editAs="twoCell">
    <xdr:from>
      <xdr:col>16</xdr:col>
      <xdr:colOff>234720</xdr:colOff>
      <xdr:row>27</xdr:row>
      <xdr:rowOff>126720</xdr:rowOff>
    </xdr:from>
    <xdr:to>
      <xdr:col>17</xdr:col>
      <xdr:colOff>69840</xdr:colOff>
      <xdr:row>27</xdr:row>
      <xdr:rowOff>126720</xdr:rowOff>
    </xdr:to>
    <xdr:sp>
      <xdr:nvSpPr>
        <xdr:cNvPr id="156" name="Line 277"/>
        <xdr:cNvSpPr/>
      </xdr:nvSpPr>
      <xdr:spPr>
        <a:xfrm>
          <a:off x="13111200" y="4651200"/>
          <a:ext cx="6548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412560</xdr:colOff>
      <xdr:row>28</xdr:row>
      <xdr:rowOff>126720</xdr:rowOff>
    </xdr:from>
    <xdr:to>
      <xdr:col>19</xdr:col>
      <xdr:colOff>82440</xdr:colOff>
      <xdr:row>28</xdr:row>
      <xdr:rowOff>126720</xdr:rowOff>
    </xdr:to>
    <xdr:sp>
      <xdr:nvSpPr>
        <xdr:cNvPr id="157" name="Line 280"/>
        <xdr:cNvSpPr/>
      </xdr:nvSpPr>
      <xdr:spPr>
        <a:xfrm>
          <a:off x="14108760" y="4822560"/>
          <a:ext cx="19634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18</xdr:col>
      <xdr:colOff>164880</xdr:colOff>
      <xdr:row>30</xdr:row>
      <xdr:rowOff>44280</xdr:rowOff>
    </xdr:from>
    <xdr:to>
      <xdr:col>18</xdr:col>
      <xdr:colOff>927000</xdr:colOff>
      <xdr:row>30</xdr:row>
      <xdr:rowOff>44280</xdr:rowOff>
    </xdr:to>
    <xdr:sp>
      <xdr:nvSpPr>
        <xdr:cNvPr id="158" name="Line 280"/>
        <xdr:cNvSpPr/>
      </xdr:nvSpPr>
      <xdr:spPr>
        <a:xfrm>
          <a:off x="15008040" y="5082840"/>
          <a:ext cx="76212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1047600</xdr:colOff>
      <xdr:row>20</xdr:row>
      <xdr:rowOff>0</xdr:rowOff>
    </xdr:from>
    <xdr:to>
      <xdr:col>18</xdr:col>
      <xdr:colOff>158040</xdr:colOff>
      <xdr:row>30</xdr:row>
      <xdr:rowOff>43560</xdr:rowOff>
    </xdr:to>
    <xdr:sp>
      <xdr:nvSpPr>
        <xdr:cNvPr id="159" name="Rectangle 139"/>
        <xdr:cNvSpPr/>
      </xdr:nvSpPr>
      <xdr:spPr>
        <a:xfrm>
          <a:off x="14743800" y="3390840"/>
          <a:ext cx="257400" cy="1691280"/>
        </a:xfrm>
        <a:prstGeom prst="rect">
          <a:avLst/>
        </a:prstGeom>
        <a:noFill/>
        <a:ln w="9525">
          <a:solidFill>
            <a:srgbClr val="00b0f0"/>
          </a:solidFill>
          <a:prstDash val="sysDash"/>
          <a:round/>
        </a:ln>
      </xdr:spPr>
      <xdr:style>
        <a:lnRef idx="0"/>
        <a:fillRef idx="0"/>
        <a:effectRef idx="0"/>
        <a:fontRef idx="minor"/>
      </xdr:style>
    </xdr:sp>
    <xdr:clientData/>
  </xdr:twoCellAnchor>
  <xdr:twoCellAnchor editAs="twoCell">
    <xdr:from>
      <xdr:col>18</xdr:col>
      <xdr:colOff>927000</xdr:colOff>
      <xdr:row>1</xdr:row>
      <xdr:rowOff>12600</xdr:rowOff>
    </xdr:from>
    <xdr:to>
      <xdr:col>18</xdr:col>
      <xdr:colOff>927000</xdr:colOff>
      <xdr:row>29</xdr:row>
      <xdr:rowOff>69840</xdr:rowOff>
    </xdr:to>
    <xdr:sp>
      <xdr:nvSpPr>
        <xdr:cNvPr id="160" name="Line 270"/>
        <xdr:cNvSpPr/>
      </xdr:nvSpPr>
      <xdr:spPr>
        <a:xfrm>
          <a:off x="15770160" y="183960"/>
          <a:ext cx="0" cy="475308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12600</xdr:colOff>
      <xdr:row>33</xdr:row>
      <xdr:rowOff>95040</xdr:rowOff>
    </xdr:from>
    <xdr:to>
      <xdr:col>17</xdr:col>
      <xdr:colOff>520560</xdr:colOff>
      <xdr:row>33</xdr:row>
      <xdr:rowOff>95040</xdr:rowOff>
    </xdr:to>
    <xdr:sp>
      <xdr:nvSpPr>
        <xdr:cNvPr id="161" name="Line 301"/>
        <xdr:cNvSpPr/>
      </xdr:nvSpPr>
      <xdr:spPr>
        <a:xfrm>
          <a:off x="13708800" y="5648040"/>
          <a:ext cx="507960" cy="0"/>
        </a:xfrm>
        <a:prstGeom prst="line">
          <a:avLst/>
        </a:prstGeom>
        <a:ln w="9525">
          <a:solidFill>
            <a:srgbClr val="000000"/>
          </a:solidFill>
          <a:round/>
        </a:ln>
      </xdr:spPr>
      <xdr:style>
        <a:lnRef idx="0"/>
        <a:fillRef idx="0"/>
        <a:effectRef idx="0"/>
        <a:fontRef idx="minor"/>
      </xdr:style>
    </xdr:sp>
    <xdr:clientData/>
  </xdr:twoCellAnchor>
  <xdr:twoCellAnchor editAs="twoCell">
    <xdr:from>
      <xdr:col>18</xdr:col>
      <xdr:colOff>787320</xdr:colOff>
      <xdr:row>1</xdr:row>
      <xdr:rowOff>18720</xdr:rowOff>
    </xdr:from>
    <xdr:to>
      <xdr:col>18</xdr:col>
      <xdr:colOff>787320</xdr:colOff>
      <xdr:row>30</xdr:row>
      <xdr:rowOff>37800</xdr:rowOff>
    </xdr:to>
    <xdr:sp>
      <xdr:nvSpPr>
        <xdr:cNvPr id="162" name="Line 270"/>
        <xdr:cNvSpPr/>
      </xdr:nvSpPr>
      <xdr:spPr>
        <a:xfrm>
          <a:off x="15630480" y="190080"/>
          <a:ext cx="0" cy="488628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wsDr>
</file>

<file path=xl/theme/theme1.xml><?xml version="1.0" encoding="utf-8"?>
<a:theme xmlns:a="http://schemas.openxmlformats.org/drawingml/2006/main" xmlns:r="http://schemas.openxmlformats.org/officeDocument/2006/relationships" name="Thèm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hyperlink" Target="http://en.wikipedia.org/wiki/Template:Numerical_integrators" TargetMode="External"/><Relationship Id="rId2" Type="http://schemas.openxmlformats.org/officeDocument/2006/relationships/hyperlink" Target="http://www.planete-sciences.org/espace/basedoc/" TargetMode="External"/><Relationship Id="rId3"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www.planete-sciences.org/espace/basedoc/" TargetMode="External"/><Relationship Id="rId3" Type="http://schemas.openxmlformats.org/officeDocument/2006/relationships/hyperlink" Target="mailto:espace@planete-sciences.org" TargetMode="External"/><Relationship Id="rId4" Type="http://schemas.openxmlformats.org/officeDocument/2006/relationships/hyperlink" Target="http://creativecommons.org/licenses/by-sa/3.0/" TargetMode="External"/><Relationship Id="rId5" Type="http://schemas.openxmlformats.org/officeDocument/2006/relationships/drawing" Target="../drawings/drawing7.xml"/><Relationship Id="rId6"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W361"/>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E15" activeCellId="0" sqref="E15"/>
    </sheetView>
  </sheetViews>
  <sheetFormatPr defaultColWidth="11.36328125" defaultRowHeight="12.75" zeroHeight="false" outlineLevelRow="0" outlineLevelCol="0"/>
  <cols>
    <col collapsed="false" customWidth="true" hidden="false" outlineLevel="0" max="1" min="1" style="1" width="2.18"/>
    <col collapsed="false" customWidth="true" hidden="false" outlineLevel="0" max="2" min="2" style="1" width="16.27"/>
    <col collapsed="false" customWidth="true" hidden="false" outlineLevel="0" max="3" min="3" style="2" width="12.82"/>
    <col collapsed="false" customWidth="true" hidden="false" outlineLevel="0" max="4" min="4" style="1" width="12.82"/>
    <col collapsed="false" customWidth="true" hidden="false" outlineLevel="0" max="5" min="5" style="3" width="4.18"/>
    <col collapsed="false" customWidth="true" hidden="false" outlineLevel="0" max="6" min="6" style="4" width="10.18"/>
    <col collapsed="false" customWidth="true" hidden="false" outlineLevel="0" max="7" min="7" style="4" width="10"/>
    <col collapsed="false" customWidth="true" hidden="false" outlineLevel="0" max="9" min="8" style="4" width="8.63"/>
    <col collapsed="false" customWidth="true" hidden="false" outlineLevel="0" max="10" min="10" style="1" width="5.36"/>
    <col collapsed="false" customWidth="true" hidden="false" outlineLevel="0" max="11" min="11" style="1" width="2.18"/>
    <col collapsed="false" customWidth="true" hidden="false" outlineLevel="0" max="12" min="12" style="1" width="17"/>
    <col collapsed="false" customWidth="true" hidden="false" outlineLevel="0" max="13" min="13" style="1" width="8.63"/>
    <col collapsed="false" customWidth="true" hidden="false" outlineLevel="0" max="15" min="14" style="1" width="4.27"/>
    <col collapsed="false" customWidth="true" hidden="false" outlineLevel="0" max="16" min="16" style="1" width="8.63"/>
    <col collapsed="false" customWidth="true" hidden="false" outlineLevel="0" max="18" min="17" style="1" width="2.18"/>
    <col collapsed="false" customWidth="false" hidden="false" outlineLevel="0" max="16384" min="19" style="1" width="11.36"/>
  </cols>
  <sheetData>
    <row r="1" customFormat="false" ht="12.75" hidden="false" customHeight="true" outlineLevel="0" collapsed="false">
      <c r="A1" s="5"/>
      <c r="B1" s="6"/>
      <c r="C1" s="7"/>
      <c r="D1" s="6"/>
      <c r="E1" s="8"/>
      <c r="F1" s="9"/>
      <c r="G1" s="9"/>
      <c r="H1" s="9"/>
      <c r="I1" s="9"/>
      <c r="J1" s="6"/>
      <c r="K1" s="6"/>
      <c r="L1" s="6"/>
      <c r="M1" s="6"/>
      <c r="N1" s="6"/>
      <c r="O1" s="6"/>
      <c r="P1" s="6"/>
      <c r="Q1" s="10"/>
      <c r="R1" s="11"/>
    </row>
    <row r="2" customFormat="false" ht="12.75" hidden="false" customHeight="true" outlineLevel="0" collapsed="false">
      <c r="A2" s="12"/>
      <c r="B2" s="11"/>
      <c r="C2" s="13" t="s">
        <v>0</v>
      </c>
      <c r="D2" s="13"/>
      <c r="E2" s="14"/>
      <c r="F2" s="15"/>
      <c r="G2" s="15"/>
      <c r="H2" s="15"/>
      <c r="I2" s="15"/>
      <c r="J2" s="11"/>
      <c r="K2" s="11"/>
      <c r="L2" s="16" t="str">
        <f aca="false">"Language/Langue"</f>
        <v>Language/Langue</v>
      </c>
      <c r="M2" s="17" t="s">
        <v>1</v>
      </c>
      <c r="N2" s="17"/>
      <c r="O2" s="17"/>
      <c r="P2" s="17"/>
      <c r="Q2" s="18"/>
      <c r="R2" s="11"/>
    </row>
    <row r="3" customFormat="false" ht="12.75" hidden="false" customHeight="true" outlineLevel="0" collapsed="false">
      <c r="A3" s="12"/>
      <c r="B3" s="11"/>
      <c r="C3" s="13"/>
      <c r="D3" s="13"/>
      <c r="E3" s="14"/>
      <c r="F3" s="15"/>
      <c r="G3" s="15"/>
      <c r="H3" s="15"/>
      <c r="I3" s="15"/>
      <c r="J3" s="11"/>
      <c r="K3" s="11"/>
      <c r="L3" s="19"/>
      <c r="M3" s="19"/>
      <c r="N3" s="19"/>
      <c r="O3" s="11"/>
      <c r="P3" s="11"/>
      <c r="Q3" s="18"/>
      <c r="R3" s="11"/>
    </row>
    <row r="4" customFormat="false" ht="12.75" hidden="false" customHeight="true" outlineLevel="0" collapsed="false">
      <c r="A4" s="12"/>
      <c r="B4" s="11"/>
      <c r="C4" s="20" t="str">
        <f aca="false">IF(Lang="Français","Stabilité de fusée à ailerons",IF(Lang="English","Stability for rocket with fins",""))</f>
        <v>Stabilité de fusée à ailerons</v>
      </c>
      <c r="D4" s="20"/>
      <c r="E4" s="14"/>
      <c r="F4" s="15"/>
      <c r="G4" s="15"/>
      <c r="H4" s="15"/>
      <c r="I4" s="15"/>
      <c r="J4" s="11"/>
      <c r="K4" s="11"/>
      <c r="L4" s="21"/>
      <c r="M4" s="17" t="s">
        <v>2</v>
      </c>
      <c r="N4" s="17"/>
      <c r="O4" s="17"/>
      <c r="P4" s="17"/>
      <c r="Q4" s="18"/>
      <c r="R4" s="11"/>
    </row>
    <row r="5" customFormat="false" ht="12.75" hidden="false" customHeight="true" outlineLevel="0" collapsed="false">
      <c r="A5" s="12"/>
      <c r="B5" s="22"/>
      <c r="C5" s="23"/>
      <c r="D5" s="23"/>
      <c r="E5" s="14"/>
      <c r="F5" s="15"/>
      <c r="G5" s="15"/>
      <c r="H5" s="15"/>
      <c r="I5" s="15"/>
      <c r="J5" s="11"/>
      <c r="K5" s="11"/>
      <c r="L5" s="21"/>
      <c r="M5" s="24" t="s">
        <v>3</v>
      </c>
      <c r="N5" s="24"/>
      <c r="O5" s="24" t="s">
        <v>4</v>
      </c>
      <c r="P5" s="24"/>
      <c r="Q5" s="25"/>
      <c r="R5" s="11"/>
    </row>
    <row r="6" customFormat="false" ht="12.75" hidden="false" customHeight="true" outlineLevel="0" collapsed="false">
      <c r="A6" s="12"/>
      <c r="B6" s="19"/>
      <c r="C6" s="26" t="str">
        <f aca="false">IF(Lang="Français","Remplir les cases jaunes",IF(Lang="English","Fill-in yellow cells only",""))</f>
        <v>Remplir les cases jaunes</v>
      </c>
      <c r="D6" s="26"/>
      <c r="E6" s="14"/>
      <c r="F6" s="15"/>
      <c r="G6" s="15"/>
      <c r="H6" s="15"/>
      <c r="I6" s="15"/>
      <c r="J6" s="11"/>
      <c r="K6" s="11"/>
      <c r="L6" s="27" t="str">
        <f aca="false">IF(Lang="Français","Longueur      'L'",IF(Lang="English","Length      'L'",""))</f>
        <v>Longueur      'L'</v>
      </c>
      <c r="M6" s="28" t="n">
        <v>50</v>
      </c>
      <c r="N6" s="28"/>
      <c r="O6" s="28" t="n">
        <v>50</v>
      </c>
      <c r="P6" s="28"/>
      <c r="Q6" s="25"/>
      <c r="R6" s="11"/>
    </row>
    <row r="7" customFormat="false" ht="12.75" hidden="false" customHeight="true" outlineLevel="0" collapsed="false">
      <c r="A7" s="12"/>
      <c r="B7" s="29"/>
      <c r="C7" s="30" t="str">
        <f aca="false">IF(Lang="Français","Fusée",IF(Lang="English","Rocket",""))</f>
        <v>Fusée</v>
      </c>
      <c r="D7" s="30"/>
      <c r="E7" s="14"/>
      <c r="F7" s="15"/>
      <c r="G7" s="15"/>
      <c r="H7" s="15"/>
      <c r="I7" s="15"/>
      <c r="J7" s="11"/>
      <c r="K7" s="11"/>
      <c r="L7" s="27" t="str">
        <f aca="false">IF(Lang="Français","Diamètre     'D1'",IF(Lang="English","Diameter 'D1'",""))</f>
        <v>Diamètre     'D1'</v>
      </c>
      <c r="M7" s="28" t="n">
        <f aca="false">D_og</f>
        <v>120</v>
      </c>
      <c r="N7" s="28"/>
      <c r="O7" s="28" t="n">
        <f aca="false">D2j</f>
        <v>80</v>
      </c>
      <c r="P7" s="28"/>
      <c r="Q7" s="25"/>
      <c r="R7" s="11"/>
    </row>
    <row r="8" customFormat="false" ht="12.75" hidden="false" customHeight="true" outlineLevel="0" collapsed="false">
      <c r="A8" s="12"/>
      <c r="B8" s="31" t="str">
        <f aca="false">IF(Lang="Français","Nom",IF(Lang="English","Name",""))</f>
        <v>Nom</v>
      </c>
      <c r="C8" s="32" t="s">
        <v>5</v>
      </c>
      <c r="D8" s="32"/>
      <c r="E8" s="33"/>
      <c r="F8" s="15"/>
      <c r="G8" s="15"/>
      <c r="H8" s="15"/>
      <c r="I8" s="15"/>
      <c r="J8" s="11"/>
      <c r="K8" s="21"/>
      <c r="L8" s="27" t="str">
        <f aca="false">IF(Lang="Français","Diamètre     'D2'",IF(Lang="English","Diameter 'D2'",""))</f>
        <v>Diamètre     'D2'</v>
      </c>
      <c r="M8" s="28" t="n">
        <v>80</v>
      </c>
      <c r="N8" s="28"/>
      <c r="O8" s="28" t="n">
        <f aca="false">D_og</f>
        <v>120</v>
      </c>
      <c r="P8" s="28"/>
      <c r="Q8" s="25"/>
      <c r="R8" s="11"/>
    </row>
    <row r="9" customFormat="false" ht="12.75" hidden="false" customHeight="true" outlineLevel="0" collapsed="false">
      <c r="A9" s="12"/>
      <c r="B9" s="31" t="s">
        <v>6</v>
      </c>
      <c r="C9" s="34" t="s">
        <v>7</v>
      </c>
      <c r="D9" s="34"/>
      <c r="E9" s="33"/>
      <c r="F9" s="15"/>
      <c r="G9" s="15"/>
      <c r="H9" s="15"/>
      <c r="I9" s="15"/>
      <c r="J9" s="11"/>
      <c r="K9" s="21"/>
      <c r="L9" s="27" t="str">
        <f aca="false">IF(Lang="Français","Implantation 'x'",IF(Lang="English","Basement 'x'",""))</f>
        <v>Implantation 'x'</v>
      </c>
      <c r="M9" s="28" t="n">
        <v>300</v>
      </c>
      <c r="N9" s="28"/>
      <c r="O9" s="28" t="n">
        <v>500</v>
      </c>
      <c r="P9" s="28"/>
      <c r="Q9" s="25"/>
      <c r="R9" s="11"/>
    </row>
    <row r="10" customFormat="false" ht="12.75" hidden="false" customHeight="true" outlineLevel="0" collapsed="false">
      <c r="A10" s="12"/>
      <c r="B10" s="24" t="s">
        <v>8</v>
      </c>
      <c r="C10" s="17" t="s">
        <v>9</v>
      </c>
      <c r="D10" s="17"/>
      <c r="E10" s="33"/>
      <c r="F10" s="15"/>
      <c r="G10" s="15"/>
      <c r="H10" s="15"/>
      <c r="I10" s="15"/>
      <c r="J10" s="11"/>
      <c r="K10" s="21"/>
      <c r="L10" s="11"/>
      <c r="M10" s="11"/>
      <c r="N10" s="11"/>
      <c r="O10" s="11"/>
      <c r="P10" s="11"/>
      <c r="Q10" s="25"/>
      <c r="R10" s="11"/>
    </row>
    <row r="11" customFormat="false" ht="12.75" hidden="false" customHeight="true" outlineLevel="0" collapsed="false">
      <c r="A11" s="12"/>
      <c r="B11" s="24" t="str">
        <f aca="false">IF(Lang="Français","Masse",IF(Lang="English","Weight",""))</f>
        <v>Masse</v>
      </c>
      <c r="C11" s="35" t="n">
        <v>7378</v>
      </c>
      <c r="D11" s="36" t="s">
        <v>10</v>
      </c>
      <c r="E11" s="33"/>
      <c r="F11" s="15"/>
      <c r="G11" s="15"/>
      <c r="H11" s="15"/>
      <c r="I11" s="15"/>
      <c r="J11" s="11"/>
      <c r="K11" s="21"/>
      <c r="L11" s="37"/>
      <c r="M11" s="38" t="str">
        <f aca="false">IF(Lang="Français","Propu plein",IF(Lang="English","Loaded Motor",""))</f>
        <v>Propu plein</v>
      </c>
      <c r="N11" s="38" t="str">
        <f aca="false">IF(Lang="Français","Propu vide",IF(Lang="English","Empty Motor",""))</f>
        <v>Propu vide</v>
      </c>
      <c r="O11" s="38"/>
      <c r="P11" s="38" t="str">
        <f aca="false">IF(Lang="Français","Sans propu",IF(Lang="English","Without M",""))</f>
        <v>Sans propu</v>
      </c>
      <c r="Q11" s="25"/>
      <c r="R11" s="11"/>
      <c r="S11" s="39"/>
      <c r="T11" s="40" t="str">
        <f aca="false">IF(Lang="Français","Propulseur",IF(Lang="English","Motor",""))</f>
        <v>Propulseur</v>
      </c>
    </row>
    <row r="12" customFormat="false" ht="12.75" hidden="false" customHeight="true" outlineLevel="0" collapsed="false">
      <c r="A12" s="12"/>
      <c r="B12" s="24" t="str">
        <f aca="false">IF(Lang="Français","Centre de Masse",IF(Lang="English","Center of Mass",""))</f>
        <v>Centre de Masse</v>
      </c>
      <c r="C12" s="28" t="n">
        <v>639</v>
      </c>
      <c r="D12" s="36" t="s">
        <v>11</v>
      </c>
      <c r="E12" s="14"/>
      <c r="F12" s="15"/>
      <c r="G12" s="15"/>
      <c r="H12" s="15"/>
      <c r="I12" s="15"/>
      <c r="J12" s="11"/>
      <c r="K12" s="11"/>
      <c r="L12" s="41" t="str">
        <f aca="false">IF(Lang="Français","Masse propu",IF(Lang="English","Motor Mass",""))</f>
        <v>Masse propu</v>
      </c>
      <c r="M12" s="42" t="n">
        <f aca="false">MpropuPlein</f>
        <v>1.685</v>
      </c>
      <c r="N12" s="42" t="n">
        <f aca="false">MpropuVide</f>
        <v>0.652</v>
      </c>
      <c r="O12" s="42"/>
      <c r="P12" s="43" t="s">
        <v>12</v>
      </c>
      <c r="Q12" s="25"/>
      <c r="R12" s="11"/>
      <c r="S12" s="40" t="str">
        <f aca="false">IF(Lang="Français","Haut",IF(Lang="English","Top",""))</f>
        <v>Haut</v>
      </c>
      <c r="T12" s="44" t="n">
        <f aca="false">XpropuRef-Long_propu</f>
        <v>1172</v>
      </c>
    </row>
    <row r="13" customFormat="false" ht="12.75" hidden="false" customHeight="true" outlineLevel="0" collapsed="false">
      <c r="A13" s="12"/>
      <c r="B13" s="24" t="str">
        <f aca="false">IF(Lang="Français","Longueur totale",IF(Lang="English","Total length",""))</f>
        <v>Longueur totale</v>
      </c>
      <c r="C13" s="28" t="n">
        <v>1660</v>
      </c>
      <c r="D13" s="28"/>
      <c r="E13" s="14"/>
      <c r="F13" s="15"/>
      <c r="G13" s="15"/>
      <c r="H13" s="15"/>
      <c r="I13" s="15"/>
      <c r="J13" s="11"/>
      <c r="K13" s="11"/>
      <c r="L13" s="41" t="str">
        <f aca="false">IF(Lang="Français","CdM propu",IF(Lang="English","Motor CoM",""))</f>
        <v>CdM propu</v>
      </c>
      <c r="M13" s="44" t="n">
        <f aca="false">XpropuPlein</f>
        <v>250</v>
      </c>
      <c r="N13" s="44" t="n">
        <f aca="false">XpropuVide</f>
        <v>240</v>
      </c>
      <c r="O13" s="44"/>
      <c r="P13" s="43" t="s">
        <v>12</v>
      </c>
      <c r="Q13" s="25"/>
      <c r="R13" s="11"/>
      <c r="S13" s="40" t="str">
        <f aca="false">IF(Lang="Français","Longueur",IF(Lang="English","Length",""))</f>
        <v>Longueur</v>
      </c>
      <c r="T13" s="44" t="n">
        <f aca="false">Long_propu</f>
        <v>488</v>
      </c>
    </row>
    <row r="14" customFormat="false" ht="12.75" hidden="false" customHeight="true" outlineLevel="0" collapsed="false">
      <c r="A14" s="12"/>
      <c r="B14" s="27" t="str">
        <f aca="false">IF(Lang="Français","Diamètre Réf.",IF(Lang="English","Ref. Diameter",""))</f>
        <v>Diamètre Réf.</v>
      </c>
      <c r="C14" s="28" t="n">
        <v>120</v>
      </c>
      <c r="D14" s="28"/>
      <c r="E14" s="14"/>
      <c r="F14" s="15"/>
      <c r="G14" s="15"/>
      <c r="H14" s="15"/>
      <c r="I14" s="15"/>
      <c r="J14" s="11"/>
      <c r="K14" s="11"/>
      <c r="L14" s="41" t="str">
        <f aca="false">IF(Lang="Français","Masse fusée",IF(Lang="English","Rocket Mass",""))</f>
        <v>Masse fusée</v>
      </c>
      <c r="M14" s="45" t="n">
        <f aca="false">MasseSans+MpropuPlein</f>
        <v>8.411</v>
      </c>
      <c r="N14" s="45" t="n">
        <f aca="false">MasseSans+MpropuVide</f>
        <v>7.378</v>
      </c>
      <c r="O14" s="45"/>
      <c r="P14" s="42" t="n">
        <f aca="false">IF(OR(D11="sans propu",D11="without motor"),C11/1000,IF(OR(D11="avec propu vide",D11="with empty motor"),C11/1000-MpropuVide,IF(OR(D11="avec propu plein",D11="with loaded motor"),C11/1000-MpropuPlein,"Erreur")))</f>
        <v>6.726</v>
      </c>
      <c r="Q14" s="25"/>
      <c r="R14" s="11"/>
      <c r="S14" s="40" t="str">
        <f aca="false">IF(Lang="Français","Bas",IF(Lang="English","Base",""))</f>
        <v>Bas</v>
      </c>
      <c r="T14" s="44" t="n">
        <f aca="false">XpropuRef</f>
        <v>1660</v>
      </c>
    </row>
    <row r="15" customFormat="false" ht="12.75" hidden="false" customHeight="true" outlineLevel="0" collapsed="false">
      <c r="A15" s="12"/>
      <c r="B15" s="11"/>
      <c r="C15" s="29"/>
      <c r="D15" s="29"/>
      <c r="E15" s="14"/>
      <c r="F15" s="15"/>
      <c r="G15" s="15"/>
      <c r="H15" s="15"/>
      <c r="I15" s="15"/>
      <c r="J15" s="11"/>
      <c r="K15" s="11"/>
      <c r="L15" s="46" t="str">
        <f aca="false">IF(Lang="Français","CdM fusée",IF(Lang="English","Rocket CoM",""))</f>
        <v>CdM fusée</v>
      </c>
      <c r="M15" s="47" t="n">
        <f aca="false">(XcgSans*MasseSans+(XpropuRef-Long_propu+XpropuPlein)*MpropuPlein)/MassePlein</f>
        <v>795.860658661277</v>
      </c>
      <c r="N15" s="47" t="n">
        <f aca="false">(XcgSans*MasseSans+(XpropuRef-Long_propu+XpropuVide)*MpropuVide)/MasseVide</f>
        <v>707.310653293576</v>
      </c>
      <c r="O15" s="47"/>
      <c r="P15" s="48" t="n">
        <f aca="false">IF(OR(D12="sans propu",D12="without motor"),C12,IF(OR(D12="avec propu vide",D12="with empty motor"),(C12*MasseVide-(XpropuRef-Long_propu+XpropuVide)*MpropuVide)/MasseSans,IF(OR(D12="avec propu plein",D12="with loaded motor"),(C12*MassePlein-(XpropuRef-Long_propu+XpropuPlein)*MpropuPlein)/MasseSans,"Erreur")))</f>
        <v>639</v>
      </c>
      <c r="Q15" s="25"/>
      <c r="R15" s="11"/>
    </row>
    <row r="16" customFormat="false" ht="12.75" hidden="false" customHeight="true" outlineLevel="0" collapsed="false">
      <c r="A16" s="12"/>
      <c r="B16" s="11"/>
      <c r="C16" s="49" t="str">
        <f aca="false">IF(Lang="Français","Propulseur",IF(Lang="English","Motor",""))</f>
        <v>Propulseur</v>
      </c>
      <c r="D16" s="49"/>
      <c r="E16" s="14"/>
      <c r="F16" s="15"/>
      <c r="G16" s="15"/>
      <c r="H16" s="15"/>
      <c r="I16" s="15"/>
      <c r="J16" s="11"/>
      <c r="K16" s="11"/>
      <c r="L16" s="50"/>
      <c r="M16" s="50"/>
      <c r="N16" s="50"/>
      <c r="O16" s="50"/>
      <c r="P16" s="50"/>
      <c r="Q16" s="25"/>
      <c r="R16" s="11"/>
      <c r="S16" s="39"/>
      <c r="T16" s="40" t="str">
        <f aca="false">IF(RIGHT(type_masquage,1)=",",IF(Lang="Français","Ailerons","Fins"),IF(Lang="Français","Ailerons bas","Lower Fins"))</f>
        <v>Ailerons bas</v>
      </c>
    </row>
    <row r="17" customFormat="false" ht="12.75" hidden="false" customHeight="true" outlineLevel="0" collapsed="false">
      <c r="A17" s="12"/>
      <c r="B17" s="24" t="s">
        <v>8</v>
      </c>
      <c r="C17" s="51" t="s">
        <v>13</v>
      </c>
      <c r="D17" s="51"/>
      <c r="E17" s="14"/>
      <c r="F17" s="15"/>
      <c r="G17" s="15"/>
      <c r="H17" s="15"/>
      <c r="I17" s="15"/>
      <c r="J17" s="11"/>
      <c r="K17" s="11"/>
      <c r="L17" s="52"/>
      <c r="M17" s="53" t="s">
        <v>14</v>
      </c>
      <c r="N17" s="53"/>
      <c r="O17" s="53" t="s">
        <v>15</v>
      </c>
      <c r="P17" s="53"/>
      <c r="Q17" s="25"/>
      <c r="R17" s="11"/>
      <c r="S17" s="40" t="str">
        <f aca="false">IF(Lang="Français","Haut","Top")</f>
        <v>Haut</v>
      </c>
      <c r="T17" s="44" t="n">
        <f aca="false">X_ail-m_ail</f>
        <v>1470</v>
      </c>
    </row>
    <row r="18" customFormat="false" ht="12.75" hidden="false" customHeight="true" outlineLevel="0" collapsed="false">
      <c r="A18" s="12"/>
      <c r="B18" s="24" t="str">
        <f aca="false">IF(Lang="Français","Position du bas",IF(Lang="English","Basement",""))</f>
        <v>Position du bas</v>
      </c>
      <c r="C18" s="28" t="n">
        <f aca="false">Long_tot</f>
        <v>1660</v>
      </c>
      <c r="D18" s="28"/>
      <c r="F18" s="15"/>
      <c r="G18" s="15"/>
      <c r="H18" s="15"/>
      <c r="I18" s="15"/>
      <c r="J18" s="11"/>
      <c r="K18" s="54"/>
      <c r="L18" s="41" t="str">
        <f aca="false">IF(Lang="Français","Coiffe",IF(Lang="English","Nose Cone",""))</f>
        <v>Coiffe</v>
      </c>
      <c r="M18" s="55" t="n">
        <f aca="false">IF(LEFT(Forme_ogive,5)="Parab",1/2*Long_ogive,IF(LEFT(Forme_ogive,4)="Ogiv",7/15*Long_ogive,IF(LEFT(Forme_ogive,3)="Con",2/3*Long_ogive)))</f>
        <v>186.666666666667</v>
      </c>
      <c r="N18" s="55"/>
      <c r="O18" s="56" t="n">
        <f aca="false">2*POWER(D_og/D_ref, 2)</f>
        <v>2</v>
      </c>
      <c r="P18" s="56"/>
      <c r="Q18" s="25"/>
      <c r="R18" s="11"/>
      <c r="S18" s="40" t="str">
        <f aca="false">IF(Lang="Français","Emplanture","Root edge")</f>
        <v>Emplanture</v>
      </c>
      <c r="T18" s="44" t="n">
        <f aca="false">m_ail</f>
        <v>190</v>
      </c>
    </row>
    <row r="19" customFormat="false" ht="12.75" hidden="false" customHeight="true" outlineLevel="0" collapsed="false">
      <c r="A19" s="12"/>
      <c r="B19" s="57" t="str">
        <f aca="false">IF(Propu="Cariacou","Cariacou :"," ")</f>
        <v> </v>
      </c>
      <c r="C19" s="58" t="str">
        <f aca="false">IF(Propu="Pandora (Pro24-6G)",IF(Lang="Français","C'Space Seulement",IF(Lang="English","C'Space only","")),"")</f>
        <v/>
      </c>
      <c r="D19" s="58"/>
      <c r="E19" s="14"/>
      <c r="F19" s="15"/>
      <c r="G19" s="15"/>
      <c r="H19" s="15"/>
      <c r="I19" s="15"/>
      <c r="J19" s="11"/>
      <c r="K19" s="11"/>
      <c r="L19" s="41" t="str">
        <f aca="false">IF(Lang="Français","Ailerons",IF(Lang="English","Fins",""))</f>
        <v>Ailerons</v>
      </c>
      <c r="M19" s="55" t="n">
        <f aca="false">(xcpa*cnail-0.5*xcpi*cni)/cnai</f>
        <v>962.713293650794</v>
      </c>
      <c r="N19" s="55"/>
      <c r="O19" s="56" t="n">
        <f aca="false">cnail-cni/2</f>
        <v>19.4975242818324</v>
      </c>
      <c r="P19" s="56"/>
      <c r="Q19" s="25"/>
      <c r="R19" s="11"/>
      <c r="S19" s="40" t="str">
        <f aca="false">IF(Lang="Français","Bas","Base")</f>
        <v>Bas</v>
      </c>
      <c r="T19" s="44" t="n">
        <f aca="false">X_ail</f>
        <v>1660</v>
      </c>
    </row>
    <row r="20" customFormat="false" ht="12.75" hidden="false" customHeight="true" outlineLevel="0" collapsed="false">
      <c r="A20" s="12"/>
      <c r="B20" s="59"/>
      <c r="C20" s="60" t="str">
        <f aca="false">IF(Lang="Français","Coiffe",IF(Lang="English","Nose Cone",""))</f>
        <v>Coiffe</v>
      </c>
      <c r="D20" s="60"/>
      <c r="E20" s="14"/>
      <c r="F20" s="15"/>
      <c r="G20" s="15"/>
      <c r="H20" s="15"/>
      <c r="I20" s="15"/>
      <c r="J20" s="11"/>
      <c r="K20" s="11"/>
      <c r="L20" s="41" t="str">
        <f aca="false">IF(Lang="Français","Ail bas entier",IF(Lang="English","Total Lower Fins",""))</f>
        <v>Ail bas entier</v>
      </c>
      <c r="M20" s="55" t="n">
        <f aca="false">X_ail-m_ail+p_ail*(m_ail+2*n_ail)/(3*(m_ail+n_ail))+(m_ail+n_ail-m_ail*n_ail/(m_ail+n_ail))/6</f>
        <v>1578.49518652226</v>
      </c>
      <c r="N20" s="55"/>
      <c r="O20" s="56" t="e">
        <f aca="false">4*Q_ail*POWER((E_ail/D_ref),2)*(1+D_ail/(2*E_ail+D_ail))/(1+SQRT(1+POWER(2*f_ail/(m_ail+n_ail),2)))</f>
        <v>#NAME?</v>
      </c>
      <c r="P20" s="56"/>
      <c r="Q20" s="25"/>
      <c r="R20" s="11"/>
    </row>
    <row r="21" customFormat="false" ht="12.75" hidden="false" customHeight="true" outlineLevel="0" collapsed="false">
      <c r="A21" s="12"/>
      <c r="B21" s="24" t="str">
        <f aca="false">IF(Lang="Français","Forme",IF(Lang="English","Shape",""))</f>
        <v>Forme</v>
      </c>
      <c r="C21" s="61" t="s">
        <v>16</v>
      </c>
      <c r="D21" s="61"/>
      <c r="E21" s="14"/>
      <c r="F21" s="15"/>
      <c r="G21" s="15"/>
      <c r="H21" s="15"/>
      <c r="I21" s="15"/>
      <c r="J21" s="11"/>
      <c r="K21" s="11"/>
      <c r="L21" s="41" t="str">
        <f aca="false">IF(Lang="Français","Ailerons haut",IF(Lang="English","Upper Fins",""))</f>
        <v>Ailerons haut</v>
      </c>
      <c r="M21" s="55" t="e">
        <f aca="false">IF(LEFT(type_masquage,1)="M",0, X_can-m_can+p_can*(m_can+2*n_can)/(3*(m_can+n_can))+(m_can+n_can-m_can*n_can/(m_can+n_can))/6)</f>
        <v>#NAME?</v>
      </c>
      <c r="N21" s="55"/>
      <c r="O21" s="56" t="e">
        <f aca="false">IF(LEFT(type_masquage,1)="M",0, 4*Q_can*POWER((E_can/D_ref),2)*(1+d_can/(2*E_can+d_can))/(1+SQRT(1+POWER(2*f_can/(m_can+n_can),2))))</f>
        <v>#NAME?</v>
      </c>
      <c r="P21" s="56"/>
      <c r="Q21" s="25"/>
      <c r="R21" s="11"/>
    </row>
    <row r="22" customFormat="false" ht="12.75" hidden="false" customHeight="true" outlineLevel="0" collapsed="false">
      <c r="A22" s="12"/>
      <c r="B22" s="24" t="str">
        <f aca="false">IF(Lang="Français","Hauteur",IF(Lang="English","Heigth",""))</f>
        <v>Hauteur</v>
      </c>
      <c r="C22" s="28" t="n">
        <v>400</v>
      </c>
      <c r="D22" s="28"/>
      <c r="E22" s="14"/>
      <c r="F22" s="15"/>
      <c r="G22" s="15"/>
      <c r="H22" s="15"/>
      <c r="I22" s="15"/>
      <c r="J22" s="11"/>
      <c r="K22" s="11"/>
      <c r="L22" s="41" t="str">
        <f aca="false">IF(Lang="Français","Partie masquée",IF(Lang="English","Interation zone",""))</f>
        <v>Partie masquée</v>
      </c>
      <c r="M22" s="55" t="n">
        <f aca="false">IF(LEFT(type_masquage,1)="B", x_int-m_int+p_int*(m_int+2*n_int)/(3*(m_int+n_int))+(m_int+n_int-m_int*n_int/(m_int+n_int))/6, 0 )</f>
        <v>0</v>
      </c>
      <c r="N22" s="55"/>
      <c r="O22" s="56" t="e">
        <f aca="false">IF(LEFT(type_masquage,1)="B", 4*q_int*POWER((e_int/D_ref),2)*(1+d_int/(2*e_int+d_int))/(1+SQRT(1+POWER(2*f_int/(m_int+n_int),2))), 0 )</f>
        <v>#NAME?</v>
      </c>
      <c r="P22" s="56"/>
      <c r="Q22" s="25"/>
      <c r="R22" s="11"/>
    </row>
    <row r="23" customFormat="false" ht="12.75" hidden="false" customHeight="true" outlineLevel="0" collapsed="false">
      <c r="A23" s="12"/>
      <c r="B23" s="24" t="str">
        <f aca="false">IF(Lang="Français","Diamètre",IF(Lang="English","Diameter",""))</f>
        <v>Diamètre</v>
      </c>
      <c r="C23" s="28" t="n">
        <v>120</v>
      </c>
      <c r="D23" s="28"/>
      <c r="E23" s="14"/>
      <c r="F23" s="15"/>
      <c r="G23" s="15"/>
      <c r="H23" s="15"/>
      <c r="I23" s="15"/>
      <c r="J23" s="11"/>
      <c r="K23" s="11"/>
      <c r="L23" s="62" t="s">
        <v>3</v>
      </c>
      <c r="M23" s="55" t="n">
        <f aca="false">IF(OR(RIGHT(Nb_diam,1)=",",D2j=0),0, X_j+l_j/3*(1+1/(1+D1j/D2j)) )</f>
        <v>0</v>
      </c>
      <c r="N23" s="55"/>
      <c r="O23" s="56" t="n">
        <f aca="false">IF(OR(RIGHT(Nb_diam,1)=",",D2j=0),0,2*(POWER(D2j/D_ref,2)-POWER(D1j/D_ref,2)))</f>
        <v>0</v>
      </c>
      <c r="P23" s="56"/>
      <c r="Q23" s="25"/>
      <c r="R23" s="11"/>
    </row>
    <row r="24" customFormat="false" ht="12.75" hidden="false" customHeight="true" outlineLevel="0" collapsed="false">
      <c r="A24" s="12"/>
      <c r="E24" s="14"/>
      <c r="F24" s="15"/>
      <c r="G24" s="15"/>
      <c r="H24" s="15"/>
      <c r="I24" s="15"/>
      <c r="J24" s="11"/>
      <c r="K24" s="11"/>
      <c r="L24" s="62" t="s">
        <v>4</v>
      </c>
      <c r="M24" s="55" t="n">
        <f aca="false">IF( OR(RIGHT(Nb_diam,1)=",",D2r=0), 0, X_r+l_r/3*(1+1/(1+D1r/D2r)) )</f>
        <v>0</v>
      </c>
      <c r="N24" s="55"/>
      <c r="O24" s="56" t="n">
        <f aca="false">IF( OR(RIGHT(Nb_diam,1)=",",D2r=0), 0, 2*(POWER(D2r/D_ref,2)-POWER(D1r/D_ref,2)) )</f>
        <v>0</v>
      </c>
      <c r="P24" s="56"/>
      <c r="Q24" s="25"/>
      <c r="R24" s="11"/>
    </row>
    <row r="25" customFormat="false" ht="12.75" hidden="false" customHeight="true" outlineLevel="0" collapsed="false">
      <c r="A25" s="12"/>
      <c r="B25" s="59"/>
      <c r="C25" s="63" t="str">
        <f aca="false">IF(LEFT(type_masquage,1)="M",IF(Lang="Français","Ailerons","Fins"),IF(Lang="Français","Ailerons bas","Lower Fins"))</f>
        <v>Ailerons</v>
      </c>
      <c r="D25" s="64" t="str">
        <f aca="false">IF(Lang="Français","Ailerons haut",IF(Lang="English","Upper Fins",""))</f>
        <v>Ailerons haut</v>
      </c>
      <c r="E25" s="65" t="s">
        <v>17</v>
      </c>
      <c r="F25" s="15"/>
      <c r="G25" s="15"/>
      <c r="H25" s="15"/>
      <c r="I25" s="15"/>
      <c r="J25" s="11"/>
      <c r="K25" s="11"/>
      <c r="L25" s="66"/>
      <c r="M25" s="66"/>
      <c r="N25" s="66"/>
      <c r="O25" s="11"/>
      <c r="P25" s="11"/>
      <c r="Q25" s="25"/>
      <c r="R25" s="66"/>
      <c r="S25" s="67" t="str">
        <f aca="false">IF(AND(Portee_balistique&gt;200,LEFT(Type_propu,3)="Min"),IF(Lang="Français","Fusée trop lègère !","Rocket too light"),"")</f>
        <v/>
      </c>
    </row>
    <row r="26" customFormat="false" ht="12.75" hidden="false" customHeight="true" outlineLevel="0" collapsed="false">
      <c r="A26" s="12"/>
      <c r="B26" s="59"/>
      <c r="C26" s="68" t="s">
        <v>18</v>
      </c>
      <c r="D26" s="68"/>
      <c r="E26" s="14"/>
      <c r="F26" s="69" t="n">
        <f aca="true">TODAY()</f>
        <v>45269</v>
      </c>
      <c r="G26" s="70" t="s">
        <v>19</v>
      </c>
      <c r="H26" s="71" t="str">
        <f aca="false">IF(Lang="Français","Résultats",IF(Lang="English","Results",""))</f>
        <v>Résultats</v>
      </c>
      <c r="I26" s="71"/>
      <c r="J26" s="70" t="s">
        <v>20</v>
      </c>
      <c r="K26" s="72"/>
      <c r="L26" s="66"/>
      <c r="M26" s="66"/>
      <c r="N26" s="66"/>
      <c r="O26" s="11"/>
      <c r="P26" s="11"/>
      <c r="Q26" s="25"/>
      <c r="R26" s="66"/>
      <c r="S26" s="67" t="str">
        <f aca="false">IF(AND(Vsortie_de_rampe&lt;18, OR(LEFT(Type_fusee,1)=",",LEFT(Type_fusee,4)="Mini",LEFT(Type_fusee,1)="R")),IF(Lang="Français","Fusée trop lourde ou rampe trop courte !","Rocket too heavy or launch pad too small!"),"")</f>
        <v/>
      </c>
    </row>
    <row r="27" customFormat="false" ht="12.75" hidden="false" customHeight="true" outlineLevel="0" collapsed="false">
      <c r="A27" s="12"/>
      <c r="B27" s="73" t="str">
        <f aca="false">IF(Lang="Français"," Emplanture  'm'",IF(Lang="English"," Root edge  'm'",""))</f>
        <v> Emplanture  'm'</v>
      </c>
      <c r="C27" s="74" t="n">
        <v>190</v>
      </c>
      <c r="D27" s="74" t="n">
        <v>58</v>
      </c>
      <c r="E27" s="75" t="n">
        <f aca="false">m_ail</f>
        <v>190</v>
      </c>
      <c r="F27" s="76" t="s">
        <v>21</v>
      </c>
      <c r="G27" s="77" t="n">
        <f aca="false">IF(RIGHT(Type_fusee,1)=".",10, IF(OR(LEFT(Type_fusee,1)="R",LEFT(Type_fusee,1)=",",LEFT(Type_fusee,4)="Mini"),10, IF(LEFT(Type_fusee,5)="Micro",10, IF(RIGHT(Type_fusee,1)=" ",1))))</f>
        <v>10</v>
      </c>
      <c r="H27" s="78" t="n">
        <f aca="false">Long_tot/D_ref</f>
        <v>13.8333333333333</v>
      </c>
      <c r="I27" s="78"/>
      <c r="J27" s="77" t="n">
        <f aca="false">IF(RIGHT(Type_fusee,1)=".",35, IF(OR(LEFT(Type_fusee,1)="R",LEFT(Type_fusee,1)=",",LEFT(Type_fusee,4)="Mini"),20, IF(LEFT(Type_fusee,5)="Micro",30, IF(RIGHT(Type_fusee,1)=" ",100))))</f>
        <v>35</v>
      </c>
      <c r="K27" s="72"/>
      <c r="L27" s="66"/>
      <c r="M27" s="66"/>
      <c r="N27" s="66"/>
      <c r="O27" s="11"/>
      <c r="P27" s="11"/>
      <c r="Q27" s="25"/>
      <c r="R27" s="66"/>
      <c r="S27" s="67" t="e">
        <f aca="false">IF(Finesse&lt;critfinessemin, IF(Lang="Français","Fusée trop courte !","Rocket too short!"), "" ) &amp; IF(Finesse&gt;critfinessemax, IF(Lang="Français","Fusée trop longue !","Rocket too long!"), "" )</f>
        <v>#NAME?</v>
      </c>
    </row>
    <row r="28" customFormat="false" ht="12.75" hidden="false" customHeight="true" outlineLevel="0" collapsed="false">
      <c r="A28" s="12"/>
      <c r="B28" s="73" t="str">
        <f aca="false">IF(Lang="Français"," Saumon       'n'",IF(Lang="English"," Tip edge    'n'",""))</f>
        <v> Saumon       'n'</v>
      </c>
      <c r="C28" s="28" t="n">
        <v>87</v>
      </c>
      <c r="D28" s="28" t="n">
        <v>25.8</v>
      </c>
      <c r="E28" s="75" t="e">
        <f aca="false">n_ail+(m_ail-n_ail)*(1-e_int/E_ail)</f>
        <v>#NAME?</v>
      </c>
      <c r="F28" s="76" t="str">
        <f aca="false">IF(Lang="Français","Portance","Lift")</f>
        <v>Portance</v>
      </c>
      <c r="G28" s="77" t="n">
        <f aca="false">IF(RIGHT(Type_fusee,1)=".",15,IF(OR(LEFT(Type_fusee,1)="R",LEFT(Type_fusee,1)=",",LEFT(Type_fusee,4)="Mini"),15, IF(LEFT(Type_fusee,5)="Micro",15, IF(RIGHT(Type_fusee,1)=" ",15))))</f>
        <v>15</v>
      </c>
      <c r="H28" s="79" t="n">
        <f aca="false">cnai+cnc+cno+cnj+cnr</f>
        <v>21.4975242818324</v>
      </c>
      <c r="I28" s="79" t="n">
        <f aca="false">cnail+cnc+cno+cnj+cnr</f>
        <v>21.4975242818324</v>
      </c>
      <c r="J28" s="77" t="n">
        <f aca="false">IF(RIGHT(Type_fusee,1)=".",40, IF(OR(LEFT(Type_fusee,1)="R",LEFT(Type_fusee,1)=",",LEFT(Type_fusee,4)="Mini"),30, IF(LEFT(Type_fusee,5)="Micro",30, IF(RIGHT(Type_fusee,1)=" ",30))))</f>
        <v>40</v>
      </c>
      <c r="K28" s="72"/>
      <c r="L28" s="66"/>
      <c r="M28" s="66"/>
      <c r="N28" s="66"/>
      <c r="O28" s="11"/>
      <c r="P28" s="11"/>
      <c r="Q28" s="25"/>
      <c r="R28" s="66"/>
      <c r="S28" s="67" t="e">
        <f aca="false">IF(Cn&lt;critcnmin, IF(Lang="Français","Ailerons trop petits !","Fins too small!"), "" ) &amp; IF(Cn&gt;critcnmax, IF(Lang="Français","Ailerons trop grands !","Fins too big!"), "" )</f>
        <v>#NAME?</v>
      </c>
    </row>
    <row r="29" customFormat="false" ht="12.75" hidden="false" customHeight="true" outlineLevel="0" collapsed="false">
      <c r="A29" s="12"/>
      <c r="B29" s="73" t="str">
        <f aca="false">IF(Lang="Français"," Flèche          'p'"," Offset         'p'")</f>
        <v> Flèche          'p'</v>
      </c>
      <c r="C29" s="28" t="n">
        <v>165</v>
      </c>
      <c r="D29" s="28" t="n">
        <v>32.5</v>
      </c>
      <c r="E29" s="75" t="e">
        <f aca="false">p_ail*e_int/E_ail</f>
        <v>#NAME?</v>
      </c>
      <c r="F29" s="80" t="str">
        <f aca="false">IF(Lang="Français","MargeStat.","StatMargin")</f>
        <v>MargeStat.</v>
      </c>
      <c r="G29" s="81" t="n">
        <f aca="false">IF(RIGHT(Type_fusee,1)=".",2, IF(OR(LEFT(Type_fusee,1)="R",LEFT(Type_fusee,1)=",",LEFT(Type_fusee,4)="Mini"),1.5, IF(LEFT(Type_fusee,5)="Micro",1, IF(RIGHT(Type_fusee,1)=" ",1))))</f>
        <v>2</v>
      </c>
      <c r="H29" s="82" t="e">
        <f aca="false">(xcp-XcgPlein)/D_ref</f>
        <v>#NAME?</v>
      </c>
      <c r="I29" s="83" t="n">
        <f aca="false">(XCp0-XcgVide)/D_ref</f>
        <v>1.45397797113045</v>
      </c>
      <c r="J29" s="81" t="n">
        <f aca="false">IF(RIGHT(Type_fusee,1)=".",6, IF(OR(LEFT(Type_fusee,1)="R",LEFT(Type_fusee,1)=",",LEFT(Type_fusee,4)="Mini"),6, IF(LEFT(Type_fusee,5)="Micro",3, IF(RIGHT(Type_fusee,1)=" ",3))))</f>
        <v>6</v>
      </c>
      <c r="K29" s="72"/>
      <c r="L29" s="11"/>
      <c r="M29" s="11"/>
      <c r="N29" s="11"/>
      <c r="O29" s="11"/>
      <c r="P29" s="11"/>
      <c r="Q29" s="25"/>
      <c r="R29" s="66"/>
      <c r="S29" s="67" t="e">
        <f aca="false">IF(MS_min&lt;critmsmin, IF(Lang="Français","Abaisser les ailerons ou rehausser le CdM !","Lower the fins or move up the center of mass!"), "" ) &amp; IF(MS_max&gt;critmsmax, IF(Lang="Français","Rehausser les ailerons ou abaisser le CdM !","Move up the fins or lower the center of mass!"), "" )</f>
        <v>#NAME?</v>
      </c>
    </row>
    <row r="30" customFormat="false" ht="12.75" hidden="false" customHeight="true" outlineLevel="0" collapsed="false">
      <c r="A30" s="12"/>
      <c r="B30" s="73" t="str">
        <f aca="false">IF(Lang="Français"," Envergure     'E'",IF(Lang="English"," Span          'E'",""))</f>
        <v> Envergure     'E'</v>
      </c>
      <c r="C30" s="28" t="n">
        <v>165</v>
      </c>
      <c r="D30" s="28" t="n">
        <v>50</v>
      </c>
      <c r="E30" s="75" t="e">
        <f aca="false">IF(d_can/2+E_can&lt;=D_ail/2,0, IF(d_can/2+E_can&gt;=D_ail/2+E_ail,E_ail,  d_can/2+E_can - D_ail/2  ) )</f>
        <v>#NAME?</v>
      </c>
      <c r="F30" s="84" t="str">
        <f aca="false">IF(Lang="Français","Couple","Torque")</f>
        <v>Couple</v>
      </c>
      <c r="G30" s="85" t="n">
        <f aca="false">IF(RIGHT(Type_fusee,1)=".",40, IF(OR(LEFT(Type_fusee,1)="R",LEFT(Type_fusee,1)=",",LEFT(Type_fusee,4)="Mini"),30, IF(LEFT(Type_fusee,5)="Micro",15, IF(RIGHT(Type_fusee,1)=" ",15))))</f>
        <v>40</v>
      </c>
      <c r="H30" s="78" t="e">
        <f aca="false">MS_min*Cn</f>
        <v>#NAME?</v>
      </c>
      <c r="I30" s="86" t="n">
        <f aca="false">MS_max*Cn0</f>
        <v>31.2569267396262</v>
      </c>
      <c r="J30" s="85" t="n">
        <f aca="false">IF(RIGHT(Type_fusee,1)=".",100, IF(OR(LEFT(Type_fusee,1)="R",LEFT(Type_fusee,1)=",",LEFT(Type_fusee,4)="Mini"),100, IF(LEFT(Type_fusee,5)="Micro",100, IF(RIGHT(Type_fusee,1)=" ",90))))</f>
        <v>100</v>
      </c>
      <c r="K30" s="72"/>
      <c r="L30" s="11"/>
      <c r="M30" s="11"/>
      <c r="N30" s="11"/>
      <c r="O30" s="11"/>
      <c r="P30" s="11"/>
      <c r="Q30" s="25"/>
      <c r="R30" s="66"/>
      <c r="S30" s="67" t="e">
        <f aca="false">IF(MS_Cn_min&lt;critmscnmin, IF(Lang="Français","Ailerons trop petits ou trop haut /CdM !","Fins too small or too high /CoM!"), "" ) &amp; IF(MS_Cn_max&gt;critmscnmax, IF(Lang="Français","Ailerons trop grands ou trop bas  /CdM !","Fins too big or too low / CoM!"), "" )</f>
        <v>#NAME?</v>
      </c>
    </row>
    <row r="31" customFormat="false" ht="12.75" hidden="false" customHeight="true" outlineLevel="0" collapsed="false">
      <c r="A31" s="12"/>
      <c r="B31" s="87" t="str">
        <f aca="false">IF(Lang="Français"," Epaisseur     'ep'",IF(Lang="English"," Thickness  'ep'",""))</f>
        <v> Epaisseur     'ep'</v>
      </c>
      <c r="C31" s="28" t="n">
        <v>2</v>
      </c>
      <c r="D31" s="28" t="n">
        <v>2</v>
      </c>
      <c r="E31" s="75" t="n">
        <f aca="false">ep_ail</f>
        <v>2</v>
      </c>
      <c r="F31" s="88" t="s">
        <v>14</v>
      </c>
      <c r="G31" s="77"/>
      <c r="H31" s="89" t="n">
        <f aca="false">(cnai*xcpai+cnc*xcpc+cnj*xcpj+cnr*xcpr+cno*xcpo)/(cnai+cnc+cnr+cnj+cno)</f>
        <v>881.788009829229</v>
      </c>
      <c r="I31" s="89" t="n">
        <f aca="false">(cnail*xcpa+cnc*xcpc+cnj*xcpj+cnr*xcpr+cno*xcpo)/(cnail+cnc+cnr+cnj+cno)</f>
        <v>881.788009829229</v>
      </c>
      <c r="J31" s="90"/>
      <c r="K31" s="72"/>
      <c r="L31" s="11"/>
      <c r="M31" s="11"/>
      <c r="N31" s="11"/>
      <c r="O31" s="11"/>
      <c r="P31" s="11"/>
      <c r="Q31" s="25"/>
      <c r="R31" s="66"/>
      <c r="S31" s="67"/>
    </row>
    <row r="32" customFormat="false" ht="12.75" hidden="false" customHeight="true" outlineLevel="0" collapsed="false">
      <c r="A32" s="12"/>
      <c r="B32" s="73" t="str">
        <f aca="false">IF(Lang="Français"," Nombre            ",IF(Lang="English"," Number of fins",""))</f>
        <v> Nombre            </v>
      </c>
      <c r="C32" s="91" t="n">
        <v>3</v>
      </c>
      <c r="D32" s="91" t="n">
        <v>3</v>
      </c>
      <c r="E32" s="75" t="n">
        <f aca="false">IF(Q_ail=Q_can,Q_ail,FALSE())</f>
        <v>3</v>
      </c>
      <c r="F32" s="88" t="s">
        <v>22</v>
      </c>
      <c r="G32" s="77"/>
      <c r="H32" s="92" t="e">
        <f aca="false">(xcp-XcgPlein)/Long_tot*100</f>
        <v>#NAME?</v>
      </c>
      <c r="I32" s="93" t="e">
        <f aca="false">(xcp-XcgVide)/Long_tot*100</f>
        <v>#NAME?</v>
      </c>
      <c r="J32" s="90"/>
      <c r="K32" s="72"/>
      <c r="L32" s="11"/>
      <c r="M32" s="11"/>
      <c r="N32" s="11"/>
      <c r="O32" s="11"/>
      <c r="P32" s="11"/>
      <c r="Q32" s="25"/>
      <c r="R32" s="66"/>
    </row>
    <row r="33" customFormat="false" ht="12.75" hidden="false" customHeight="true" outlineLevel="0" collapsed="false">
      <c r="A33" s="12"/>
      <c r="B33" s="73" t="str">
        <f aca="false">IF(Lang="Français"," Position du bas",IF(Lang="English"," Basement",""))</f>
        <v> Position du bas</v>
      </c>
      <c r="C33" s="28" t="n">
        <f aca="false">Long_tot</f>
        <v>1660</v>
      </c>
      <c r="D33" s="28" t="n">
        <v>839</v>
      </c>
      <c r="E33" s="75" t="n">
        <f aca="false">X_ail</f>
        <v>1660</v>
      </c>
      <c r="F33" s="15"/>
      <c r="G33" s="11"/>
      <c r="H33" s="94" t="e">
        <f aca="false">IF(AND(critcnmin&lt;Cn,Cn0&lt;critcnmax,critmsmin&lt;MS_min,MS_max&lt;critmsmax,critmscnmin&lt;MS_Cn_min,MS_Cn_max&lt;critmscnmax),"STABLE",IF(OR(Cn&lt;critcnmin,MS_min&lt;critmsmin,MS_Cn_min&lt;critmscnmin),"INSTABLE",IF(Lang="Français","SURSTABLE","OVERSTABLE")))</f>
        <v>#NAME?</v>
      </c>
      <c r="I33" s="94"/>
      <c r="J33" s="29"/>
      <c r="K33" s="72"/>
      <c r="L33" s="11"/>
      <c r="M33" s="11"/>
      <c r="N33" s="11"/>
      <c r="O33" s="11"/>
      <c r="P33" s="11"/>
      <c r="Q33" s="25"/>
      <c r="R33" s="66"/>
    </row>
    <row r="34" customFormat="false" ht="12.75" hidden="false" customHeight="true" outlineLevel="0" collapsed="false">
      <c r="A34" s="12"/>
      <c r="B34" s="73" t="str">
        <f aca="false">IF(Lang="Français"," Diamètre         ",IF(Lang="English"," Diameter at Fins",""))</f>
        <v> Diamètre         </v>
      </c>
      <c r="C34" s="28" t="n">
        <f aca="false">D_ref</f>
        <v>120</v>
      </c>
      <c r="D34" s="28" t="n">
        <f aca="false">D_ref</f>
        <v>120</v>
      </c>
      <c r="E34" s="75" t="n">
        <f aca="false">D_ail</f>
        <v>120</v>
      </c>
      <c r="F34" s="15"/>
      <c r="G34" s="11"/>
      <c r="H34" s="94"/>
      <c r="I34" s="94"/>
      <c r="J34" s="11"/>
      <c r="K34" s="72"/>
      <c r="L34" s="11"/>
      <c r="M34" s="11"/>
      <c r="N34" s="11"/>
      <c r="O34" s="11"/>
      <c r="P34" s="11"/>
      <c r="Q34" s="25"/>
      <c r="R34" s="66"/>
    </row>
    <row r="35" customFormat="false" ht="12.75" hidden="false" customHeight="true" outlineLevel="0" collapsed="false">
      <c r="A35" s="12"/>
      <c r="B35" s="73" t="str">
        <f aca="false">IF(Lang="Français"," Ligne mi-corde f",IF(Lang="English"," Mid-chord line f",""))</f>
        <v> Ligne mi-corde f</v>
      </c>
      <c r="C35" s="95" t="n">
        <f aca="false">SQRT(POWER(p_ail+n_ail/2-m_ail/2,2)+POWER(E_ail,2))</f>
        <v>200.267945513005</v>
      </c>
      <c r="D35" s="95" t="n">
        <f aca="false">SQRT(POWER(p_can+n_can/2-m_can/2,2)+POWER(E_can,2))</f>
        <v>52.6209083920071</v>
      </c>
      <c r="E35" s="75" t="n">
        <f aca="false">SQRT(POWER(p_int+n_int/2-m_int/2,2)+POWER(e_int,2))</f>
        <v>65.5729848738861</v>
      </c>
      <c r="F35" s="15"/>
      <c r="G35" s="15"/>
      <c r="H35" s="15"/>
      <c r="I35" s="15"/>
      <c r="J35" s="11"/>
      <c r="K35" s="72"/>
      <c r="L35" s="11"/>
      <c r="M35" s="11"/>
      <c r="N35" s="11"/>
      <c r="O35" s="11"/>
      <c r="P35" s="11"/>
      <c r="Q35" s="25"/>
      <c r="R35" s="66"/>
      <c r="W35" s="1" t="str">
        <f aca="false">RIGHT(Type_fusee,1="R")</f>
        <v/>
      </c>
    </row>
    <row r="36" customFormat="false" ht="12.75" hidden="false" customHeight="true" outlineLevel="0" collapsed="false">
      <c r="A36" s="96"/>
      <c r="B36" s="97" t="str">
        <f aca="false">IF(Lang="Français","Commentaire libre :",IF(Lang="English","Free comment:",""))</f>
        <v>Commentaire libre :</v>
      </c>
      <c r="C36" s="98"/>
      <c r="D36" s="99"/>
      <c r="E36" s="100"/>
      <c r="F36" s="101"/>
      <c r="G36" s="101"/>
      <c r="H36" s="101"/>
      <c r="I36" s="101"/>
      <c r="J36" s="99"/>
      <c r="K36" s="99"/>
      <c r="L36" s="102" t="s">
        <v>23</v>
      </c>
      <c r="M36" s="103" t="str">
        <f aca="false">IF(ROUND(SUM(Propu!5:1228),0)=395253,"propu OK","propu NOK")</f>
        <v>propu OK</v>
      </c>
      <c r="N36" s="104" t="str">
        <f aca="false">IF(Lang="Français","fichier initial","Initial file")</f>
        <v>fichier initial</v>
      </c>
      <c r="O36" s="103"/>
      <c r="P36" s="105"/>
      <c r="Q36" s="106" t="s">
        <v>24</v>
      </c>
      <c r="R36" s="66"/>
    </row>
    <row r="37" customFormat="false" ht="12.75" hidden="false" customHeight="true" outlineLevel="0" collapsed="false">
      <c r="R37" s="107"/>
    </row>
    <row r="38" customFormat="false" ht="12.75" hidden="false" customHeight="false" outlineLevel="0" collapsed="false">
      <c r="L38" s="108" t="str">
        <f aca="false">IF(Lang="Français","Maintenant que votre fusée est stable, vérifiez sa trajectoire via la feuille","Now your rocket is stable, check its trajectory on sheet")</f>
        <v>Maintenant que votre fusée est stable, vérifiez sa trajectoire via la feuille</v>
      </c>
      <c r="M38" s="109" t="s">
        <v>25</v>
      </c>
    </row>
    <row r="39" customFormat="false" ht="12.75" hidden="false" customHeight="false" outlineLevel="0" collapsed="false">
      <c r="H39" s="110"/>
      <c r="O39" s="4"/>
      <c r="P39" s="4"/>
    </row>
    <row r="40" customFormat="false" ht="12.75" hidden="false" customHeight="false" outlineLevel="0" collapsed="false">
      <c r="F40" s="1"/>
      <c r="H40" s="107"/>
      <c r="I40" s="111"/>
      <c r="J40" s="107"/>
      <c r="N40" s="107"/>
      <c r="Q40" s="107"/>
      <c r="S40" s="112"/>
    </row>
    <row r="41" customFormat="false" ht="12.75" hidden="false" customHeight="false" outlineLevel="0" collapsed="false">
      <c r="F41" s="1"/>
      <c r="G41" s="113"/>
      <c r="H41" s="114"/>
      <c r="I41" s="111"/>
      <c r="J41" s="107"/>
      <c r="N41" s="107"/>
      <c r="Q41" s="107"/>
      <c r="R41" s="107"/>
    </row>
    <row r="42" customFormat="false" ht="12.75" hidden="false" customHeight="false" outlineLevel="0" collapsed="false">
      <c r="F42" s="1"/>
      <c r="H42" s="107"/>
      <c r="I42" s="111"/>
      <c r="J42" s="107"/>
      <c r="N42" s="107"/>
      <c r="Q42" s="107"/>
      <c r="R42" s="107"/>
    </row>
    <row r="43" customFormat="false" ht="12.75" hidden="false" customHeight="false" outlineLevel="0" collapsed="false">
      <c r="F43" s="1"/>
      <c r="H43" s="107"/>
      <c r="I43" s="111"/>
      <c r="J43" s="107"/>
      <c r="N43" s="107"/>
      <c r="Q43" s="107"/>
      <c r="R43" s="107"/>
    </row>
    <row r="44" customFormat="false" ht="12.75" hidden="false" customHeight="false" outlineLevel="0" collapsed="false">
      <c r="F44" s="1"/>
      <c r="H44" s="107"/>
      <c r="I44" s="111"/>
      <c r="J44" s="107"/>
      <c r="N44" s="107"/>
      <c r="O44" s="11"/>
      <c r="P44" s="11"/>
      <c r="Q44" s="107"/>
      <c r="R44" s="107"/>
    </row>
    <row r="45" customFormat="false" ht="12.75" hidden="false" customHeight="false" outlineLevel="0" collapsed="false">
      <c r="F45" s="1"/>
      <c r="H45" s="107"/>
      <c r="I45" s="111"/>
      <c r="J45" s="107"/>
      <c r="N45" s="107"/>
      <c r="O45" s="11"/>
      <c r="P45" s="11"/>
      <c r="Q45" s="107"/>
      <c r="R45" s="107"/>
    </row>
    <row r="46" customFormat="false" ht="12.75" hidden="false" customHeight="false" outlineLevel="0" collapsed="false">
      <c r="F46" s="1"/>
      <c r="H46" s="107"/>
      <c r="I46" s="111"/>
      <c r="J46" s="107"/>
      <c r="L46" s="107"/>
      <c r="M46" s="107"/>
      <c r="N46" s="107"/>
      <c r="O46" s="11"/>
      <c r="P46" s="11"/>
      <c r="Q46" s="107"/>
      <c r="R46" s="107"/>
    </row>
    <row r="47" customFormat="false" ht="12.75" hidden="false" customHeight="false" outlineLevel="0" collapsed="false">
      <c r="F47" s="1"/>
      <c r="H47" s="107"/>
      <c r="I47" s="111"/>
      <c r="J47" s="107"/>
      <c r="L47" s="107"/>
      <c r="M47" s="107"/>
      <c r="N47" s="107"/>
      <c r="O47" s="11"/>
      <c r="P47" s="11"/>
      <c r="Q47" s="107"/>
      <c r="R47" s="107"/>
    </row>
    <row r="48" customFormat="false" ht="12.75" hidden="false" customHeight="false" outlineLevel="0" collapsed="false">
      <c r="F48" s="1"/>
      <c r="H48" s="107"/>
      <c r="I48" s="111"/>
      <c r="J48" s="107"/>
      <c r="L48" s="107"/>
      <c r="M48" s="107"/>
      <c r="N48" s="107"/>
      <c r="O48" s="11"/>
      <c r="P48" s="11"/>
      <c r="Q48" s="107"/>
      <c r="R48" s="107"/>
    </row>
    <row r="49" customFormat="false" ht="12.75" hidden="false" customHeight="false" outlineLevel="0" collapsed="false">
      <c r="F49" s="1"/>
      <c r="H49" s="107"/>
      <c r="I49" s="111"/>
      <c r="J49" s="107"/>
      <c r="L49" s="107"/>
      <c r="M49" s="107"/>
      <c r="N49" s="107"/>
      <c r="O49" s="11"/>
      <c r="P49" s="11"/>
      <c r="Q49" s="107"/>
      <c r="R49" s="107"/>
    </row>
    <row r="50" customFormat="false" ht="12.75" hidden="false" customHeight="false" outlineLevel="0" collapsed="false">
      <c r="F50" s="1"/>
      <c r="H50" s="107"/>
      <c r="I50" s="111"/>
      <c r="J50" s="107"/>
      <c r="L50" s="107"/>
      <c r="M50" s="107"/>
      <c r="N50" s="107"/>
      <c r="O50" s="11"/>
      <c r="P50" s="11"/>
      <c r="Q50" s="107"/>
      <c r="R50" s="107"/>
    </row>
    <row r="51" customFormat="false" ht="12.75" hidden="false" customHeight="false" outlineLevel="0" collapsed="false">
      <c r="F51" s="1"/>
      <c r="H51" s="107"/>
      <c r="I51" s="111"/>
      <c r="J51" s="107"/>
      <c r="L51" s="107"/>
      <c r="M51" s="107"/>
      <c r="N51" s="107"/>
      <c r="O51" s="11"/>
      <c r="P51" s="11"/>
      <c r="Q51" s="107"/>
      <c r="R51" s="107"/>
    </row>
    <row r="52" customFormat="false" ht="12.75" hidden="false" customHeight="false" outlineLevel="0" collapsed="false">
      <c r="H52" s="107"/>
      <c r="I52" s="111"/>
      <c r="J52" s="107"/>
      <c r="L52" s="107"/>
      <c r="M52" s="107"/>
      <c r="N52" s="107"/>
      <c r="O52" s="11"/>
      <c r="P52" s="11"/>
      <c r="Q52" s="107"/>
      <c r="R52" s="107"/>
    </row>
    <row r="53" customFormat="false" ht="12.75" hidden="false" customHeight="false" outlineLevel="0" collapsed="false">
      <c r="H53" s="107"/>
      <c r="I53" s="111"/>
      <c r="J53" s="107"/>
      <c r="L53" s="107"/>
      <c r="M53" s="107"/>
      <c r="N53" s="107"/>
      <c r="Q53" s="107"/>
      <c r="R53" s="107"/>
    </row>
    <row r="54" customFormat="false" ht="12.75" hidden="false" customHeight="false" outlineLevel="0" collapsed="false">
      <c r="H54" s="107"/>
      <c r="I54" s="111"/>
      <c r="J54" s="107"/>
      <c r="L54" s="107"/>
      <c r="M54" s="107"/>
      <c r="N54" s="107"/>
      <c r="Q54" s="107"/>
      <c r="R54" s="107"/>
    </row>
    <row r="55" customFormat="false" ht="12.75" hidden="false" customHeight="false" outlineLevel="0" collapsed="false">
      <c r="H55" s="107"/>
      <c r="I55" s="111"/>
      <c r="J55" s="107"/>
      <c r="L55" s="107"/>
      <c r="M55" s="107"/>
      <c r="N55" s="107"/>
      <c r="Q55" s="107"/>
      <c r="R55" s="107"/>
    </row>
    <row r="56" customFormat="false" ht="12.75" hidden="false" customHeight="false" outlineLevel="0" collapsed="false">
      <c r="C56" s="1"/>
      <c r="H56" s="107"/>
      <c r="I56" s="111"/>
      <c r="J56" s="107"/>
      <c r="L56" s="107"/>
      <c r="M56" s="107"/>
      <c r="N56" s="107"/>
      <c r="Q56" s="107"/>
      <c r="R56" s="107"/>
    </row>
    <row r="57" customFormat="false" ht="12.75" hidden="false" customHeight="false" outlineLevel="0" collapsed="false">
      <c r="H57" s="107"/>
      <c r="I57" s="111"/>
      <c r="J57" s="107"/>
      <c r="L57" s="107"/>
      <c r="M57" s="107"/>
      <c r="N57" s="107"/>
      <c r="Q57" s="107"/>
      <c r="R57" s="107"/>
    </row>
    <row r="58" customFormat="false" ht="12.75" hidden="false" customHeight="false" outlineLevel="0" collapsed="false">
      <c r="B58" s="2"/>
      <c r="H58" s="107"/>
      <c r="I58" s="111"/>
      <c r="J58" s="107"/>
      <c r="L58" s="107"/>
      <c r="M58" s="107"/>
      <c r="N58" s="107"/>
      <c r="Q58" s="107"/>
      <c r="R58" s="107"/>
    </row>
    <row r="59" customFormat="false" ht="12.75" hidden="false" customHeight="false" outlineLevel="0" collapsed="false">
      <c r="B59" s="2"/>
      <c r="H59" s="107"/>
      <c r="I59" s="111"/>
      <c r="J59" s="107"/>
      <c r="L59" s="107"/>
      <c r="M59" s="107"/>
      <c r="N59" s="107"/>
      <c r="Q59" s="107"/>
      <c r="R59" s="107"/>
    </row>
    <row r="60" customFormat="false" ht="12.75" hidden="false" customHeight="false" outlineLevel="0" collapsed="false">
      <c r="B60" s="2"/>
      <c r="H60" s="107"/>
      <c r="I60" s="111"/>
      <c r="J60" s="107"/>
      <c r="L60" s="107"/>
      <c r="M60" s="107"/>
      <c r="N60" s="107"/>
      <c r="Q60" s="107"/>
      <c r="R60" s="107"/>
    </row>
    <row r="61" customFormat="false" ht="12.75" hidden="false" customHeight="false" outlineLevel="0" collapsed="false">
      <c r="B61" s="2"/>
      <c r="H61" s="107"/>
      <c r="I61" s="111"/>
      <c r="J61" s="107"/>
      <c r="L61" s="107"/>
      <c r="M61" s="107"/>
      <c r="N61" s="107"/>
      <c r="Q61" s="107"/>
      <c r="R61" s="107"/>
    </row>
    <row r="62" customFormat="false" ht="12.75" hidden="false" customHeight="false" outlineLevel="0" collapsed="false">
      <c r="B62" s="2"/>
      <c r="H62" s="107"/>
      <c r="I62" s="111"/>
      <c r="J62" s="107"/>
      <c r="L62" s="107"/>
      <c r="M62" s="107"/>
      <c r="N62" s="107"/>
      <c r="Q62" s="107"/>
      <c r="R62" s="107"/>
    </row>
    <row r="63" customFormat="false" ht="12.75" hidden="false" customHeight="false" outlineLevel="0" collapsed="false">
      <c r="B63" s="2"/>
      <c r="H63" s="107"/>
      <c r="I63" s="111"/>
      <c r="J63" s="107"/>
      <c r="L63" s="107"/>
      <c r="M63" s="107"/>
      <c r="N63" s="107"/>
      <c r="Q63" s="107"/>
      <c r="R63" s="107"/>
    </row>
    <row r="64" customFormat="false" ht="12.75" hidden="false" customHeight="false" outlineLevel="0" collapsed="false">
      <c r="B64" s="2"/>
      <c r="H64" s="107"/>
      <c r="I64" s="111"/>
      <c r="J64" s="107"/>
      <c r="L64" s="107"/>
      <c r="M64" s="107"/>
      <c r="N64" s="107"/>
      <c r="Q64" s="107"/>
      <c r="R64" s="107"/>
    </row>
    <row r="65" customFormat="false" ht="12.75" hidden="false" customHeight="false" outlineLevel="0" collapsed="false">
      <c r="B65" s="2"/>
      <c r="H65" s="107"/>
      <c r="I65" s="111"/>
      <c r="J65" s="107"/>
      <c r="L65" s="107"/>
      <c r="M65" s="107"/>
      <c r="N65" s="107"/>
      <c r="Q65" s="107"/>
      <c r="R65" s="107"/>
    </row>
    <row r="66" customFormat="false" ht="12.75" hidden="false" customHeight="false" outlineLevel="0" collapsed="false">
      <c r="B66" s="2"/>
      <c r="H66" s="107"/>
      <c r="I66" s="111"/>
      <c r="J66" s="107"/>
      <c r="L66" s="107"/>
      <c r="M66" s="107"/>
      <c r="N66" s="107"/>
      <c r="Q66" s="107"/>
      <c r="R66" s="107"/>
    </row>
    <row r="67" customFormat="false" ht="12.75" hidden="false" customHeight="false" outlineLevel="0" collapsed="false">
      <c r="C67" s="1"/>
      <c r="H67" s="107"/>
      <c r="I67" s="111"/>
      <c r="J67" s="107"/>
      <c r="L67" s="107"/>
      <c r="M67" s="107"/>
      <c r="N67" s="107"/>
      <c r="Q67" s="107"/>
      <c r="R67" s="107"/>
    </row>
    <row r="68" customFormat="false" ht="12.75" hidden="false" customHeight="false" outlineLevel="0" collapsed="false">
      <c r="C68" s="1"/>
      <c r="H68" s="107"/>
      <c r="I68" s="111"/>
      <c r="J68" s="107"/>
      <c r="L68" s="107"/>
      <c r="M68" s="107"/>
      <c r="N68" s="107"/>
      <c r="Q68" s="107"/>
      <c r="R68" s="107"/>
    </row>
    <row r="69" customFormat="false" ht="12.75" hidden="false" customHeight="false" outlineLevel="0" collapsed="false">
      <c r="C69" s="1"/>
      <c r="H69" s="107"/>
      <c r="I69" s="111"/>
      <c r="J69" s="107"/>
      <c r="L69" s="107"/>
      <c r="M69" s="107"/>
      <c r="N69" s="107"/>
      <c r="Q69" s="107"/>
      <c r="R69" s="107"/>
    </row>
    <row r="70" customFormat="false" ht="12.75" hidden="false" customHeight="false" outlineLevel="0" collapsed="false">
      <c r="C70" s="1"/>
      <c r="H70" s="107"/>
      <c r="I70" s="111"/>
      <c r="J70" s="107"/>
      <c r="L70" s="107"/>
      <c r="M70" s="107"/>
      <c r="N70" s="107"/>
      <c r="Q70" s="107"/>
      <c r="R70" s="107"/>
    </row>
    <row r="71" customFormat="false" ht="12.75" hidden="false" customHeight="false" outlineLevel="0" collapsed="false">
      <c r="C71" s="1"/>
      <c r="H71" s="107"/>
      <c r="I71" s="111"/>
      <c r="J71" s="107"/>
      <c r="L71" s="107"/>
      <c r="M71" s="107"/>
      <c r="N71" s="107"/>
      <c r="Q71" s="107"/>
      <c r="R71" s="107"/>
    </row>
    <row r="72" customFormat="false" ht="12.75" hidden="false" customHeight="false" outlineLevel="0" collapsed="false">
      <c r="C72" s="1"/>
      <c r="H72" s="107"/>
      <c r="I72" s="111"/>
      <c r="J72" s="107"/>
      <c r="L72" s="107"/>
      <c r="M72" s="107"/>
      <c r="N72" s="107"/>
      <c r="Q72" s="107"/>
      <c r="R72" s="107"/>
    </row>
    <row r="73" customFormat="false" ht="12.75" hidden="false" customHeight="false" outlineLevel="0" collapsed="false">
      <c r="C73" s="1"/>
      <c r="H73" s="107"/>
      <c r="I73" s="111"/>
      <c r="J73" s="107"/>
      <c r="L73" s="107"/>
      <c r="M73" s="107"/>
      <c r="N73" s="107"/>
      <c r="Q73" s="107"/>
      <c r="R73" s="107"/>
    </row>
    <row r="74" customFormat="false" ht="12.75" hidden="false" customHeight="false" outlineLevel="0" collapsed="false">
      <c r="C74" s="1"/>
      <c r="H74" s="107"/>
      <c r="I74" s="111"/>
      <c r="J74" s="107"/>
      <c r="L74" s="107"/>
      <c r="M74" s="107"/>
      <c r="N74" s="107"/>
      <c r="Q74" s="107"/>
      <c r="R74" s="107"/>
    </row>
    <row r="75" customFormat="false" ht="12.75" hidden="false" customHeight="false" outlineLevel="0" collapsed="false">
      <c r="C75" s="1"/>
      <c r="H75" s="107"/>
      <c r="I75" s="111"/>
      <c r="J75" s="107"/>
      <c r="L75" s="107"/>
      <c r="M75" s="107"/>
      <c r="N75" s="107"/>
      <c r="Q75" s="107"/>
      <c r="R75" s="107"/>
    </row>
    <row r="76" customFormat="false" ht="12.75" hidden="false" customHeight="false" outlineLevel="0" collapsed="false">
      <c r="C76" s="1"/>
      <c r="H76" s="107"/>
      <c r="I76" s="111"/>
      <c r="J76" s="107"/>
      <c r="L76" s="107"/>
      <c r="M76" s="107"/>
      <c r="N76" s="107"/>
      <c r="Q76" s="107"/>
      <c r="R76" s="107"/>
    </row>
    <row r="77" customFormat="false" ht="12.75" hidden="false" customHeight="false" outlineLevel="0" collapsed="false">
      <c r="C77" s="1"/>
      <c r="H77" s="107"/>
      <c r="I77" s="111"/>
      <c r="J77" s="107"/>
      <c r="L77" s="107"/>
      <c r="M77" s="107"/>
      <c r="N77" s="107"/>
      <c r="Q77" s="107"/>
      <c r="R77" s="107"/>
    </row>
    <row r="78" customFormat="false" ht="12.75" hidden="false" customHeight="false" outlineLevel="0" collapsed="false">
      <c r="C78" s="1"/>
      <c r="H78" s="107"/>
      <c r="I78" s="111"/>
      <c r="J78" s="107"/>
      <c r="L78" s="107"/>
      <c r="M78" s="107"/>
      <c r="N78" s="107"/>
      <c r="Q78" s="107"/>
      <c r="R78" s="107"/>
    </row>
    <row r="79" customFormat="false" ht="12.75" hidden="false" customHeight="false" outlineLevel="0" collapsed="false">
      <c r="C79" s="1"/>
      <c r="H79" s="107"/>
      <c r="I79" s="111"/>
      <c r="J79" s="107"/>
      <c r="L79" s="107"/>
      <c r="M79" s="107"/>
      <c r="N79" s="107"/>
      <c r="Q79" s="107"/>
      <c r="R79" s="107"/>
    </row>
    <row r="80" customFormat="false" ht="12.75" hidden="false" customHeight="false" outlineLevel="0" collapsed="false">
      <c r="C80" s="1"/>
      <c r="H80" s="107"/>
      <c r="I80" s="111"/>
      <c r="J80" s="107"/>
      <c r="L80" s="107"/>
      <c r="M80" s="107"/>
      <c r="N80" s="107"/>
      <c r="Q80" s="107"/>
      <c r="R80" s="107"/>
    </row>
    <row r="81" customFormat="false" ht="12.75" hidden="false" customHeight="false" outlineLevel="0" collapsed="false">
      <c r="C81" s="1"/>
      <c r="H81" s="107"/>
      <c r="I81" s="111"/>
      <c r="J81" s="107"/>
      <c r="L81" s="107"/>
      <c r="M81" s="107"/>
      <c r="N81" s="107"/>
      <c r="Q81" s="107"/>
      <c r="R81" s="107"/>
    </row>
    <row r="82" customFormat="false" ht="12.75" hidden="false" customHeight="false" outlineLevel="0" collapsed="false">
      <c r="C82" s="1"/>
      <c r="H82" s="107"/>
      <c r="I82" s="111"/>
      <c r="J82" s="107"/>
      <c r="L82" s="107"/>
      <c r="M82" s="107"/>
      <c r="N82" s="107"/>
      <c r="Q82" s="107"/>
      <c r="R82" s="107"/>
    </row>
    <row r="83" customFormat="false" ht="12.75" hidden="false" customHeight="false" outlineLevel="0" collapsed="false">
      <c r="C83" s="1"/>
      <c r="H83" s="107"/>
      <c r="I83" s="111"/>
      <c r="J83" s="107"/>
      <c r="L83" s="107"/>
      <c r="M83" s="107"/>
      <c r="N83" s="107"/>
      <c r="Q83" s="107"/>
      <c r="R83" s="107"/>
    </row>
    <row r="84" customFormat="false" ht="12.75" hidden="false" customHeight="false" outlineLevel="0" collapsed="false">
      <c r="C84" s="1"/>
      <c r="H84" s="107"/>
      <c r="I84" s="111"/>
      <c r="J84" s="107"/>
      <c r="L84" s="107"/>
      <c r="M84" s="107"/>
      <c r="N84" s="107"/>
      <c r="Q84" s="107"/>
      <c r="R84" s="107"/>
    </row>
    <row r="85" customFormat="false" ht="12.75" hidden="false" customHeight="false" outlineLevel="0" collapsed="false">
      <c r="C85" s="1"/>
      <c r="H85" s="107"/>
      <c r="I85" s="111"/>
      <c r="J85" s="107"/>
      <c r="L85" s="107"/>
      <c r="M85" s="107"/>
      <c r="N85" s="107"/>
      <c r="Q85" s="107"/>
      <c r="R85" s="107"/>
    </row>
    <row r="86" customFormat="false" ht="12.75" hidden="false" customHeight="false" outlineLevel="0" collapsed="false">
      <c r="C86" s="1"/>
      <c r="H86" s="107"/>
      <c r="I86" s="111"/>
      <c r="J86" s="107"/>
      <c r="L86" s="107"/>
      <c r="M86" s="107"/>
      <c r="N86" s="107"/>
      <c r="Q86" s="107"/>
      <c r="R86" s="107"/>
    </row>
    <row r="87" customFormat="false" ht="12.75" hidden="false" customHeight="false" outlineLevel="0" collapsed="false">
      <c r="C87" s="1"/>
      <c r="H87" s="107"/>
      <c r="I87" s="111"/>
      <c r="J87" s="107"/>
      <c r="L87" s="107"/>
      <c r="M87" s="107"/>
      <c r="N87" s="107"/>
      <c r="Q87" s="107"/>
      <c r="R87" s="107"/>
    </row>
    <row r="88" customFormat="false" ht="12.75" hidden="false" customHeight="false" outlineLevel="0" collapsed="false">
      <c r="C88" s="1"/>
      <c r="H88" s="107"/>
      <c r="I88" s="111"/>
      <c r="J88" s="107"/>
      <c r="L88" s="107"/>
      <c r="M88" s="107"/>
      <c r="N88" s="107"/>
      <c r="Q88" s="107"/>
      <c r="R88" s="107"/>
    </row>
    <row r="89" customFormat="false" ht="12.75" hidden="false" customHeight="false" outlineLevel="0" collapsed="false">
      <c r="C89" s="1"/>
      <c r="H89" s="107"/>
      <c r="I89" s="111"/>
      <c r="J89" s="107"/>
      <c r="L89" s="107"/>
      <c r="M89" s="107"/>
      <c r="N89" s="107"/>
      <c r="Q89" s="107"/>
      <c r="R89" s="107"/>
    </row>
    <row r="90" customFormat="false" ht="12.75" hidden="false" customHeight="false" outlineLevel="0" collapsed="false">
      <c r="C90" s="1"/>
      <c r="H90" s="107"/>
      <c r="I90" s="111"/>
      <c r="J90" s="107"/>
      <c r="L90" s="107"/>
      <c r="M90" s="107"/>
      <c r="N90" s="107"/>
      <c r="Q90" s="107"/>
      <c r="R90" s="107"/>
    </row>
    <row r="91" customFormat="false" ht="12.75" hidden="false" customHeight="false" outlineLevel="0" collapsed="false">
      <c r="B91" s="1" t="str">
        <f aca="false">IF(Lang="Français","Textes pour les listes déroulantes et graphiques :",IF(Lang="English","Texts for drop-down lists &amp; graphics :",""))</f>
        <v>Textes pour les listes déroulantes et graphiques :</v>
      </c>
      <c r="H91" s="107"/>
      <c r="I91" s="111"/>
      <c r="J91" s="107"/>
      <c r="L91" s="107"/>
      <c r="M91" s="107"/>
      <c r="N91" s="107"/>
      <c r="Q91" s="107"/>
      <c r="R91" s="107"/>
    </row>
    <row r="92" customFormat="false" ht="12.75" hidden="false" customHeight="false" outlineLevel="0" collapsed="false">
      <c r="H92" s="107"/>
      <c r="I92" s="111"/>
      <c r="J92" s="107"/>
      <c r="L92" s="107"/>
      <c r="M92" s="107"/>
      <c r="N92" s="107"/>
      <c r="Q92" s="107"/>
      <c r="R92" s="107"/>
    </row>
    <row r="93" customFormat="false" ht="12.75" hidden="false" customHeight="false" outlineLevel="0" collapsed="false">
      <c r="B93" s="15" t="s">
        <v>1</v>
      </c>
      <c r="H93" s="107"/>
      <c r="I93" s="111"/>
      <c r="J93" s="107"/>
      <c r="L93" s="107"/>
      <c r="M93" s="107"/>
      <c r="N93" s="107"/>
      <c r="Q93" s="107"/>
      <c r="R93" s="107"/>
    </row>
    <row r="94" customFormat="false" ht="12.75" hidden="false" customHeight="false" outlineLevel="0" collapsed="false">
      <c r="B94" s="15" t="s">
        <v>26</v>
      </c>
      <c r="H94" s="107"/>
      <c r="I94" s="111"/>
      <c r="J94" s="107"/>
      <c r="L94" s="107"/>
      <c r="M94" s="107"/>
      <c r="N94" s="107"/>
      <c r="Q94" s="107"/>
      <c r="R94" s="107"/>
    </row>
    <row r="95" customFormat="false" ht="12.75" hidden="false" customHeight="false" outlineLevel="0" collapsed="false">
      <c r="B95" s="15"/>
      <c r="H95" s="107"/>
      <c r="I95" s="111"/>
      <c r="J95" s="107"/>
      <c r="L95" s="107"/>
      <c r="M95" s="107"/>
      <c r="N95" s="107"/>
      <c r="Q95" s="107"/>
      <c r="R95" s="107"/>
    </row>
    <row r="96" customFormat="false" ht="12.75" hidden="false" customHeight="false" outlineLevel="0" collapsed="false">
      <c r="B96" s="15" t="str">
        <f aca="false">IF(Lang="Français","Fusée à eau  ",IF(Lang="English","Water-rocket  ",""))</f>
        <v>Fusée à eau  </v>
      </c>
      <c r="H96" s="107"/>
      <c r="I96" s="111"/>
      <c r="J96" s="107"/>
      <c r="L96" s="107"/>
      <c r="M96" s="107"/>
      <c r="N96" s="107"/>
      <c r="Q96" s="107"/>
      <c r="R96" s="107"/>
    </row>
    <row r="97" customFormat="false" ht="12.75" hidden="false" customHeight="false" outlineLevel="0" collapsed="false">
      <c r="B97" s="15" t="str">
        <f aca="false">IF(Lang="Français","Microfusée",IF(Lang="English","Micro-rocket",""))</f>
        <v>Microfusée</v>
      </c>
      <c r="H97" s="107"/>
      <c r="I97" s="111"/>
      <c r="J97" s="107"/>
      <c r="L97" s="107"/>
      <c r="M97" s="107"/>
      <c r="N97" s="107"/>
      <c r="Q97" s="107"/>
      <c r="R97" s="107"/>
    </row>
    <row r="98" customFormat="false" ht="12.75" hidden="false" customHeight="false" outlineLevel="0" collapsed="false">
      <c r="B98" s="15" t="str">
        <f aca="false">IF(Lang="Français","Minifusée",IF(Lang="English","Mini-rocket",""))</f>
        <v>Minifusée</v>
      </c>
      <c r="H98" s="107"/>
      <c r="I98" s="111"/>
      <c r="J98" s="107"/>
      <c r="L98" s="107"/>
      <c r="M98" s="107"/>
      <c r="N98" s="107"/>
      <c r="Q98" s="107"/>
      <c r="R98" s="107"/>
    </row>
    <row r="99" customFormat="false" ht="12.75" hidden="false" customHeight="false" outlineLevel="0" collapsed="false">
      <c r="B99" s="15" t="s">
        <v>27</v>
      </c>
      <c r="H99" s="107"/>
      <c r="I99" s="111"/>
      <c r="J99" s="107"/>
      <c r="L99" s="107"/>
      <c r="M99" s="107"/>
      <c r="N99" s="107"/>
      <c r="Q99" s="107"/>
      <c r="R99" s="107"/>
    </row>
    <row r="100" customFormat="false" ht="12.75" hidden="false" customHeight="false" outlineLevel="0" collapsed="false">
      <c r="B100" s="15" t="str">
        <f aca="false">IF(Lang="Français","Fusée expérimentale.",IF(Lang="English","Experimental Rocket.",""))</f>
        <v>Fusée expérimentale.</v>
      </c>
      <c r="H100" s="107"/>
      <c r="I100" s="111"/>
      <c r="J100" s="107"/>
      <c r="L100" s="107"/>
      <c r="M100" s="107"/>
      <c r="N100" s="107"/>
      <c r="Q100" s="107"/>
      <c r="R100" s="107"/>
    </row>
    <row r="101" customFormat="false" ht="12.75" hidden="false" customHeight="false" outlineLevel="0" collapsed="false">
      <c r="B101" s="15" t="s">
        <v>28</v>
      </c>
      <c r="H101" s="107"/>
      <c r="I101" s="111"/>
      <c r="J101" s="107"/>
      <c r="L101" s="107"/>
      <c r="M101" s="107"/>
      <c r="N101" s="107"/>
      <c r="Q101" s="107"/>
      <c r="R101" s="107"/>
    </row>
    <row r="102" customFormat="false" ht="12.75" hidden="false" customHeight="false" outlineLevel="0" collapsed="false">
      <c r="B102" s="15"/>
      <c r="H102" s="107"/>
      <c r="I102" s="111"/>
      <c r="J102" s="107"/>
      <c r="L102" s="107"/>
      <c r="M102" s="107"/>
      <c r="N102" s="107"/>
      <c r="Q102" s="107"/>
      <c r="R102" s="107"/>
    </row>
    <row r="103" customFormat="false" ht="12.75" hidden="false" customHeight="false" outlineLevel="0" collapsed="false">
      <c r="B103" s="15" t="str">
        <f aca="false">IF(Lang="Français","sans propu",IF(Lang="English","without motor",""))</f>
        <v>sans propu</v>
      </c>
      <c r="H103" s="107"/>
      <c r="I103" s="111"/>
      <c r="J103" s="107"/>
      <c r="L103" s="107"/>
      <c r="M103" s="107"/>
      <c r="N103" s="107"/>
      <c r="Q103" s="107"/>
      <c r="R103" s="107"/>
    </row>
    <row r="104" customFormat="false" ht="12.75" hidden="false" customHeight="false" outlineLevel="0" collapsed="false">
      <c r="B104" s="15" t="str">
        <f aca="false">IF(Lang="Français","avec propu vide",IF(Lang="English","with empty motor",""))</f>
        <v>avec propu vide</v>
      </c>
      <c r="H104" s="107"/>
      <c r="I104" s="111"/>
      <c r="J104" s="107"/>
      <c r="L104" s="107"/>
      <c r="M104" s="107"/>
      <c r="N104" s="107"/>
      <c r="Q104" s="107"/>
      <c r="R104" s="107"/>
    </row>
    <row r="105" customFormat="false" ht="12.75" hidden="false" customHeight="false" outlineLevel="0" collapsed="false">
      <c r="B105" s="15" t="str">
        <f aca="false">IF(Lang="Français","avec propu plein",IF(Lang="English","with loaded motor",""))</f>
        <v>avec propu plein</v>
      </c>
      <c r="H105" s="107"/>
      <c r="I105" s="111"/>
      <c r="J105" s="107"/>
      <c r="L105" s="107"/>
      <c r="M105" s="107"/>
      <c r="N105" s="107"/>
      <c r="Q105" s="107"/>
      <c r="R105" s="107"/>
    </row>
    <row r="106" customFormat="false" ht="12.75" hidden="false" customHeight="false" outlineLevel="0" collapsed="false">
      <c r="B106" s="15"/>
      <c r="H106" s="107"/>
      <c r="I106" s="111"/>
      <c r="J106" s="107"/>
      <c r="L106" s="107"/>
      <c r="M106" s="107"/>
      <c r="N106" s="107"/>
      <c r="Q106" s="107"/>
      <c r="R106" s="107"/>
    </row>
    <row r="107" customFormat="false" ht="12.75" hidden="false" customHeight="false" outlineLevel="0" collapsed="false">
      <c r="B107" s="15" t="str">
        <f aca="false">IF(Lang="Français","Parabolique (arrondie)",IF(Lang="English","Parabola (rounded)",""))</f>
        <v>Parabolique (arrondie)</v>
      </c>
      <c r="H107" s="107"/>
      <c r="I107" s="111"/>
      <c r="J107" s="107"/>
      <c r="L107" s="107"/>
      <c r="M107" s="107"/>
      <c r="N107" s="107"/>
      <c r="Q107" s="107"/>
      <c r="R107" s="107"/>
    </row>
    <row r="108" customFormat="false" ht="12.75" hidden="false" customHeight="false" outlineLevel="0" collapsed="false">
      <c r="B108" s="15" t="str">
        <f aca="false">IF(Lang="Français","Ogivale (pointue)",IF(Lang="English","Ogive (sharp)",""))</f>
        <v>Ogivale (pointue)</v>
      </c>
      <c r="H108" s="107"/>
      <c r="I108" s="111"/>
      <c r="J108" s="107"/>
      <c r="L108" s="107"/>
      <c r="M108" s="107"/>
      <c r="N108" s="107"/>
      <c r="Q108" s="107"/>
      <c r="R108" s="107"/>
    </row>
    <row r="109" customFormat="false" ht="12.75" hidden="false" customHeight="false" outlineLevel="0" collapsed="false">
      <c r="B109" s="15" t="str">
        <f aca="false">IF(Lang="Français","Conique (droite)",IF(Lang="English","Cone (straight)",""))</f>
        <v>Conique (droite)</v>
      </c>
      <c r="H109" s="107"/>
      <c r="I109" s="111"/>
      <c r="J109" s="107"/>
      <c r="L109" s="107"/>
      <c r="M109" s="107"/>
      <c r="N109" s="107"/>
      <c r="Q109" s="107"/>
      <c r="R109" s="107"/>
    </row>
    <row r="110" customFormat="false" ht="12.75" hidden="false" customHeight="false" outlineLevel="0" collapsed="false">
      <c r="B110" s="115"/>
      <c r="H110" s="107"/>
      <c r="I110" s="111"/>
      <c r="J110" s="107"/>
      <c r="L110" s="107"/>
      <c r="M110" s="107"/>
      <c r="N110" s="107"/>
      <c r="Q110" s="107"/>
      <c r="R110" s="107"/>
    </row>
    <row r="111" customFormat="false" ht="12.75" hidden="false" customHeight="false" outlineLevel="0" collapsed="false">
      <c r="B111" s="66" t="s">
        <v>18</v>
      </c>
      <c r="H111" s="107"/>
      <c r="I111" s="111"/>
      <c r="J111" s="107"/>
      <c r="L111" s="107"/>
      <c r="M111" s="107"/>
      <c r="N111" s="107"/>
      <c r="Q111" s="107"/>
      <c r="R111" s="107"/>
    </row>
    <row r="112" customFormat="false" ht="12.75" hidden="false" customHeight="false" outlineLevel="0" collapsed="false">
      <c r="B112" s="66" t="s">
        <v>29</v>
      </c>
      <c r="H112" s="107"/>
      <c r="I112" s="111"/>
      <c r="J112" s="107"/>
      <c r="L112" s="107"/>
      <c r="M112" s="107"/>
      <c r="N112" s="107"/>
      <c r="Q112" s="107"/>
      <c r="R112" s="107"/>
    </row>
    <row r="113" customFormat="false" ht="12.75" hidden="false" customHeight="false" outlineLevel="0" collapsed="false">
      <c r="B113" s="115"/>
      <c r="H113" s="107"/>
      <c r="I113" s="111"/>
      <c r="J113" s="107"/>
      <c r="L113" s="107"/>
      <c r="M113" s="107"/>
      <c r="N113" s="107"/>
      <c r="Q113" s="107"/>
      <c r="R113" s="107"/>
    </row>
    <row r="114" customFormat="false" ht="12.75" hidden="false" customHeight="false" outlineLevel="0" collapsed="false">
      <c r="B114" s="66" t="str">
        <f aca="false">IF(Lang="Français","Fusée mono-diamètre,",IF(Lang="English","Mono-diameter rocket,",""))</f>
        <v>Fusée mono-diamètre,</v>
      </c>
      <c r="H114" s="107"/>
      <c r="I114" s="111"/>
      <c r="J114" s="107"/>
      <c r="L114" s="107"/>
      <c r="M114" s="107"/>
      <c r="N114" s="107"/>
      <c r="Q114" s="107"/>
      <c r="R114" s="107"/>
    </row>
    <row r="115" customFormat="false" ht="12.75" hidden="false" customHeight="false" outlineLevel="0" collapsed="false">
      <c r="B115" s="66" t="str">
        <f aca="false">IF(Lang="Français","Plusieurs diamètres.",IF(Lang="English","Many diameters rocket.",""))</f>
        <v>Plusieurs diamètres.</v>
      </c>
      <c r="H115" s="107"/>
      <c r="I115" s="111"/>
      <c r="J115" s="107"/>
      <c r="L115" s="107"/>
      <c r="M115" s="107"/>
      <c r="N115" s="107"/>
      <c r="Q115" s="107"/>
      <c r="R115" s="107"/>
    </row>
    <row r="116" customFormat="false" ht="12.75" hidden="false" customHeight="false" outlineLevel="0" collapsed="false">
      <c r="B116" s="66"/>
      <c r="H116" s="107"/>
      <c r="I116" s="111"/>
      <c r="J116" s="107"/>
      <c r="L116" s="107"/>
      <c r="M116" s="107"/>
      <c r="N116" s="107"/>
      <c r="Q116" s="107"/>
      <c r="R116" s="107"/>
    </row>
    <row r="117" customFormat="false" ht="12.75" hidden="false" customHeight="false" outlineLevel="0" collapsed="false">
      <c r="B117" s="66" t="str">
        <f aca="false">IF(Lang="Français","Diagramme des critères de stabilité","Stability criterions diagram")</f>
        <v>Diagramme des critères de stabilité</v>
      </c>
      <c r="H117" s="107"/>
      <c r="I117" s="111"/>
      <c r="J117" s="107"/>
      <c r="L117" s="107"/>
      <c r="M117" s="107"/>
      <c r="N117" s="107"/>
      <c r="Q117" s="107"/>
      <c r="R117" s="107"/>
    </row>
    <row r="118" customFormat="false" ht="12.75" hidden="false" customHeight="false" outlineLevel="0" collapsed="false">
      <c r="B118" s="66" t="str">
        <f aca="false">IF(Lang="Français","Marge Statique (MS)","Static Margin")</f>
        <v>Marge Statique (MS)</v>
      </c>
      <c r="H118" s="107"/>
      <c r="I118" s="111"/>
      <c r="J118" s="107"/>
      <c r="L118" s="107"/>
      <c r="M118" s="107"/>
      <c r="N118" s="107"/>
      <c r="Q118" s="107"/>
      <c r="R118" s="107"/>
    </row>
    <row r="119" customFormat="false" ht="12.75" hidden="false" customHeight="false" outlineLevel="0" collapsed="false">
      <c r="B119" s="66" t="str">
        <f aca="false">IF(Lang="Français","Portance Cnα","Lift Cnα")</f>
        <v>Portance Cnα</v>
      </c>
      <c r="H119" s="107"/>
      <c r="I119" s="111"/>
      <c r="J119" s="107"/>
      <c r="L119" s="107"/>
      <c r="M119" s="107"/>
      <c r="N119" s="107"/>
      <c r="Q119" s="107"/>
      <c r="R119" s="107"/>
    </row>
    <row r="120" customFormat="false" ht="12.75" hidden="false" customHeight="false" outlineLevel="0" collapsed="false">
      <c r="B120" s="66"/>
      <c r="H120" s="107"/>
      <c r="I120" s="111"/>
      <c r="J120" s="107"/>
      <c r="L120" s="107"/>
      <c r="M120" s="107"/>
      <c r="N120" s="107"/>
      <c r="Q120" s="107"/>
      <c r="R120" s="107"/>
    </row>
    <row r="121" customFormat="false" ht="12.75" hidden="false" customHeight="false" outlineLevel="0" collapsed="false">
      <c r="B121" s="1" t="str">
        <f aca="false">IF(Lang="Français","Données pour les graphiques :",IF(Lang="English","Data for plots:",""))</f>
        <v>Données pour les graphiques :</v>
      </c>
      <c r="H121" s="107"/>
      <c r="I121" s="111"/>
      <c r="J121" s="107"/>
      <c r="L121" s="107"/>
      <c r="M121" s="107"/>
      <c r="N121" s="107"/>
      <c r="Q121" s="107"/>
      <c r="R121" s="107"/>
    </row>
    <row r="122" customFormat="false" ht="12.75" hidden="false" customHeight="false" outlineLevel="0" collapsed="false">
      <c r="H122" s="107"/>
      <c r="I122" s="111"/>
      <c r="J122" s="107"/>
      <c r="L122" s="107"/>
      <c r="M122" s="107"/>
      <c r="N122" s="107"/>
      <c r="Q122" s="107"/>
      <c r="R122" s="107"/>
    </row>
    <row r="123" customFormat="false" ht="12.75" hidden="false" customHeight="false" outlineLevel="0" collapsed="false">
      <c r="B123" s="110"/>
      <c r="C123" s="110" t="s">
        <v>30</v>
      </c>
      <c r="D123" s="110" t="s">
        <v>31</v>
      </c>
      <c r="E123" s="116" t="s">
        <v>32</v>
      </c>
      <c r="K123" s="110"/>
      <c r="R123" s="107"/>
    </row>
    <row r="124" customFormat="false" ht="12.75" hidden="false" customHeight="false" outlineLevel="0" collapsed="false">
      <c r="B124" s="110" t="s">
        <v>33</v>
      </c>
      <c r="C124" s="117" t="n">
        <f aca="false">-Long_ogive</f>
        <v>-400</v>
      </c>
      <c r="D124" s="117" t="n">
        <v>0</v>
      </c>
      <c r="E124" s="118" t="n">
        <f aca="false">-D124</f>
        <v>-0</v>
      </c>
      <c r="K124" s="117"/>
    </row>
    <row r="125" customFormat="false" ht="12.75" hidden="false" customHeight="false" outlineLevel="0" collapsed="false">
      <c r="B125" s="110" t="s">
        <v>33</v>
      </c>
      <c r="C125" s="117" t="n">
        <f aca="false">-Long_ogive</f>
        <v>-400</v>
      </c>
      <c r="D125" s="117" t="n">
        <f aca="false">D_og/2</f>
        <v>60</v>
      </c>
      <c r="E125" s="118" t="n">
        <f aca="false">-D125</f>
        <v>-60</v>
      </c>
      <c r="K125" s="117"/>
    </row>
    <row r="126" customFormat="false" ht="12.75" hidden="false" customHeight="false" outlineLevel="0" collapsed="false">
      <c r="B126" s="110" t="s">
        <v>34</v>
      </c>
      <c r="C126" s="117" t="n">
        <f aca="false">IF(AND(RIGHT(Nb_diam,1)=".",X_j), -X_j, C125 )</f>
        <v>-400</v>
      </c>
      <c r="D126" s="117" t="n">
        <f aca="false">IF(AND(RIGHT(Nb_diam,1)=".",X_j), D1j/2, D125 )</f>
        <v>60</v>
      </c>
      <c r="E126" s="118" t="n">
        <f aca="false">-D126</f>
        <v>-60</v>
      </c>
      <c r="K126" s="117"/>
    </row>
    <row r="127" customFormat="false" ht="12.75" hidden="false" customHeight="false" outlineLevel="0" collapsed="false">
      <c r="B127" s="110" t="s">
        <v>35</v>
      </c>
      <c r="C127" s="117" t="n">
        <f aca="false">IF(AND(RIGHT(Nb_diam,1)=".",X_j), -X_j-l_j, C126 )</f>
        <v>-400</v>
      </c>
      <c r="D127" s="117" t="n">
        <f aca="false">IF(AND(RIGHT(Nb_diam,1)=".",X_j), D2j/2, D126 )</f>
        <v>60</v>
      </c>
      <c r="E127" s="118" t="n">
        <f aca="false">-D127</f>
        <v>-60</v>
      </c>
      <c r="K127" s="117"/>
    </row>
    <row r="128" customFormat="false" ht="12.75" hidden="false" customHeight="false" outlineLevel="0" collapsed="false">
      <c r="B128" s="110" t="s">
        <v>36</v>
      </c>
      <c r="C128" s="117" t="n">
        <f aca="false">IF(AND(RIGHT(Nb_diam,1)=".",X_r), -X_r, C127 )</f>
        <v>-400</v>
      </c>
      <c r="D128" s="117" t="n">
        <f aca="false">IF(AND(RIGHT(Nb_diam,1)=".",X_r), D1r/2, D127 )</f>
        <v>60</v>
      </c>
      <c r="E128" s="118" t="n">
        <f aca="false">-D128</f>
        <v>-60</v>
      </c>
      <c r="K128" s="117"/>
    </row>
    <row r="129" customFormat="false" ht="12.75" hidden="false" customHeight="false" outlineLevel="0" collapsed="false">
      <c r="B129" s="110" t="s">
        <v>37</v>
      </c>
      <c r="C129" s="117" t="n">
        <f aca="false">IF(AND(RIGHT(Nb_diam,1)=".",X_r), -X_r-l_r, C128 )</f>
        <v>-400</v>
      </c>
      <c r="D129" s="117" t="n">
        <f aca="false">IF(AND(RIGHT(Nb_diam,1)=".",X_r), D2r/2, D128 )</f>
        <v>60</v>
      </c>
      <c r="E129" s="118" t="n">
        <f aca="false">-D129</f>
        <v>-60</v>
      </c>
      <c r="K129" s="117"/>
    </row>
    <row r="130" customFormat="false" ht="12.75" hidden="false" customHeight="false" outlineLevel="0" collapsed="false">
      <c r="B130" s="110" t="s">
        <v>38</v>
      </c>
      <c r="C130" s="117" t="n">
        <f aca="false">-Long_tot</f>
        <v>-1660</v>
      </c>
      <c r="D130" s="117" t="n">
        <f aca="false">D129</f>
        <v>60</v>
      </c>
      <c r="E130" s="118" t="n">
        <f aca="false">-D130</f>
        <v>-60</v>
      </c>
      <c r="K130" s="117"/>
    </row>
    <row r="131" customFormat="false" ht="12.75" hidden="false" customHeight="false" outlineLevel="0" collapsed="false">
      <c r="B131" s="110" t="s">
        <v>38</v>
      </c>
      <c r="C131" s="117" t="n">
        <f aca="false">-Long_tot</f>
        <v>-1660</v>
      </c>
      <c r="D131" s="117" t="n">
        <v>0</v>
      </c>
      <c r="E131" s="118" t="n">
        <f aca="false">-D131</f>
        <v>-0</v>
      </c>
      <c r="K131" s="117"/>
    </row>
    <row r="132" customFormat="false" ht="12.75" hidden="false" customHeight="false" outlineLevel="0" collapsed="false">
      <c r="B132" s="119" t="s">
        <v>39</v>
      </c>
      <c r="C132" s="120" t="n">
        <f aca="false">-X_ail+m_ail</f>
        <v>-1470</v>
      </c>
      <c r="D132" s="120" t="n">
        <f aca="false">D_ail/2</f>
        <v>60</v>
      </c>
      <c r="E132" s="121" t="n">
        <f aca="false">-D132</f>
        <v>-60</v>
      </c>
      <c r="K132" s="117"/>
    </row>
    <row r="133" customFormat="false" ht="12.75" hidden="false" customHeight="false" outlineLevel="0" collapsed="false">
      <c r="B133" s="122" t="s">
        <v>40</v>
      </c>
      <c r="C133" s="123" t="n">
        <f aca="false">-X_ail+m_ail-p_ail</f>
        <v>-1635</v>
      </c>
      <c r="D133" s="123" t="n">
        <f aca="false">D_ail/2+E_ail</f>
        <v>225</v>
      </c>
      <c r="E133" s="124" t="n">
        <f aca="false">-D133</f>
        <v>-225</v>
      </c>
      <c r="K133" s="117"/>
    </row>
    <row r="134" customFormat="false" ht="12.75" hidden="false" customHeight="false" outlineLevel="0" collapsed="false">
      <c r="B134" s="122" t="s">
        <v>41</v>
      </c>
      <c r="C134" s="123" t="n">
        <f aca="false">-X_ail+m_ail-p_ail-n_ail</f>
        <v>-1722</v>
      </c>
      <c r="D134" s="123" t="n">
        <f aca="false">D_ail/2+E_ail</f>
        <v>225</v>
      </c>
      <c r="E134" s="124" t="n">
        <f aca="false">-D134</f>
        <v>-225</v>
      </c>
      <c r="K134" s="117"/>
    </row>
    <row r="135" customFormat="false" ht="12.75" hidden="false" customHeight="false" outlineLevel="0" collapsed="false">
      <c r="B135" s="122" t="s">
        <v>42</v>
      </c>
      <c r="C135" s="123" t="n">
        <f aca="false">-X_ail</f>
        <v>-1660</v>
      </c>
      <c r="D135" s="123" t="n">
        <f aca="false">D_ail/2</f>
        <v>60</v>
      </c>
      <c r="E135" s="124" t="n">
        <f aca="false">-D135</f>
        <v>-60</v>
      </c>
      <c r="K135" s="117"/>
    </row>
    <row r="136" customFormat="false" ht="12.75" hidden="false" customHeight="false" outlineLevel="0" collapsed="false">
      <c r="B136" s="125" t="s">
        <v>39</v>
      </c>
      <c r="C136" s="126" t="n">
        <f aca="false">-X_ail+m_ail</f>
        <v>-1470</v>
      </c>
      <c r="D136" s="126" t="n">
        <f aca="false">D_ail/2</f>
        <v>60</v>
      </c>
      <c r="E136" s="127" t="n">
        <f aca="false">-D136</f>
        <v>-60</v>
      </c>
      <c r="K136" s="117"/>
    </row>
    <row r="137" customFormat="false" ht="12.75" hidden="false" customHeight="false" outlineLevel="0" collapsed="false">
      <c r="B137" s="119" t="str">
        <f aca="false">IF(E_ail&gt;0,IF(Lang="Français","Envergure","Span"),"")</f>
        <v>Envergure</v>
      </c>
      <c r="C137" s="120" t="n">
        <f aca="false">MIN(-X_ail,-X_ail+m_ail-p_ail-n_ail)-Long_tot/30</f>
        <v>-1777.33333333333</v>
      </c>
      <c r="D137" s="128" t="n">
        <f aca="false">-D_ail/2-E_ail</f>
        <v>-225</v>
      </c>
      <c r="E137" s="129"/>
      <c r="K137" s="117"/>
    </row>
    <row r="138" customFormat="false" ht="12.75" hidden="false" customHeight="false" outlineLevel="0" collapsed="false">
      <c r="B138" s="122" t="s">
        <v>43</v>
      </c>
      <c r="C138" s="123" t="n">
        <f aca="false">MIN(-X_ail,-X_ail+m_ail-p_ail-n_ail)-Long_tot/30</f>
        <v>-1777.33333333333</v>
      </c>
      <c r="D138" s="130" t="n">
        <f aca="false">-D_ail/2-E_ail/2</f>
        <v>-142.5</v>
      </c>
      <c r="E138" s="129"/>
      <c r="K138" s="117"/>
    </row>
    <row r="139" customFormat="false" ht="12.75" hidden="false" customHeight="false" outlineLevel="0" collapsed="false">
      <c r="B139" s="125" t="s">
        <v>44</v>
      </c>
      <c r="C139" s="126" t="n">
        <f aca="false">MIN(-X_ail,-X_ail+m_ail-p_ail-n_ail)-Long_tot/30</f>
        <v>-1777.33333333333</v>
      </c>
      <c r="D139" s="131" t="n">
        <f aca="false">-D_ail/2</f>
        <v>-60</v>
      </c>
      <c r="E139" s="129"/>
      <c r="K139" s="117"/>
    </row>
    <row r="140" customFormat="false" ht="12.75" hidden="false" customHeight="false" outlineLevel="0" collapsed="false">
      <c r="B140" s="119" t="str">
        <f aca="false">IF(Lang="Français","Emplanture","Root edge")</f>
        <v>Emplanture</v>
      </c>
      <c r="C140" s="120" t="n">
        <f aca="false">-X_ail+m_ail</f>
        <v>-1470</v>
      </c>
      <c r="D140" s="128" t="n">
        <f aca="false">D_ail/2+E_ail+Long_tot/20</f>
        <v>308</v>
      </c>
      <c r="E140" s="129"/>
      <c r="K140" s="117"/>
    </row>
    <row r="141" customFormat="false" ht="12.75" hidden="false" customHeight="false" outlineLevel="0" collapsed="false">
      <c r="B141" s="122" t="s">
        <v>45</v>
      </c>
      <c r="C141" s="123" t="n">
        <f aca="false">-X_ail+m_ail/2</f>
        <v>-1565</v>
      </c>
      <c r="D141" s="130" t="n">
        <f aca="false">D_ail/2+E_ail+Long_tot/20</f>
        <v>308</v>
      </c>
      <c r="E141" s="129"/>
      <c r="K141" s="117"/>
    </row>
    <row r="142" customFormat="false" ht="12.75" hidden="false" customHeight="false" outlineLevel="0" collapsed="false">
      <c r="B142" s="125" t="s">
        <v>46</v>
      </c>
      <c r="C142" s="126" t="n">
        <f aca="false">-X_ail</f>
        <v>-1660</v>
      </c>
      <c r="D142" s="131" t="n">
        <f aca="false">D_ail/2+E_ail+Long_tot/20</f>
        <v>308</v>
      </c>
      <c r="E142" s="129"/>
      <c r="K142" s="117"/>
    </row>
    <row r="143" customFormat="false" ht="12.75" hidden="false" customHeight="false" outlineLevel="0" collapsed="false">
      <c r="B143" s="119" t="str">
        <f aca="false">IF(p_ail&lt;&gt;0,IF(Lang="Français","Flèche","Offset"),"")</f>
        <v>Flèche</v>
      </c>
      <c r="C143" s="120" t="n">
        <f aca="false">-X_ail+m_ail</f>
        <v>-1470</v>
      </c>
      <c r="D143" s="128" t="n">
        <f aca="false">-D_ail/2-E_ail-Long_tot/30</f>
        <v>-280.333333333333</v>
      </c>
      <c r="E143" s="129"/>
      <c r="K143" s="117"/>
    </row>
    <row r="144" customFormat="false" ht="12.75" hidden="false" customHeight="false" outlineLevel="0" collapsed="false">
      <c r="B144" s="122" t="s">
        <v>47</v>
      </c>
      <c r="C144" s="123" t="n">
        <f aca="false">-X_ail+m_ail-p_ail/2</f>
        <v>-1552.5</v>
      </c>
      <c r="D144" s="130" t="n">
        <f aca="false">-D_ail/2-E_ail-Long_tot/30</f>
        <v>-280.333333333333</v>
      </c>
      <c r="E144" s="129"/>
      <c r="K144" s="117"/>
    </row>
    <row r="145" customFormat="false" ht="12.75" hidden="false" customHeight="false" outlineLevel="0" collapsed="false">
      <c r="B145" s="125" t="s">
        <v>48</v>
      </c>
      <c r="C145" s="126" t="n">
        <f aca="false">-X_ail+m_ail-p_ail</f>
        <v>-1635</v>
      </c>
      <c r="D145" s="131" t="n">
        <f aca="false">-D_ail/2-E_ail-Long_tot/30</f>
        <v>-280.333333333333</v>
      </c>
      <c r="E145" s="129"/>
      <c r="K145" s="117"/>
    </row>
    <row r="146" customFormat="false" ht="12.75" hidden="false" customHeight="false" outlineLevel="0" collapsed="false">
      <c r="B146" s="119" t="str">
        <f aca="false">IF(n_ail&gt;0,IF(Lang="Français","Saumon","Tip edge"),"")</f>
        <v>Saumon</v>
      </c>
      <c r="C146" s="120" t="n">
        <f aca="false">-X_ail+m_ail-p_ail</f>
        <v>-1635</v>
      </c>
      <c r="D146" s="128" t="n">
        <f aca="false">-D_ail/2-E_ail-Long_tot/20</f>
        <v>-308</v>
      </c>
      <c r="E146" s="129"/>
      <c r="K146" s="117"/>
    </row>
    <row r="147" customFormat="false" ht="12.75" hidden="false" customHeight="false" outlineLevel="0" collapsed="false">
      <c r="B147" s="122" t="s">
        <v>49</v>
      </c>
      <c r="C147" s="123" t="n">
        <f aca="false">-X_ail+m_ail-p_ail-n_ail/2</f>
        <v>-1678.5</v>
      </c>
      <c r="D147" s="130" t="n">
        <f aca="false">-D_ail/2-E_ail-Long_tot/20</f>
        <v>-308</v>
      </c>
      <c r="E147" s="129"/>
      <c r="K147" s="117"/>
    </row>
    <row r="148" customFormat="false" ht="12.75" hidden="false" customHeight="false" outlineLevel="0" collapsed="false">
      <c r="B148" s="125" t="s">
        <v>50</v>
      </c>
      <c r="C148" s="126" t="n">
        <f aca="false">-X_ail+m_ail-p_ail-n_ail</f>
        <v>-1722</v>
      </c>
      <c r="D148" s="131" t="n">
        <f aca="false">-D_ail/2-E_ail-Long_tot/20</f>
        <v>-308</v>
      </c>
      <c r="E148" s="129"/>
      <c r="K148" s="117"/>
    </row>
    <row r="149" customFormat="false" ht="12.75" hidden="false" customHeight="false" outlineLevel="0" collapsed="false">
      <c r="B149" s="119" t="s">
        <v>51</v>
      </c>
      <c r="C149" s="120" t="n">
        <f aca="false">-XcgPlein</f>
        <v>-795.860658661277</v>
      </c>
      <c r="D149" s="128" t="n">
        <v>0</v>
      </c>
      <c r="E149" s="118"/>
      <c r="K149" s="117"/>
    </row>
    <row r="150" customFormat="false" ht="12.75" hidden="false" customHeight="false" outlineLevel="0" collapsed="false">
      <c r="B150" s="125" t="s">
        <v>52</v>
      </c>
      <c r="C150" s="126" t="n">
        <f aca="false">-XcgVide</f>
        <v>-707.310653293576</v>
      </c>
      <c r="D150" s="131" t="n">
        <v>0</v>
      </c>
      <c r="E150" s="118"/>
      <c r="K150" s="117"/>
    </row>
    <row r="151" customFormat="false" ht="12.75" hidden="false" customHeight="false" outlineLevel="0" collapsed="false">
      <c r="B151" s="119" t="s">
        <v>53</v>
      </c>
      <c r="C151" s="120" t="n">
        <f aca="false">-xcp</f>
        <v>-881.788009829229</v>
      </c>
      <c r="D151" s="128" t="n">
        <v>0</v>
      </c>
      <c r="E151" s="118"/>
      <c r="K151" s="117"/>
    </row>
    <row r="152" customFormat="false" ht="12.75" hidden="false" customHeight="false" outlineLevel="0" collapsed="false">
      <c r="B152" s="125" t="s">
        <v>53</v>
      </c>
      <c r="C152" s="126" t="n">
        <f aca="false">-xcp</f>
        <v>-881.788009829229</v>
      </c>
      <c r="D152" s="131" t="e">
        <f aca="false">Cn*D_ref/critcnmin</f>
        <v>#NAME?</v>
      </c>
      <c r="E152" s="118"/>
      <c r="K152" s="117"/>
    </row>
    <row r="153" customFormat="false" ht="12.75" hidden="false" customHeight="false" outlineLevel="0" collapsed="false">
      <c r="B153" s="122" t="s">
        <v>54</v>
      </c>
      <c r="C153" s="123" t="n">
        <f aca="false">-XCp0</f>
        <v>-881.788009829229</v>
      </c>
      <c r="D153" s="130" t="e">
        <f aca="false">Cn0*D_ref/critcnmin</f>
        <v>#NAME?</v>
      </c>
      <c r="E153" s="118"/>
      <c r="K153" s="117"/>
    </row>
    <row r="154" customFormat="false" ht="12.75" hidden="false" customHeight="false" outlineLevel="0" collapsed="false">
      <c r="B154" s="122" t="s">
        <v>54</v>
      </c>
      <c r="C154" s="123" t="n">
        <f aca="false">-XCp0</f>
        <v>-881.788009829229</v>
      </c>
      <c r="D154" s="130" t="n">
        <v>0</v>
      </c>
      <c r="E154" s="118"/>
      <c r="K154" s="117"/>
    </row>
    <row r="155" customFormat="false" ht="12.75" hidden="false" customHeight="false" outlineLevel="0" collapsed="false">
      <c r="B155" s="119" t="str">
        <f aca="false">IF(n_ail&gt;0,IF(Lang="Français","Marge Statique","Static Margin"),"")</f>
        <v>Marge Statique</v>
      </c>
      <c r="C155" s="120" t="n">
        <f aca="false">(-XcgPlein-XcgVide)/2</f>
        <v>-751.585655977426</v>
      </c>
      <c r="D155" s="128" t="n">
        <f aca="false">-D_ail/2-E_ail-Long_tot/20</f>
        <v>-308</v>
      </c>
      <c r="E155" s="118"/>
      <c r="K155" s="117"/>
    </row>
    <row r="156" customFormat="false" ht="12.75" hidden="false" customHeight="false" outlineLevel="0" collapsed="false">
      <c r="B156" s="122" t="s">
        <v>55</v>
      </c>
      <c r="C156" s="123" t="n">
        <f aca="false">(C155+C157)/2</f>
        <v>-816.686832903328</v>
      </c>
      <c r="D156" s="130" t="n">
        <f aca="false">-D_ail/2-E_ail-Long_tot/20</f>
        <v>-308</v>
      </c>
      <c r="E156" s="118"/>
      <c r="K156" s="117"/>
    </row>
    <row r="157" customFormat="false" ht="12.75" hidden="false" customHeight="false" outlineLevel="0" collapsed="false">
      <c r="B157" s="125" t="s">
        <v>56</v>
      </c>
      <c r="C157" s="126" t="n">
        <f aca="false">-xcp</f>
        <v>-881.788009829229</v>
      </c>
      <c r="D157" s="131" t="n">
        <f aca="false">-D_ail/2-E_ail-Long_tot/20</f>
        <v>-308</v>
      </c>
      <c r="E157" s="118"/>
      <c r="K157" s="117"/>
    </row>
    <row r="158" customFormat="false" ht="12.75" hidden="false" customHeight="false" outlineLevel="0" collapsed="false">
      <c r="B158" s="119" t="s">
        <v>57</v>
      </c>
      <c r="C158" s="120" t="e">
        <f aca="false">IF(LEFT(type_masquage,1)="M",0,-X_can+m_can)</f>
        <v>#NAME?</v>
      </c>
      <c r="D158" s="120" t="e">
        <f aca="false">IF(LEFT(type_masquage,1)="M",0,D_ail/2)</f>
        <v>#NAME?</v>
      </c>
      <c r="E158" s="121" t="e">
        <f aca="false">-D158</f>
        <v>#NAME?</v>
      </c>
      <c r="K158" s="117"/>
    </row>
    <row r="159" customFormat="false" ht="12.75" hidden="false" customHeight="false" outlineLevel="0" collapsed="false">
      <c r="B159" s="122" t="s">
        <v>58</v>
      </c>
      <c r="C159" s="123" t="e">
        <f aca="false">IF(LEFT(type_masquage,1)="M",0,-X_can+m_can-p_can)</f>
        <v>#NAME?</v>
      </c>
      <c r="D159" s="123" t="e">
        <f aca="false">IF(LEFT(type_masquage,1)="M",0,D_ail/2+E_can)</f>
        <v>#NAME?</v>
      </c>
      <c r="E159" s="124" t="e">
        <f aca="false">-D159</f>
        <v>#NAME?</v>
      </c>
      <c r="K159" s="117"/>
    </row>
    <row r="160" customFormat="false" ht="12.75" hidden="false" customHeight="false" outlineLevel="0" collapsed="false">
      <c r="B160" s="122" t="s">
        <v>59</v>
      </c>
      <c r="C160" s="123" t="e">
        <f aca="false">IF(LEFT(type_masquage,1)="M",0,-X_can+m_can-p_can-n_can)</f>
        <v>#NAME?</v>
      </c>
      <c r="D160" s="123" t="e">
        <f aca="false">IF(LEFT(type_masquage,1)="M",0,D_ail/2+E_can)</f>
        <v>#NAME?</v>
      </c>
      <c r="E160" s="124" t="e">
        <f aca="false">-D160</f>
        <v>#NAME?</v>
      </c>
      <c r="K160" s="117"/>
    </row>
    <row r="161" customFormat="false" ht="12.75" hidden="false" customHeight="false" outlineLevel="0" collapsed="false">
      <c r="B161" s="122" t="s">
        <v>60</v>
      </c>
      <c r="C161" s="123" t="e">
        <f aca="false">IF(LEFT(type_masquage,1)="M",0,-X_can)</f>
        <v>#NAME?</v>
      </c>
      <c r="D161" s="123" t="e">
        <f aca="false">IF(LEFT(type_masquage,1)="M",0,D_ail/2)</f>
        <v>#NAME?</v>
      </c>
      <c r="E161" s="124" t="e">
        <f aca="false">-D161</f>
        <v>#NAME?</v>
      </c>
      <c r="K161" s="117"/>
    </row>
    <row r="162" customFormat="false" ht="12.75" hidden="false" customHeight="false" outlineLevel="0" collapsed="false">
      <c r="B162" s="125" t="s">
        <v>57</v>
      </c>
      <c r="C162" s="126" t="e">
        <f aca="false">IF(LEFT(type_masquage,1)="M",0,-X_can+m_can)</f>
        <v>#NAME?</v>
      </c>
      <c r="D162" s="126" t="e">
        <f aca="false">IF(LEFT(type_masquage,1)="M",0,D_ail/2)</f>
        <v>#NAME?</v>
      </c>
      <c r="E162" s="127" t="e">
        <f aca="false">-D162</f>
        <v>#NAME?</v>
      </c>
      <c r="K162" s="117"/>
    </row>
    <row r="163" customFormat="false" ht="12.75" hidden="false" customHeight="false" outlineLevel="0" collapsed="false">
      <c r="B163" s="119" t="s">
        <v>61</v>
      </c>
      <c r="C163" s="120" t="n">
        <f aca="false">IF(LEFT(type_masquage,1)="B",-x_int+m_int,0)</f>
        <v>0</v>
      </c>
      <c r="D163" s="120" t="n">
        <f aca="false">IF(LEFT(type_masquage,1)="B",d_int/2,0)</f>
        <v>0</v>
      </c>
      <c r="E163" s="121" t="n">
        <f aca="false">-D163</f>
        <v>-0</v>
      </c>
      <c r="K163" s="117"/>
    </row>
    <row r="164" customFormat="false" ht="12.75" hidden="false" customHeight="false" outlineLevel="0" collapsed="false">
      <c r="B164" s="122" t="s">
        <v>62</v>
      </c>
      <c r="C164" s="123" t="n">
        <f aca="false">IF(LEFT(type_masquage,1)="B",-x_int+m_int-p_int,0)</f>
        <v>0</v>
      </c>
      <c r="D164" s="123" t="n">
        <f aca="false">IF(LEFT(type_masquage,1)="B",d_int/2+e_int,0)</f>
        <v>0</v>
      </c>
      <c r="E164" s="124" t="n">
        <f aca="false">-D164</f>
        <v>-0</v>
      </c>
      <c r="K164" s="117"/>
    </row>
    <row r="165" customFormat="false" ht="12.75" hidden="false" customHeight="false" outlineLevel="0" collapsed="false">
      <c r="B165" s="122" t="s">
        <v>63</v>
      </c>
      <c r="C165" s="123" t="n">
        <f aca="false">IF(LEFT(type_masquage,1)="B",-x_int+m_int-p_int-n_int,0)</f>
        <v>0</v>
      </c>
      <c r="D165" s="123" t="n">
        <f aca="false">IF(LEFT(type_masquage,1)="B",d_int/2+e_int,0)</f>
        <v>0</v>
      </c>
      <c r="E165" s="124" t="n">
        <f aca="false">-D165</f>
        <v>-0</v>
      </c>
      <c r="K165" s="117"/>
    </row>
    <row r="166" customFormat="false" ht="12.75" hidden="false" customHeight="false" outlineLevel="0" collapsed="false">
      <c r="B166" s="122" t="s">
        <v>64</v>
      </c>
      <c r="C166" s="123" t="n">
        <f aca="false">IF(LEFT(type_masquage,1)="B",-x_int,0)</f>
        <v>0</v>
      </c>
      <c r="D166" s="123" t="n">
        <f aca="false">IF(LEFT(type_masquage,1)="B",d_int/2,0)</f>
        <v>0</v>
      </c>
      <c r="E166" s="124" t="n">
        <f aca="false">-D166</f>
        <v>-0</v>
      </c>
      <c r="K166" s="117"/>
    </row>
    <row r="167" customFormat="false" ht="12.75" hidden="false" customHeight="false" outlineLevel="0" collapsed="false">
      <c r="B167" s="125" t="s">
        <v>61</v>
      </c>
      <c r="C167" s="126" t="n">
        <f aca="false">IF(LEFT(type_masquage,1)="B",-x_int+m_int,0)</f>
        <v>0</v>
      </c>
      <c r="D167" s="126" t="n">
        <f aca="false">IF(LEFT(type_masquage,1)="B",d_int/2,0)</f>
        <v>0</v>
      </c>
      <c r="E167" s="127" t="n">
        <f aca="false">-D167</f>
        <v>-0</v>
      </c>
      <c r="K167" s="117"/>
    </row>
    <row r="168" customFormat="false" ht="12.75" hidden="false" customHeight="false" outlineLevel="0" collapsed="false">
      <c r="B168" s="110" t="s">
        <v>65</v>
      </c>
      <c r="C168" s="117" t="n">
        <f aca="false">-MAX(Long_tot, X_ail-m_ail+p_ail+n_ail, (E_ail+D_ail/2)*3.2)*1.01</f>
        <v>-1739.22</v>
      </c>
      <c r="D168" s="117" t="n">
        <f aca="false">MAX(E_ail+D_ail/2, Long_tot/3)</f>
        <v>553.333333333333</v>
      </c>
      <c r="E168" s="118"/>
      <c r="K168" s="117"/>
    </row>
    <row r="169" customFormat="false" ht="12.75" hidden="false" customHeight="false" outlineLevel="0" collapsed="false">
      <c r="B169" s="110" t="s">
        <v>65</v>
      </c>
      <c r="C169" s="117" t="n">
        <f aca="false">C168</f>
        <v>-1739.22</v>
      </c>
      <c r="D169" s="117" t="n">
        <f aca="false">-D168</f>
        <v>-553.333333333333</v>
      </c>
      <c r="E169" s="118"/>
      <c r="K169" s="117"/>
    </row>
    <row r="170" customFormat="false" ht="12.75" hidden="false" customHeight="false" outlineLevel="0" collapsed="false">
      <c r="B170" s="119" t="s">
        <v>66</v>
      </c>
      <c r="C170" s="120" t="n">
        <f aca="false">-XpropuRef+Long_propu</f>
        <v>-1172</v>
      </c>
      <c r="D170" s="128" t="n">
        <f aca="false">-Diam_propu/2</f>
        <v>-27</v>
      </c>
      <c r="E170" s="118"/>
      <c r="K170" s="117"/>
    </row>
    <row r="171" customFormat="false" ht="12.75" hidden="false" customHeight="false" outlineLevel="0" collapsed="false">
      <c r="B171" s="122" t="s">
        <v>67</v>
      </c>
      <c r="C171" s="123" t="n">
        <f aca="false">-XpropuRef+Long_propu</f>
        <v>-1172</v>
      </c>
      <c r="D171" s="130" t="n">
        <f aca="false">Diam_propu/2</f>
        <v>27</v>
      </c>
      <c r="E171" s="118"/>
      <c r="K171" s="117"/>
    </row>
    <row r="172" customFormat="false" ht="12.75" hidden="false" customHeight="false" outlineLevel="0" collapsed="false">
      <c r="B172" s="122" t="s">
        <v>68</v>
      </c>
      <c r="C172" s="123" t="n">
        <f aca="false">-XpropuRef</f>
        <v>-1660</v>
      </c>
      <c r="D172" s="130" t="n">
        <f aca="false">Diam_propu/2</f>
        <v>27</v>
      </c>
      <c r="E172" s="118"/>
      <c r="K172" s="117"/>
    </row>
    <row r="173" customFormat="false" ht="12.75" hidden="false" customHeight="false" outlineLevel="0" collapsed="false">
      <c r="B173" s="122" t="s">
        <v>69</v>
      </c>
      <c r="C173" s="123" t="n">
        <f aca="false">-XpropuRef</f>
        <v>-1660</v>
      </c>
      <c r="D173" s="130" t="n">
        <f aca="false">-Diam_propu/2</f>
        <v>-27</v>
      </c>
      <c r="E173" s="118"/>
      <c r="K173" s="117"/>
    </row>
    <row r="174" customFormat="false" ht="12.75" hidden="false" customHeight="false" outlineLevel="0" collapsed="false">
      <c r="B174" s="125" t="s">
        <v>70</v>
      </c>
      <c r="C174" s="126" t="n">
        <f aca="false">-XpropuRef+Long_propu</f>
        <v>-1172</v>
      </c>
      <c r="D174" s="131" t="n">
        <f aca="false">-Diam_propu/2</f>
        <v>-27</v>
      </c>
      <c r="E174" s="118"/>
      <c r="F174" s="119" t="s">
        <v>71</v>
      </c>
      <c r="G174" s="132" t="s">
        <v>72</v>
      </c>
      <c r="H174" s="133" t="s">
        <v>73</v>
      </c>
      <c r="K174" s="117"/>
    </row>
    <row r="175" customFormat="false" ht="12.75" hidden="false" customHeight="false" outlineLevel="0" collapsed="false">
      <c r="B175" s="119" t="s">
        <v>74</v>
      </c>
      <c r="C175" s="120" t="n">
        <v>0</v>
      </c>
      <c r="D175" s="120" t="n">
        <v>0</v>
      </c>
      <c r="E175" s="121" t="n">
        <f aca="false">-D175</f>
        <v>-0</v>
      </c>
      <c r="F175" s="122" t="n">
        <v>0</v>
      </c>
      <c r="G175" s="19" t="n">
        <v>0</v>
      </c>
      <c r="H175" s="134" t="n">
        <v>0</v>
      </c>
      <c r="K175" s="117"/>
    </row>
    <row r="176" customFormat="false" ht="12.75" hidden="false" customHeight="false" outlineLevel="0" collapsed="false">
      <c r="B176" s="122" t="s">
        <v>33</v>
      </c>
      <c r="C176" s="123" t="n">
        <f aca="false">-Long_ogive*0.1</f>
        <v>-40</v>
      </c>
      <c r="D176" s="123" t="n">
        <f aca="false">IF(LEFT(Forme_ogive,5)="Parab",H176,IF(LEFT(Forme_ogive,4)="Ogiv",G176,IF(LEFT(Forme_ogive,3)="Con",F176)))</f>
        <v>12</v>
      </c>
      <c r="E176" s="124" t="n">
        <f aca="false">-D176</f>
        <v>-12</v>
      </c>
      <c r="F176" s="122" t="n">
        <f aca="false">D_og/2*0.1</f>
        <v>6</v>
      </c>
      <c r="G176" s="19" t="n">
        <f aca="false">D_og/2*0.2</f>
        <v>12</v>
      </c>
      <c r="H176" s="134" t="n">
        <f aca="false">D_og/2*0.5</f>
        <v>30</v>
      </c>
      <c r="K176" s="117"/>
    </row>
    <row r="177" customFormat="false" ht="12.75" hidden="false" customHeight="false" outlineLevel="0" collapsed="false">
      <c r="B177" s="122" t="s">
        <v>33</v>
      </c>
      <c r="C177" s="123" t="n">
        <f aca="false">-Long_ogive/4</f>
        <v>-100</v>
      </c>
      <c r="D177" s="123" t="n">
        <f aca="false">IF(LEFT(Forme_ogive,5)="Parab",H177,IF(LEFT(Forme_ogive,4)="Ogiv",G177,IF(LEFT(Forme_ogive,3)="Con",F177)))</f>
        <v>30</v>
      </c>
      <c r="E177" s="124" t="n">
        <f aca="false">-D177</f>
        <v>-30</v>
      </c>
      <c r="F177" s="122" t="n">
        <f aca="false">D_og/2*1/4</f>
        <v>15</v>
      </c>
      <c r="G177" s="19" t="n">
        <f aca="false">D_og/2/2</f>
        <v>30</v>
      </c>
      <c r="H177" s="134" t="n">
        <f aca="false">D_og/2*0.7</f>
        <v>42</v>
      </c>
      <c r="K177" s="117"/>
    </row>
    <row r="178" customFormat="false" ht="12.75" hidden="false" customHeight="false" outlineLevel="0" collapsed="false">
      <c r="B178" s="122" t="s">
        <v>33</v>
      </c>
      <c r="C178" s="123" t="n">
        <f aca="false">-Long_ogive/2</f>
        <v>-200</v>
      </c>
      <c r="D178" s="123" t="n">
        <f aca="false">IF(LEFT(Forme_ogive,5)="Parab",H178,IF(LEFT(Forme_ogive,4)="Ogiv",G178,IF(LEFT(Forme_ogive,3)="Con",F178)))</f>
        <v>45</v>
      </c>
      <c r="E178" s="124" t="n">
        <f aca="false">-D178</f>
        <v>-45</v>
      </c>
      <c r="F178" s="122" t="n">
        <f aca="false">D_og/2/2</f>
        <v>30</v>
      </c>
      <c r="G178" s="19" t="n">
        <f aca="false">D_og/2*3/4</f>
        <v>45</v>
      </c>
      <c r="H178" s="134" t="n">
        <f aca="false">D_og/2*0.88</f>
        <v>52.8</v>
      </c>
      <c r="K178" s="117"/>
    </row>
    <row r="179" customFormat="false" ht="12.75" hidden="false" customHeight="false" outlineLevel="0" collapsed="false">
      <c r="B179" s="122" t="s">
        <v>33</v>
      </c>
      <c r="C179" s="123" t="n">
        <f aca="false">-Long_ogive*3/4</f>
        <v>-300</v>
      </c>
      <c r="D179" s="123" t="n">
        <f aca="false">IF(LEFT(Forme_ogive,5)="Parab",H179,IF(LEFT(Forme_ogive,4)="Ogiv",G179,IF(LEFT(Forme_ogive,3)="Con",F179)))</f>
        <v>54</v>
      </c>
      <c r="E179" s="124" t="n">
        <f aca="false">-D179</f>
        <v>-54</v>
      </c>
      <c r="F179" s="122" t="n">
        <f aca="false">D_og/2*3/4</f>
        <v>45</v>
      </c>
      <c r="G179" s="19" t="n">
        <f aca="false">D_og/2*0.9</f>
        <v>54</v>
      </c>
      <c r="H179" s="134" t="n">
        <f aca="false">D_og/2*0.95</f>
        <v>57</v>
      </c>
      <c r="K179" s="117"/>
    </row>
    <row r="180" customFormat="false" ht="12.75" hidden="false" customHeight="false" outlineLevel="0" collapsed="false">
      <c r="B180" s="125" t="s">
        <v>33</v>
      </c>
      <c r="C180" s="126" t="n">
        <f aca="false">-Long_ogive</f>
        <v>-400</v>
      </c>
      <c r="D180" s="126" t="n">
        <f aca="false">D_og/2</f>
        <v>60</v>
      </c>
      <c r="E180" s="127" t="n">
        <f aca="false">-D180</f>
        <v>-60</v>
      </c>
      <c r="F180" s="125" t="n">
        <f aca="false">D_og/2</f>
        <v>60</v>
      </c>
      <c r="G180" s="135" t="n">
        <f aca="false">D_og/2</f>
        <v>60</v>
      </c>
      <c r="H180" s="136" t="n">
        <f aca="false">D_og/2</f>
        <v>60</v>
      </c>
      <c r="K180" s="4"/>
    </row>
    <row r="181" customFormat="false" ht="12.75" hidden="false" customHeight="false" outlineLevel="0" collapsed="false">
      <c r="B181" s="110" t="s">
        <v>75</v>
      </c>
      <c r="C181" s="110" t="s">
        <v>76</v>
      </c>
      <c r="D181" s="119" t="s">
        <v>75</v>
      </c>
      <c r="E181" s="137" t="s">
        <v>76</v>
      </c>
      <c r="K181" s="110"/>
    </row>
    <row r="182" customFormat="false" ht="12.75" hidden="false" customHeight="false" outlineLevel="0" collapsed="false">
      <c r="B182" s="119" t="n">
        <v>0</v>
      </c>
      <c r="C182" s="132" t="n">
        <f aca="false">critcnmin</f>
        <v>15</v>
      </c>
      <c r="D182" s="122" t="n">
        <v>0.5</v>
      </c>
      <c r="E182" s="138" t="n">
        <f aca="false">critmscnmin/D182</f>
        <v>60</v>
      </c>
      <c r="K182" s="110"/>
    </row>
    <row r="183" customFormat="false" ht="12.75" hidden="false" customHeight="false" outlineLevel="0" collapsed="false">
      <c r="B183" s="125" t="n">
        <v>7</v>
      </c>
      <c r="C183" s="135" t="n">
        <f aca="false">critcnmin</f>
        <v>15</v>
      </c>
      <c r="D183" s="122" t="n">
        <v>1</v>
      </c>
      <c r="E183" s="138" t="n">
        <f aca="false">critmscnmin/D183</f>
        <v>30</v>
      </c>
      <c r="K183" s="110"/>
    </row>
    <row r="184" customFormat="false" ht="12.75" hidden="false" customHeight="false" outlineLevel="0" collapsed="false">
      <c r="B184" s="119" t="n">
        <v>0</v>
      </c>
      <c r="C184" s="132" t="n">
        <f aca="false">critcnmax</f>
        <v>30</v>
      </c>
      <c r="D184" s="122" t="n">
        <v>2</v>
      </c>
      <c r="E184" s="138" t="n">
        <f aca="false">critmscnmin/D184</f>
        <v>15</v>
      </c>
      <c r="K184" s="110"/>
    </row>
    <row r="185" customFormat="false" ht="12.75" hidden="false" customHeight="false" outlineLevel="0" collapsed="false">
      <c r="B185" s="125" t="n">
        <v>7</v>
      </c>
      <c r="C185" s="135" t="n">
        <f aca="false">critcnmax</f>
        <v>30</v>
      </c>
      <c r="D185" s="122" t="n">
        <v>3</v>
      </c>
      <c r="E185" s="138" t="n">
        <f aca="false">critmscnmin/D185</f>
        <v>10</v>
      </c>
      <c r="K185" s="110"/>
    </row>
    <row r="186" customFormat="false" ht="12.75" hidden="false" customHeight="false" outlineLevel="0" collapsed="false">
      <c r="B186" s="119" t="n">
        <f aca="false">critmsmin</f>
        <v>1.5</v>
      </c>
      <c r="C186" s="132" t="n">
        <v>0</v>
      </c>
      <c r="D186" s="122" t="n">
        <v>5</v>
      </c>
      <c r="E186" s="138" t="n">
        <f aca="false">critmscnmin/D186</f>
        <v>6</v>
      </c>
      <c r="K186" s="110"/>
    </row>
    <row r="187" customFormat="false" ht="12.75" hidden="false" customHeight="false" outlineLevel="0" collapsed="false">
      <c r="B187" s="125" t="n">
        <f aca="false">critmsmin</f>
        <v>1.5</v>
      </c>
      <c r="C187" s="135" t="n">
        <v>55</v>
      </c>
      <c r="D187" s="122" t="n">
        <v>7</v>
      </c>
      <c r="E187" s="138" t="n">
        <f aca="false">critmscnmin/D187</f>
        <v>4.28571428571429</v>
      </c>
      <c r="K187" s="110"/>
    </row>
    <row r="188" customFormat="false" ht="12.75" hidden="false" customHeight="false" outlineLevel="0" collapsed="false">
      <c r="B188" s="119" t="n">
        <f aca="false">critmsmax</f>
        <v>6</v>
      </c>
      <c r="C188" s="132" t="n">
        <v>0</v>
      </c>
      <c r="D188" s="122" t="n">
        <v>1</v>
      </c>
      <c r="E188" s="138" t="n">
        <f aca="false">critmscnmax/D188</f>
        <v>100</v>
      </c>
      <c r="K188" s="110"/>
    </row>
    <row r="189" customFormat="false" ht="12.75" hidden="false" customHeight="false" outlineLevel="0" collapsed="false">
      <c r="B189" s="125" t="n">
        <f aca="false">critmsmax</f>
        <v>6</v>
      </c>
      <c r="C189" s="135" t="n">
        <v>55</v>
      </c>
      <c r="D189" s="122" t="n">
        <v>2</v>
      </c>
      <c r="E189" s="138" t="n">
        <f aca="false">critmscnmax/D189</f>
        <v>50</v>
      </c>
      <c r="K189" s="110"/>
    </row>
    <row r="190" customFormat="false" ht="12.75" hidden="false" customHeight="false" outlineLevel="0" collapsed="false">
      <c r="B190" s="139" t="e">
        <f aca="false">MS_min</f>
        <v>#NAME?</v>
      </c>
      <c r="C190" s="140" t="n">
        <f aca="false">Cn</f>
        <v>21.4975242818324</v>
      </c>
      <c r="D190" s="122" t="n">
        <v>3</v>
      </c>
      <c r="E190" s="138" t="n">
        <f aca="false">critmscnmax/D190</f>
        <v>33.3333333333333</v>
      </c>
      <c r="K190" s="110"/>
    </row>
    <row r="191" customFormat="false" ht="12.75" hidden="false" customHeight="false" outlineLevel="0" collapsed="false">
      <c r="B191" s="141" t="n">
        <f aca="false">(XCp0-XcgPlein)/D_ref</f>
        <v>0.716061259732934</v>
      </c>
      <c r="C191" s="142" t="n">
        <f aca="false">Cn0</f>
        <v>21.4975242818324</v>
      </c>
      <c r="D191" s="122" t="n">
        <v>4</v>
      </c>
      <c r="E191" s="138" t="n">
        <f aca="false">critmscnmax/D191</f>
        <v>25</v>
      </c>
      <c r="K191" s="110"/>
    </row>
    <row r="192" customFormat="false" ht="12.75" hidden="false" customHeight="false" outlineLevel="0" collapsed="false">
      <c r="B192" s="141" t="n">
        <f aca="false">(XCp0-XcgVide)/D_ref</f>
        <v>1.45397797113045</v>
      </c>
      <c r="C192" s="142" t="n">
        <f aca="false">Cn0</f>
        <v>21.4975242818324</v>
      </c>
      <c r="D192" s="122" t="n">
        <v>6</v>
      </c>
      <c r="E192" s="138" t="n">
        <f aca="false">critmscnmax/D192</f>
        <v>16.6666666666667</v>
      </c>
      <c r="K192" s="110"/>
    </row>
    <row r="193" customFormat="false" ht="12.75" hidden="false" customHeight="false" outlineLevel="0" collapsed="false">
      <c r="B193" s="141" t="e">
        <f aca="false">(xcp-XcgVide)/D_ref</f>
        <v>#NAME?</v>
      </c>
      <c r="C193" s="142" t="n">
        <f aca="false">Cn</f>
        <v>21.4975242818324</v>
      </c>
      <c r="D193" s="125" t="n">
        <v>7</v>
      </c>
      <c r="E193" s="143" t="n">
        <f aca="false">critmscnmax/D193</f>
        <v>14.2857142857143</v>
      </c>
      <c r="K193" s="110"/>
    </row>
    <row r="194" customFormat="false" ht="12.75" hidden="false" customHeight="false" outlineLevel="0" collapsed="false">
      <c r="B194" s="141" t="e">
        <f aca="false">MS_min</f>
        <v>#NAME?</v>
      </c>
      <c r="C194" s="144" t="n">
        <f aca="false">Cn</f>
        <v>21.4975242818324</v>
      </c>
      <c r="D194" s="19"/>
      <c r="E194" s="145"/>
      <c r="K194" s="110"/>
    </row>
    <row r="195" customFormat="false" ht="12.75" hidden="false" customHeight="false" outlineLevel="0" collapsed="false">
      <c r="B195" s="119" t="n">
        <v>0</v>
      </c>
      <c r="C195" s="132" t="n">
        <f aca="false">(critcnmin+critcnmax)/2</f>
        <v>22.5</v>
      </c>
      <c r="D195" s="4"/>
      <c r="E195" s="146"/>
      <c r="K195" s="4"/>
    </row>
    <row r="196" customFormat="false" ht="12.75" hidden="false" customHeight="false" outlineLevel="0" collapsed="false">
      <c r="B196" s="122" t="n">
        <f aca="false">MAX(critmsmin,critmscnmin/C196)</f>
        <v>1.5</v>
      </c>
      <c r="C196" s="19" t="n">
        <f aca="false">(critcnmin+critcnmax)/2</f>
        <v>22.5</v>
      </c>
      <c r="D196" s="4"/>
      <c r="E196" s="146"/>
      <c r="K196" s="4"/>
    </row>
    <row r="197" customFormat="false" ht="12.75" hidden="false" customHeight="false" outlineLevel="0" collapsed="false">
      <c r="B197" s="122" t="n">
        <f aca="false">MIN(critmsmax,critmscnmax/C197)</f>
        <v>4.44444444444445</v>
      </c>
      <c r="C197" s="134" t="n">
        <f aca="false">(critcnmin+critcnmax)/2</f>
        <v>22.5</v>
      </c>
    </row>
    <row r="198" customFormat="false" ht="12.75" hidden="false" customHeight="false" outlineLevel="0" collapsed="false">
      <c r="B198" s="125" t="n">
        <v>7</v>
      </c>
      <c r="C198" s="136" t="n">
        <f aca="false">(critcnmin+critcnmax)/2</f>
        <v>22.5</v>
      </c>
    </row>
    <row r="199" customFormat="false" ht="12.75" hidden="false" customHeight="false" outlineLevel="0" collapsed="false">
      <c r="B199" s="119" t="n">
        <f aca="false">(critmsmin+critmsmax)/2</f>
        <v>3.75</v>
      </c>
      <c r="C199" s="147" t="n">
        <v>0</v>
      </c>
    </row>
    <row r="200" customFormat="false" ht="12.75" hidden="false" customHeight="false" outlineLevel="0" collapsed="false">
      <c r="B200" s="122" t="n">
        <f aca="false">(critmsmin+critmsmax)/2</f>
        <v>3.75</v>
      </c>
      <c r="C200" s="148" t="n">
        <f aca="false">MAX(critcnmin,critmscnmin/B200)</f>
        <v>15</v>
      </c>
    </row>
    <row r="201" customFormat="false" ht="12.75" hidden="false" customHeight="false" outlineLevel="0" collapsed="false">
      <c r="B201" s="122" t="n">
        <f aca="false">(critmsmin+critmsmax)/2</f>
        <v>3.75</v>
      </c>
      <c r="C201" s="148" t="n">
        <f aca="false">MIN(critcnmax,critmscnmax/B201)</f>
        <v>26.6666666666667</v>
      </c>
    </row>
    <row r="202" customFormat="false" ht="12.75" hidden="false" customHeight="false" outlineLevel="0" collapsed="false">
      <c r="B202" s="125" t="n">
        <f aca="false">(critmsmin+critmsmax)/2</f>
        <v>3.75</v>
      </c>
      <c r="C202" s="149" t="n">
        <v>55</v>
      </c>
    </row>
    <row r="203" customFormat="false" ht="12.75" hidden="false" customHeight="false" outlineLevel="0" collapsed="false">
      <c r="D203" s="150"/>
    </row>
    <row r="204" customFormat="false" ht="12.75" hidden="false" customHeight="false" outlineLevel="0" collapsed="false">
      <c r="B204" s="151" t="s">
        <v>77</v>
      </c>
      <c r="C204" s="152" t="b">
        <f aca="false">(OR(C205:C210))</f>
        <v>1</v>
      </c>
      <c r="D204" s="150"/>
    </row>
    <row r="205" customFormat="false" ht="12.75" hidden="false" customHeight="false" outlineLevel="0" collapsed="false">
      <c r="B205" s="115" t="s">
        <v>78</v>
      </c>
      <c r="C205" s="153" t="b">
        <f aca="false">AND(Type_propu="H2O",RIGHT(Type_fusee,1)=" ")</f>
        <v>0</v>
      </c>
      <c r="D205" s="150"/>
    </row>
    <row r="206" customFormat="false" ht="12.75" hidden="false" customHeight="false" outlineLevel="0" collapsed="false">
      <c r="B206" s="115" t="s">
        <v>79</v>
      </c>
      <c r="C206" s="153" t="b">
        <f aca="false">AND(Type_propu="Fusex",RIGHT(Type_fusee,1)=".")</f>
        <v>1</v>
      </c>
      <c r="D206" s="150"/>
    </row>
    <row r="207" customFormat="false" ht="12.75" hidden="false" customHeight="false" outlineLevel="0" collapsed="false">
      <c r="B207" s="115" t="s">
        <v>80</v>
      </c>
      <c r="C207" s="153" t="b">
        <f aca="false">LEFT(Type_propu,5)=LEFT(Type_fusee,5)</f>
        <v>0</v>
      </c>
      <c r="D207" s="150"/>
    </row>
    <row r="208" customFormat="false" ht="12.75" hidden="false" customHeight="false" outlineLevel="0" collapsed="false">
      <c r="B208" s="115" t="s">
        <v>81</v>
      </c>
      <c r="C208" s="153" t="b">
        <f aca="false">AND(RIGHT(Type_propu,1)="N",LEFT(Type_fusee,4)="Mini")</f>
        <v>0</v>
      </c>
      <c r="D208" s="150"/>
    </row>
    <row r="209" customFormat="false" ht="12.75" hidden="false" customHeight="false" outlineLevel="0" collapsed="false">
      <c r="B209" s="115" t="s">
        <v>82</v>
      </c>
      <c r="C209" s="153" t="b">
        <f aca="false">AND(LEFT(Type_propu,5)="MiniR",LEFT(Type_fusee,1)="R")</f>
        <v>0</v>
      </c>
    </row>
    <row r="210" customFormat="false" ht="12.75" hidden="false" customHeight="false" outlineLevel="0" collapsed="false">
      <c r="B210" s="115" t="s">
        <v>83</v>
      </c>
      <c r="C210" s="153" t="b">
        <f aca="false">AND(LEFT(Type_propu,4)="Mini",LEFT(Type_fusee,1)=",")</f>
        <v>0</v>
      </c>
    </row>
    <row r="223" customFormat="false" ht="12.75" hidden="false" customHeight="false" outlineLevel="0" collapsed="false">
      <c r="A223" s="1" t="s">
        <v>84</v>
      </c>
    </row>
    <row r="226" customFormat="false" ht="12.75" hidden="false" customHeight="false" outlineLevel="0" collapsed="false">
      <c r="A226" s="1" t="s">
        <v>85</v>
      </c>
    </row>
    <row r="228" customFormat="false" ht="12.75" hidden="false" customHeight="false" outlineLevel="0" collapsed="false">
      <c r="A228" s="1" t="s">
        <v>86</v>
      </c>
    </row>
    <row r="230" customFormat="false" ht="12.75" hidden="false" customHeight="false" outlineLevel="0" collapsed="false">
      <c r="A230" s="1" t="s">
        <v>87</v>
      </c>
    </row>
    <row r="232" customFormat="false" ht="12.75" hidden="false" customHeight="false" outlineLevel="0" collapsed="false">
      <c r="A232" s="1" t="s">
        <v>88</v>
      </c>
    </row>
    <row r="233" customFormat="false" ht="12.75" hidden="false" customHeight="false" outlineLevel="0" collapsed="false">
      <c r="A233" s="1" t="s">
        <v>89</v>
      </c>
    </row>
    <row r="234" customFormat="false" ht="12.75" hidden="false" customHeight="false" outlineLevel="0" collapsed="false">
      <c r="A234" s="1" t="s">
        <v>90</v>
      </c>
    </row>
    <row r="235" customFormat="false" ht="12.75" hidden="false" customHeight="false" outlineLevel="0" collapsed="false">
      <c r="A235" s="1" t="s">
        <v>91</v>
      </c>
    </row>
    <row r="236" customFormat="false" ht="12.75" hidden="false" customHeight="false" outlineLevel="0" collapsed="false">
      <c r="A236" s="1" t="s">
        <v>92</v>
      </c>
    </row>
    <row r="237" customFormat="false" ht="12.75" hidden="false" customHeight="false" outlineLevel="0" collapsed="false">
      <c r="A237" s="1" t="s">
        <v>93</v>
      </c>
    </row>
    <row r="238" customFormat="false" ht="12.75" hidden="false" customHeight="false" outlineLevel="0" collapsed="false">
      <c r="A238" s="1" t="s">
        <v>94</v>
      </c>
    </row>
    <row r="239" customFormat="false" ht="12.75" hidden="false" customHeight="false" outlineLevel="0" collapsed="false">
      <c r="A239" s="1" t="s">
        <v>95</v>
      </c>
    </row>
    <row r="240" customFormat="false" ht="12.75" hidden="false" customHeight="false" outlineLevel="0" collapsed="false">
      <c r="A240" s="1" t="s">
        <v>96</v>
      </c>
    </row>
    <row r="241" customFormat="false" ht="12.75" hidden="false" customHeight="false" outlineLevel="0" collapsed="false">
      <c r="A241" s="1" t="s">
        <v>94</v>
      </c>
    </row>
    <row r="242" customFormat="false" ht="12.75" hidden="false" customHeight="false" outlineLevel="0" collapsed="false">
      <c r="A242" s="1" t="s">
        <v>97</v>
      </c>
    </row>
    <row r="244" customFormat="false" ht="12.75" hidden="false" customHeight="false" outlineLevel="0" collapsed="false">
      <c r="A244" s="1" t="s">
        <v>98</v>
      </c>
    </row>
    <row r="246" customFormat="false" ht="12.75" hidden="false" customHeight="false" outlineLevel="0" collapsed="false">
      <c r="A246" s="1" t="s">
        <v>99</v>
      </c>
    </row>
    <row r="248" customFormat="false" ht="12.75" hidden="false" customHeight="false" outlineLevel="0" collapsed="false">
      <c r="A248" s="1" t="s">
        <v>100</v>
      </c>
    </row>
    <row r="249" customFormat="false" ht="12.75" hidden="false" customHeight="false" outlineLevel="0" collapsed="false">
      <c r="A249" s="1" t="s">
        <v>101</v>
      </c>
    </row>
    <row r="250" customFormat="false" ht="12.75" hidden="false" customHeight="false" outlineLevel="0" collapsed="false">
      <c r="A250" s="1" t="s">
        <v>102</v>
      </c>
    </row>
    <row r="251" customFormat="false" ht="12.75" hidden="false" customHeight="false" outlineLevel="0" collapsed="false">
      <c r="A251" s="1" t="s">
        <v>103</v>
      </c>
    </row>
    <row r="252" customFormat="false" ht="12.75" hidden="false" customHeight="false" outlineLevel="0" collapsed="false">
      <c r="A252" s="1" t="s">
        <v>104</v>
      </c>
    </row>
    <row r="254" customFormat="false" ht="12.75" hidden="false" customHeight="false" outlineLevel="0" collapsed="false">
      <c r="A254" s="1" t="s">
        <v>105</v>
      </c>
    </row>
    <row r="255" customFormat="false" ht="12.75" hidden="false" customHeight="false" outlineLevel="0" collapsed="false">
      <c r="A255" s="1" t="s">
        <v>106</v>
      </c>
    </row>
    <row r="256" customFormat="false" ht="12.75" hidden="false" customHeight="false" outlineLevel="0" collapsed="false">
      <c r="A256" s="1" t="s">
        <v>107</v>
      </c>
    </row>
    <row r="257" customFormat="false" ht="12.75" hidden="false" customHeight="false" outlineLevel="0" collapsed="false">
      <c r="A257" s="1" t="s">
        <v>108</v>
      </c>
    </row>
    <row r="258" customFormat="false" ht="12.75" hidden="false" customHeight="false" outlineLevel="0" collapsed="false">
      <c r="A258" s="1" t="s">
        <v>109</v>
      </c>
    </row>
    <row r="261" customFormat="false" ht="12.75" hidden="false" customHeight="false" outlineLevel="0" collapsed="false">
      <c r="A261" s="1" t="s">
        <v>110</v>
      </c>
    </row>
    <row r="262" customFormat="false" ht="12.75" hidden="false" customHeight="false" outlineLevel="0" collapsed="false">
      <c r="A262" s="1" t="s">
        <v>111</v>
      </c>
    </row>
    <row r="263" customFormat="false" ht="12.75" hidden="false" customHeight="false" outlineLevel="0" collapsed="false">
      <c r="A263" s="1" t="s">
        <v>112</v>
      </c>
    </row>
    <row r="264" customFormat="false" ht="12.75" hidden="false" customHeight="false" outlineLevel="0" collapsed="false">
      <c r="A264" s="1" t="s">
        <v>113</v>
      </c>
    </row>
    <row r="265" customFormat="false" ht="12.75" hidden="false" customHeight="false" outlineLevel="0" collapsed="false">
      <c r="A265" s="1" t="s">
        <v>114</v>
      </c>
    </row>
    <row r="267" customFormat="false" ht="12.75" hidden="false" customHeight="false" outlineLevel="0" collapsed="false">
      <c r="A267" s="1" t="s">
        <v>107</v>
      </c>
    </row>
    <row r="268" customFormat="false" ht="12.75" hidden="false" customHeight="false" outlineLevel="0" collapsed="false">
      <c r="A268" s="1" t="s">
        <v>108</v>
      </c>
    </row>
    <row r="269" customFormat="false" ht="12.75" hidden="false" customHeight="false" outlineLevel="0" collapsed="false">
      <c r="A269" s="1" t="s">
        <v>115</v>
      </c>
    </row>
    <row r="272" customFormat="false" ht="12.75" hidden="false" customHeight="false" outlineLevel="0" collapsed="false">
      <c r="A272" s="1" t="s">
        <v>116</v>
      </c>
    </row>
    <row r="273" customFormat="false" ht="12.75" hidden="false" customHeight="false" outlineLevel="0" collapsed="false">
      <c r="A273" s="1" t="s">
        <v>117</v>
      </c>
    </row>
    <row r="275" customFormat="false" ht="12.75" hidden="false" customHeight="false" outlineLevel="0" collapsed="false">
      <c r="A275" s="1" t="s">
        <v>118</v>
      </c>
    </row>
    <row r="277" customFormat="false" ht="12.75" hidden="false" customHeight="false" outlineLevel="0" collapsed="false">
      <c r="A277" s="1" t="s">
        <v>115</v>
      </c>
    </row>
    <row r="280" customFormat="false" ht="12.75" hidden="false" customHeight="false" outlineLevel="0" collapsed="false">
      <c r="A280" s="1" t="s">
        <v>119</v>
      </c>
    </row>
    <row r="281" customFormat="false" ht="12.75" hidden="false" customHeight="false" outlineLevel="0" collapsed="false">
      <c r="A281" s="1" t="s">
        <v>120</v>
      </c>
    </row>
    <row r="282" customFormat="false" ht="12.75" hidden="false" customHeight="false" outlineLevel="0" collapsed="false">
      <c r="A282" s="1" t="s">
        <v>121</v>
      </c>
    </row>
    <row r="283" customFormat="false" ht="12.75" hidden="false" customHeight="false" outlineLevel="0" collapsed="false">
      <c r="A283" s="1" t="s">
        <v>122</v>
      </c>
    </row>
    <row r="284" customFormat="false" ht="12.75" hidden="false" customHeight="false" outlineLevel="0" collapsed="false">
      <c r="A284" s="1" t="s">
        <v>115</v>
      </c>
    </row>
    <row r="285" customFormat="false" ht="12.75" hidden="false" customHeight="false" outlineLevel="0" collapsed="false">
      <c r="A285" s="1" t="s">
        <v>123</v>
      </c>
    </row>
    <row r="287" customFormat="false" ht="12.75" hidden="false" customHeight="false" outlineLevel="0" collapsed="false">
      <c r="A287" s="1" t="s">
        <v>124</v>
      </c>
    </row>
    <row r="288" customFormat="false" ht="12.75" hidden="false" customHeight="false" outlineLevel="0" collapsed="false">
      <c r="A288" s="1" t="s">
        <v>121</v>
      </c>
    </row>
    <row r="289" customFormat="false" ht="12.75" hidden="false" customHeight="false" outlineLevel="0" collapsed="false">
      <c r="A289" s="1" t="s">
        <v>125</v>
      </c>
    </row>
    <row r="291" customFormat="false" ht="12.75" hidden="false" customHeight="false" outlineLevel="0" collapsed="false">
      <c r="A291" s="1" t="s">
        <v>115</v>
      </c>
    </row>
    <row r="294" customFormat="false" ht="12.75" hidden="false" customHeight="false" outlineLevel="0" collapsed="false">
      <c r="A294" s="1" t="s">
        <v>126</v>
      </c>
    </row>
    <row r="295" customFormat="false" ht="12.75" hidden="false" customHeight="false" outlineLevel="0" collapsed="false">
      <c r="A295" s="1" t="s">
        <v>127</v>
      </c>
    </row>
    <row r="296" customFormat="false" ht="12.75" hidden="false" customHeight="false" outlineLevel="0" collapsed="false">
      <c r="A296" s="1" t="s">
        <v>128</v>
      </c>
    </row>
    <row r="298" customFormat="false" ht="12.75" hidden="false" customHeight="false" outlineLevel="0" collapsed="false">
      <c r="A298" s="1" t="s">
        <v>115</v>
      </c>
    </row>
    <row r="301" customFormat="false" ht="12.75" hidden="false" customHeight="false" outlineLevel="0" collapsed="false">
      <c r="A301" s="1" t="s">
        <v>129</v>
      </c>
    </row>
    <row r="302" customFormat="false" ht="12.75" hidden="false" customHeight="false" outlineLevel="0" collapsed="false">
      <c r="A302" s="1" t="s">
        <v>130</v>
      </c>
    </row>
    <row r="304" customFormat="false" ht="12.75" hidden="false" customHeight="false" outlineLevel="0" collapsed="false">
      <c r="A304" s="1" t="s">
        <v>131</v>
      </c>
    </row>
    <row r="305" customFormat="false" ht="12.75" hidden="false" customHeight="false" outlineLevel="0" collapsed="false">
      <c r="A305" s="1" t="s">
        <v>132</v>
      </c>
    </row>
    <row r="306" customFormat="false" ht="12.75" hidden="false" customHeight="false" outlineLevel="0" collapsed="false">
      <c r="A306" s="1" t="s">
        <v>115</v>
      </c>
    </row>
    <row r="309" customFormat="false" ht="12.75" hidden="false" customHeight="false" outlineLevel="0" collapsed="false">
      <c r="A309" s="1" t="s">
        <v>129</v>
      </c>
    </row>
    <row r="310" customFormat="false" ht="12.75" hidden="false" customHeight="false" outlineLevel="0" collapsed="false">
      <c r="A310" s="1" t="s">
        <v>133</v>
      </c>
    </row>
    <row r="311" customFormat="false" ht="12.75" hidden="false" customHeight="false" outlineLevel="0" collapsed="false">
      <c r="A311" s="1" t="s">
        <v>129</v>
      </c>
    </row>
    <row r="312" customFormat="false" ht="12.75" hidden="false" customHeight="false" outlineLevel="0" collapsed="false">
      <c r="A312" s="1" t="s">
        <v>134</v>
      </c>
    </row>
    <row r="314" customFormat="false" ht="12.75" hidden="false" customHeight="false" outlineLevel="0" collapsed="false">
      <c r="A314" s="1" t="s">
        <v>135</v>
      </c>
    </row>
    <row r="316" customFormat="false" ht="12.75" hidden="false" customHeight="false" outlineLevel="0" collapsed="false">
      <c r="A316" s="1" t="s">
        <v>115</v>
      </c>
    </row>
    <row r="319" customFormat="false" ht="12.75" hidden="false" customHeight="false" outlineLevel="0" collapsed="false">
      <c r="A319" s="1" t="s">
        <v>129</v>
      </c>
    </row>
    <row r="320" customFormat="false" ht="12.75" hidden="false" customHeight="false" outlineLevel="0" collapsed="false">
      <c r="A320" s="1" t="s">
        <v>136</v>
      </c>
    </row>
    <row r="321" customFormat="false" ht="12.75" hidden="false" customHeight="false" outlineLevel="0" collapsed="false">
      <c r="A321" s="1" t="s">
        <v>137</v>
      </c>
    </row>
    <row r="322" customFormat="false" ht="12.75" hidden="false" customHeight="false" outlineLevel="0" collapsed="false">
      <c r="A322" s="1" t="s">
        <v>138</v>
      </c>
    </row>
    <row r="324" customFormat="false" ht="12.75" hidden="false" customHeight="false" outlineLevel="0" collapsed="false">
      <c r="A324" s="1" t="s">
        <v>115</v>
      </c>
    </row>
    <row r="326" customFormat="false" ht="12.75" hidden="false" customHeight="false" outlineLevel="0" collapsed="false">
      <c r="A326" s="1" t="s">
        <v>139</v>
      </c>
    </row>
    <row r="329" customFormat="false" ht="12.75" hidden="false" customHeight="false" outlineLevel="0" collapsed="false">
      <c r="A329" s="1" t="s">
        <v>140</v>
      </c>
    </row>
    <row r="330" customFormat="false" ht="12.75" hidden="false" customHeight="false" outlineLevel="0" collapsed="false">
      <c r="A330" s="1" t="s">
        <v>141</v>
      </c>
    </row>
    <row r="331" customFormat="false" ht="12.75" hidden="false" customHeight="false" outlineLevel="0" collapsed="false">
      <c r="A331" s="1" t="s">
        <v>142</v>
      </c>
    </row>
    <row r="332" customFormat="false" ht="12.75" hidden="false" customHeight="false" outlineLevel="0" collapsed="false">
      <c r="A332" s="1" t="s">
        <v>143</v>
      </c>
    </row>
    <row r="333" customFormat="false" ht="12.75" hidden="false" customHeight="false" outlineLevel="0" collapsed="false">
      <c r="A333" s="1" t="s">
        <v>144</v>
      </c>
    </row>
    <row r="334" customFormat="false" ht="12.75" hidden="false" customHeight="false" outlineLevel="0" collapsed="false">
      <c r="A334" s="1" t="s">
        <v>145</v>
      </c>
    </row>
    <row r="335" customFormat="false" ht="12.75" hidden="false" customHeight="false" outlineLevel="0" collapsed="false">
      <c r="A335" s="1" t="s">
        <v>146</v>
      </c>
    </row>
    <row r="336" customFormat="false" ht="12.75" hidden="false" customHeight="false" outlineLevel="0" collapsed="false">
      <c r="A336" s="1" t="s">
        <v>90</v>
      </c>
    </row>
    <row r="337" customFormat="false" ht="12.75" hidden="false" customHeight="false" outlineLevel="0" collapsed="false">
      <c r="A337" s="1" t="s">
        <v>147</v>
      </c>
    </row>
    <row r="340" customFormat="false" ht="12.75" hidden="false" customHeight="false" outlineLevel="0" collapsed="false">
      <c r="A340" s="1" t="s">
        <v>148</v>
      </c>
    </row>
    <row r="342" customFormat="false" ht="12.75" hidden="false" customHeight="false" outlineLevel="0" collapsed="false">
      <c r="A342" s="1" t="s">
        <v>149</v>
      </c>
    </row>
    <row r="343" customFormat="false" ht="12.75" hidden="false" customHeight="false" outlineLevel="0" collapsed="false">
      <c r="A343" s="1" t="s">
        <v>150</v>
      </c>
    </row>
    <row r="344" customFormat="false" ht="12.75" hidden="false" customHeight="false" outlineLevel="0" collapsed="false">
      <c r="A344" s="1" t="s">
        <v>151</v>
      </c>
    </row>
    <row r="345" customFormat="false" ht="12.75" hidden="false" customHeight="false" outlineLevel="0" collapsed="false">
      <c r="A345" s="1" t="s">
        <v>152</v>
      </c>
    </row>
    <row r="346" customFormat="false" ht="12.75" hidden="false" customHeight="false" outlineLevel="0" collapsed="false">
      <c r="A346" s="1" t="s">
        <v>153</v>
      </c>
    </row>
    <row r="347" customFormat="false" ht="12.75" hidden="false" customHeight="false" outlineLevel="0" collapsed="false">
      <c r="A347" s="1" t="s">
        <v>90</v>
      </c>
    </row>
    <row r="348" customFormat="false" ht="12.75" hidden="false" customHeight="false" outlineLevel="0" collapsed="false">
      <c r="A348" s="1" t="s">
        <v>154</v>
      </c>
    </row>
    <row r="349" customFormat="false" ht="12.75" hidden="false" customHeight="false" outlineLevel="0" collapsed="false">
      <c r="A349" s="1" t="s">
        <v>155</v>
      </c>
    </row>
    <row r="350" customFormat="false" ht="12.75" hidden="false" customHeight="false" outlineLevel="0" collapsed="false">
      <c r="A350" s="1" t="s">
        <v>156</v>
      </c>
    </row>
    <row r="352" customFormat="false" ht="12.75" hidden="false" customHeight="false" outlineLevel="0" collapsed="false">
      <c r="A352" s="1" t="s">
        <v>115</v>
      </c>
    </row>
    <row r="355" customFormat="false" ht="12.75" hidden="false" customHeight="false" outlineLevel="0" collapsed="false">
      <c r="A355" s="1" t="s">
        <v>139</v>
      </c>
    </row>
    <row r="361" customFormat="false" ht="12.75" hidden="false" customHeight="false" outlineLevel="0" collapsed="false">
      <c r="A361" s="1" t="s">
        <v>157</v>
      </c>
    </row>
  </sheetData>
  <sheetProtection sheet="true" password="c6ac"/>
  <mergeCells count="56">
    <mergeCell ref="C2:D3"/>
    <mergeCell ref="M2:P2"/>
    <mergeCell ref="L3:M3"/>
    <mergeCell ref="C4:D4"/>
    <mergeCell ref="M4:P4"/>
    <mergeCell ref="C5:D5"/>
    <mergeCell ref="M5:N5"/>
    <mergeCell ref="O5:P5"/>
    <mergeCell ref="C6:D6"/>
    <mergeCell ref="M6:N6"/>
    <mergeCell ref="O6:P6"/>
    <mergeCell ref="C7:D7"/>
    <mergeCell ref="M7:N7"/>
    <mergeCell ref="O7:P7"/>
    <mergeCell ref="C8:D8"/>
    <mergeCell ref="M8:N8"/>
    <mergeCell ref="O8:P8"/>
    <mergeCell ref="C9:D9"/>
    <mergeCell ref="M9:N9"/>
    <mergeCell ref="O9:P9"/>
    <mergeCell ref="C10:D10"/>
    <mergeCell ref="N11:O11"/>
    <mergeCell ref="N12:O12"/>
    <mergeCell ref="C13:D13"/>
    <mergeCell ref="N13:O13"/>
    <mergeCell ref="C14:D14"/>
    <mergeCell ref="N14:O14"/>
    <mergeCell ref="N15:O15"/>
    <mergeCell ref="C16:D16"/>
    <mergeCell ref="C17:D17"/>
    <mergeCell ref="M17:N17"/>
    <mergeCell ref="O17:P17"/>
    <mergeCell ref="C18:D18"/>
    <mergeCell ref="M18:N18"/>
    <mergeCell ref="O18:P18"/>
    <mergeCell ref="C19:D19"/>
    <mergeCell ref="M19:N19"/>
    <mergeCell ref="O19:P19"/>
    <mergeCell ref="C20:D20"/>
    <mergeCell ref="M20:N20"/>
    <mergeCell ref="O20:P20"/>
    <mergeCell ref="C21:D21"/>
    <mergeCell ref="M21:N21"/>
    <mergeCell ref="O21:P21"/>
    <mergeCell ref="C22:D22"/>
    <mergeCell ref="M22:N22"/>
    <mergeCell ref="O22:P22"/>
    <mergeCell ref="C23:D23"/>
    <mergeCell ref="M23:N23"/>
    <mergeCell ref="O23:P23"/>
    <mergeCell ref="M24:N24"/>
    <mergeCell ref="O24:P24"/>
    <mergeCell ref="C26:D26"/>
    <mergeCell ref="H26:I26"/>
    <mergeCell ref="H27:I27"/>
    <mergeCell ref="H33:I34"/>
  </mergeCells>
  <conditionalFormatting sqref="I28">
    <cfRule type="expression" priority="2" aboveAverage="0" equalAverage="0" bottom="0" percent="0" rank="0" text="" dxfId="0">
      <formula>OR(Cn0&lt;critcnmin,Cn0&gt;critcnmax)</formula>
    </cfRule>
  </conditionalFormatting>
  <conditionalFormatting sqref="D17">
    <cfRule type="expression" priority="3" aboveAverage="0" equalAverage="0" bottom="0" percent="0" rank="0" text="" dxfId="1">
      <formula>D202</formula>
    </cfRule>
  </conditionalFormatting>
  <conditionalFormatting sqref="C29 C27">
    <cfRule type="cellIs" priority="4" operator="equal" aboveAverage="0" equalAverage="0" bottom="0" percent="0" rank="0" text="" dxfId="2">
      <formula>109</formula>
    </cfRule>
  </conditionalFormatting>
  <conditionalFormatting sqref="C28">
    <cfRule type="cellIs" priority="5" operator="equal" aboveAverage="0" equalAverage="0" bottom="0" percent="0" rank="0" text="" dxfId="3">
      <formula>59</formula>
    </cfRule>
  </conditionalFormatting>
  <conditionalFormatting sqref="C30">
    <cfRule type="cellIs" priority="6" operator="equal" aboveAverage="0" equalAverage="0" bottom="0" percent="0" rank="0" text="" dxfId="4">
      <formula>99</formula>
    </cfRule>
  </conditionalFormatting>
  <conditionalFormatting sqref="C23:D23 C14 C34">
    <cfRule type="cellIs" priority="7" operator="equal" aboveAverage="0" equalAverage="0" bottom="0" percent="0" rank="0" text="" dxfId="5">
      <formula>59</formula>
    </cfRule>
  </conditionalFormatting>
  <conditionalFormatting sqref="C22:D22">
    <cfRule type="cellIs" priority="8" operator="equal" aboveAverage="0" equalAverage="0" bottom="0" percent="0" rank="0" text="" dxfId="6">
      <formula>199</formula>
    </cfRule>
  </conditionalFormatting>
  <conditionalFormatting sqref="C13:D13 C18 C33">
    <cfRule type="cellIs" priority="9" operator="equal" aboveAverage="0" equalAverage="0" bottom="0" percent="0" rank="0" text="" dxfId="7">
      <formula>1001</formula>
    </cfRule>
  </conditionalFormatting>
  <conditionalFormatting sqref="C12">
    <cfRule type="cellIs" priority="10" operator="equal" aboveAverage="0" equalAverage="0" bottom="0" percent="0" rank="0" text="" dxfId="8">
      <formula>639</formula>
    </cfRule>
  </conditionalFormatting>
  <conditionalFormatting sqref="C11">
    <cfRule type="cellIs" priority="11" operator="equal" aboveAverage="0" equalAverage="0" bottom="0" percent="0" rank="0" text="" dxfId="9">
      <formula>359</formula>
    </cfRule>
    <cfRule type="expression" priority="12" aboveAverage="0" equalAverage="0" bottom="0" percent="0" rank="0" text="" dxfId="10">
      <formula>OR(MasseSans&lt;MpropuVide, MasseSans&gt;20*MpropuPlein)</formula>
    </cfRule>
  </conditionalFormatting>
  <conditionalFormatting sqref="N36">
    <cfRule type="expression" priority="13" aboveAverage="0" equalAverage="0" bottom="0" percent="0" rank="0" text="" dxfId="11">
      <formula>ROUND(SUM(C2:P25)+SUM(C27:P35),0)=8637</formula>
    </cfRule>
  </conditionalFormatting>
  <conditionalFormatting sqref="B14:D14 B34:C34">
    <cfRule type="expression" priority="14" aboveAverage="0" equalAverage="0" bottom="0" percent="0" rank="0" text="" dxfId="12">
      <formula>AND(IF(RIGHT(Nb_diam,1)=",",1),IF(LEFT(type_masquage,1)="M",1))</formula>
    </cfRule>
  </conditionalFormatting>
  <conditionalFormatting sqref="M5:P5">
    <cfRule type="expression" priority="15" aboveAverage="0" equalAverage="0" bottom="0" percent="0" rank="0" text="" dxfId="13">
      <formula>IF(RIGHT(Nb_diam,1)=",",1)</formula>
    </cfRule>
  </conditionalFormatting>
  <conditionalFormatting sqref="I30">
    <cfRule type="expression" priority="16" aboveAverage="0" equalAverage="0" bottom="0" percent="0" rank="0" text="" dxfId="14">
      <formula>OR(MS_Cn_max&lt;critmscnmin,MS_Cn_max&gt;critmscnmax)</formula>
    </cfRule>
  </conditionalFormatting>
  <conditionalFormatting sqref="H30">
    <cfRule type="expression" priority="17" aboveAverage="0" equalAverage="0" bottom="0" percent="0" rank="0" text="" dxfId="15">
      <formula>OR(MS_Cn_min&lt;critmscnmin,MS_Cn_min&gt;critmscnmax)</formula>
    </cfRule>
  </conditionalFormatting>
  <conditionalFormatting sqref="I29">
    <cfRule type="expression" priority="18" aboveAverage="0" equalAverage="0" bottom="0" percent="0" rank="0" text="" dxfId="16">
      <formula>OR(MS_max&lt;critmsmin,MS_max&gt;critmsmax)</formula>
    </cfRule>
  </conditionalFormatting>
  <conditionalFormatting sqref="H29">
    <cfRule type="expression" priority="19" aboveAverage="0" equalAverage="0" bottom="0" percent="0" rank="0" text="" dxfId="17">
      <formula>OR(MS_min&lt;critmsmin,MS_min&gt;critmsmax)</formula>
    </cfRule>
  </conditionalFormatting>
  <conditionalFormatting sqref="H28">
    <cfRule type="expression" priority="20" aboveAverage="0" equalAverage="0" bottom="0" percent="0" rank="0" text="" dxfId="18">
      <formula>OR(Cn&lt;critcnmin,Cn&gt;critcnmax)</formula>
    </cfRule>
  </conditionalFormatting>
  <conditionalFormatting sqref="H27:I27">
    <cfRule type="expression" priority="21" aboveAverage="0" equalAverage="0" bottom="0" percent="0" rank="0" text="" dxfId="19">
      <formula>OR(Finesse&lt;critfinessemin,Finesse&gt;critfinessemax)</formula>
    </cfRule>
  </conditionalFormatting>
  <conditionalFormatting sqref="L6:P9">
    <cfRule type="expression" priority="22" aboveAverage="0" equalAverage="0" bottom="0" percent="0" rank="0" text="" dxfId="20">
      <formula>IF(RIGHT(Nb_diam,1)=",",1)</formula>
    </cfRule>
  </conditionalFormatting>
  <conditionalFormatting sqref="H33:I34">
    <cfRule type="expression" priority="23" aboveAverage="0" equalAverage="0" bottom="0" percent="0" rank="0" text="" dxfId="21">
      <formula>$H$33="STABLE"</formula>
    </cfRule>
  </conditionalFormatting>
  <conditionalFormatting sqref="L23:P24">
    <cfRule type="expression" priority="24" aboveAverage="0" equalAverage="0" bottom="0" percent="0" rank="0" text="" dxfId="22">
      <formula>IF(RIGHT(Nb_diam,1)=",",1)</formula>
    </cfRule>
  </conditionalFormatting>
  <conditionalFormatting sqref="D25:E25 D27:E34 B35:E35 L20:P22">
    <cfRule type="expression" priority="25" aboveAverage="0" equalAverage="0" bottom="0" percent="0" rank="0" text="" dxfId="23">
      <formula>IF(LEFT(type_masquage,1)="M",1)</formula>
    </cfRule>
  </conditionalFormatting>
  <conditionalFormatting sqref="O36 M36">
    <cfRule type="expression" priority="26" aboveAverage="0" equalAverage="0" bottom="0" percent="0" rank="0" text="" dxfId="24">
      <formula>$M$36="propu NOK"</formula>
    </cfRule>
  </conditionalFormatting>
  <conditionalFormatting sqref="C17">
    <cfRule type="expression" priority="27" aboveAverage="0" equalAverage="0" bottom="0" percent="0" rank="0" text="" dxfId="25">
      <formula>C204</formula>
    </cfRule>
  </conditionalFormatting>
  <conditionalFormatting sqref="L38:M38">
    <cfRule type="expression" priority="28" aboveAverage="0" equalAverage="0" bottom="0" percent="0" rank="0" text="" dxfId="26">
      <formula>OR(SUM($C$27:$C$32)=273, $H$33&lt;&gt;"STABLE")</formula>
    </cfRule>
  </conditionalFormatting>
  <dataValidations count="13">
    <dataValidation allowBlank="true" error="Tapez un entier entre 3 et 6." errorStyle="stop" operator="between" showDropDown="false" showErrorMessage="true" showInputMessage="true" sqref="C32:D32" type="whole">
      <formula1>3</formula1>
      <formula2>6</formula2>
    </dataValidation>
    <dataValidation allowBlank="true" error="Tapez uniquement la longueur, sans l'unité." errorStyle="stop" operator="notEqual" showDropDown="false" showErrorMessage="true" showInputMessage="true" sqref="C29:D29" type="decimal">
      <formula1>1E+100</formula1>
      <formula2>0</formula2>
    </dataValidation>
    <dataValidation allowBlank="true" error="Tapez uniquement la longueur, sans l'unité." errorStyle="stop" operator="greaterThanOrEqual" showDropDown="false" showErrorMessage="true" showInputMessage="true" sqref="M6:O9 C27:D28 C30:D31 C33:D34" type="decimal">
      <formula1>0</formula1>
      <formula2>0</formula2>
    </dataValidation>
    <dataValidation allowBlank="false" errorStyle="stop" operator="between" showDropDown="false" showErrorMessage="true" showInputMessage="true" sqref="C26:D26" type="list">
      <formula1>Menu_Empennage</formula1>
      <formula2>0</formula2>
    </dataValidation>
    <dataValidation allowBlank="false" errorStyle="stop" operator="between" showDropDown="false" showErrorMessage="true" showInputMessage="true" sqref="C17:D17" type="list">
      <formula1>Liste_propu</formula1>
      <formula2>0</formula2>
    </dataValidation>
    <dataValidation allowBlank="false" errorStyle="stop" operator="between" showDropDown="false" showErrorMessage="true" showInputMessage="true" sqref="M2" type="list">
      <formula1>Menu_Lang</formula1>
      <formula2>0</formula2>
    </dataValidation>
    <dataValidation allowBlank="false" error="Tapez uniquement la masse, sans l'unité." errorStyle="stop" errorTitle="Masse de la Fusée" operator="between" showDropDown="false" showErrorMessage="true" showInputMessage="true" sqref="C11" type="decimal">
      <formula1>0</formula1>
      <formula2>50000</formula2>
    </dataValidation>
    <dataValidation allowBlank="false" error="Tapez uniquement la longueur, sans l'unité." errorStyle="stop" operator="greaterThan" showDropDown="false" showErrorMessage="true" showInputMessage="true" sqref="C12:C13 D13 C22:D23" type="decimal">
      <formula1>0</formula1>
      <formula2>0</formula2>
    </dataValidation>
    <dataValidation allowBlank="false" errorStyle="stop" operator="between" showDropDown="false" showErrorMessage="true" showInputMessage="true" sqref="D11:D12" type="list">
      <formula1>Menu_with_motor</formula1>
      <formula2>0</formula2>
    </dataValidation>
    <dataValidation allowBlank="false" errorStyle="stop" operator="between" showDropDown="false" showErrorMessage="true" showInputMessage="true" sqref="C10:D10" type="list">
      <formula1>Menu_Type</formula1>
      <formula2>0</formula2>
    </dataValidation>
    <dataValidation allowBlank="true" error="Tapez uniquement la longueur, sans l'unité." errorStyle="stop" operator="greaterThan" showDropDown="false" showErrorMessage="true" showInputMessage="true" sqref="C18" type="decimal">
      <formula1>0</formula1>
      <formula2>0</formula2>
    </dataValidation>
    <dataValidation allowBlank="false" errorStyle="stop" operator="between" showDropDown="false" showErrorMessage="true" showInputMessage="true" sqref="C21:D21" type="list">
      <formula1>Menu_Ogive</formula1>
      <formula2>0</formula2>
    </dataValidation>
    <dataValidation allowBlank="false" errorStyle="stop" operator="between" showDropDown="false" showErrorMessage="true" showInputMessage="true" sqref="M4" type="list">
      <formula1>Menu_Transitions</formula1>
      <formula2>0</formula2>
    </dataValidation>
  </dataValidations>
  <hyperlinks>
    <hyperlink ref="M38" location="Trajecto!C25" display="Trajecto"/>
  </hyperlinks>
  <printOptions headings="false" gridLines="false" gridLinesSet="true" horizontalCentered="true" verticalCentered="true"/>
  <pageMargins left="0.0784722222222222" right="0.0784722222222222" top="0.0784722222222222" bottom="0.0784722222222222"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R19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R3" activeCellId="0" sqref="R3"/>
    </sheetView>
  </sheetViews>
  <sheetFormatPr defaultColWidth="11.36328125" defaultRowHeight="12" zeroHeight="false" outlineLevelRow="0" outlineLevelCol="0"/>
  <cols>
    <col collapsed="false" customWidth="true" hidden="false" outlineLevel="0" max="1" min="1" style="154" width="2.18"/>
    <col collapsed="false" customWidth="true" hidden="false" outlineLevel="0" max="2" min="2" style="154" width="16.27"/>
    <col collapsed="false" customWidth="false" hidden="false" outlineLevel="0" max="4" min="3" style="154" width="11.36"/>
    <col collapsed="false" customWidth="true" hidden="false" outlineLevel="0" max="5" min="5" style="154" width="2.73"/>
    <col collapsed="false" customWidth="true" hidden="false" outlineLevel="0" max="7" min="6" style="154" width="12.82"/>
    <col collapsed="false" customWidth="true" hidden="false" outlineLevel="0" max="13" min="8" style="154" width="10.73"/>
    <col collapsed="false" customWidth="true" hidden="false" outlineLevel="0" max="15" min="14" style="154" width="2.18"/>
    <col collapsed="false" customWidth="true" hidden="false" outlineLevel="0" max="17" min="16" style="154" width="14.27"/>
    <col collapsed="false" customWidth="false" hidden="false" outlineLevel="0" max="16384" min="18" style="154" width="11.36"/>
  </cols>
  <sheetData>
    <row r="1" customFormat="false" ht="12.75" hidden="false" customHeight="false" outlineLevel="0" collapsed="false">
      <c r="A1" s="155"/>
      <c r="B1" s="156"/>
      <c r="C1" s="157"/>
      <c r="D1" s="156"/>
      <c r="E1" s="158"/>
      <c r="F1" s="158"/>
      <c r="G1" s="158"/>
      <c r="H1" s="158"/>
      <c r="I1" s="158"/>
      <c r="J1" s="158"/>
      <c r="K1" s="158"/>
      <c r="L1" s="158"/>
      <c r="M1" s="158"/>
      <c r="N1" s="159"/>
    </row>
    <row r="2" customFormat="false" ht="12.75" hidden="false" customHeight="true" outlineLevel="0" collapsed="false">
      <c r="A2" s="160"/>
      <c r="B2" s="161"/>
      <c r="C2" s="162" t="s">
        <v>158</v>
      </c>
      <c r="D2" s="162"/>
      <c r="E2" s="163"/>
      <c r="F2" s="164"/>
      <c r="G2" s="163"/>
      <c r="H2" s="163"/>
      <c r="I2" s="163"/>
      <c r="J2" s="165"/>
      <c r="K2" s="163"/>
      <c r="L2" s="163"/>
      <c r="M2" s="163"/>
      <c r="N2" s="166"/>
    </row>
    <row r="3" customFormat="false" ht="12.75" hidden="false" customHeight="true" outlineLevel="0" collapsed="false">
      <c r="A3" s="160"/>
      <c r="B3" s="161"/>
      <c r="C3" s="162"/>
      <c r="D3" s="162"/>
      <c r="E3" s="167"/>
      <c r="F3" s="167"/>
      <c r="G3" s="167"/>
      <c r="H3" s="168"/>
      <c r="I3" s="167"/>
      <c r="J3" s="165"/>
      <c r="K3" s="163"/>
      <c r="L3" s="163"/>
      <c r="M3" s="163"/>
      <c r="N3" s="166"/>
    </row>
    <row r="4" customFormat="false" ht="12.75" hidden="false" customHeight="true" outlineLevel="0" collapsed="false">
      <c r="A4" s="160"/>
      <c r="B4" s="161"/>
      <c r="C4" s="169" t="str">
        <f aca="false">IF(Lang="Français","Trajectographie de fusée",IF(Lang="English","Rocket Trajectography",""))</f>
        <v>Trajectographie de fusée</v>
      </c>
      <c r="D4" s="169"/>
      <c r="E4" s="167"/>
      <c r="F4" s="167"/>
      <c r="G4" s="167"/>
      <c r="H4" s="168"/>
      <c r="I4" s="167"/>
      <c r="J4" s="165"/>
      <c r="K4" s="163"/>
      <c r="L4" s="163"/>
      <c r="M4" s="163"/>
      <c r="N4" s="166"/>
    </row>
    <row r="5" customFormat="false" ht="12.75" hidden="false" customHeight="true" outlineLevel="0" collapsed="false">
      <c r="A5" s="160"/>
      <c r="B5" s="161"/>
      <c r="C5" s="163"/>
      <c r="D5" s="163"/>
      <c r="E5" s="167"/>
      <c r="F5" s="167"/>
      <c r="G5" s="163"/>
      <c r="H5" s="163"/>
      <c r="I5" s="167"/>
      <c r="J5" s="165"/>
      <c r="K5" s="163"/>
      <c r="L5" s="163"/>
      <c r="M5" s="163"/>
      <c r="N5" s="166"/>
    </row>
    <row r="6" customFormat="false" ht="12.75" hidden="false" customHeight="true" outlineLevel="0" collapsed="false">
      <c r="A6" s="160"/>
      <c r="B6" s="19"/>
      <c r="C6" s="170" t="str">
        <f aca="false">IF(Lang="Français","Remplir les cases jaunes",IF(Lang="English","Fill-in yellow cells only",""))</f>
        <v>Remplir les cases jaunes</v>
      </c>
      <c r="D6" s="170"/>
      <c r="E6" s="167"/>
      <c r="F6" s="167"/>
      <c r="G6" s="163"/>
      <c r="H6" s="163"/>
      <c r="I6" s="167"/>
      <c r="J6" s="165"/>
      <c r="K6" s="163"/>
      <c r="L6" s="163"/>
      <c r="M6" s="163"/>
      <c r="N6" s="166"/>
    </row>
    <row r="7" customFormat="false" ht="12.75" hidden="false" customHeight="false" outlineLevel="0" collapsed="false">
      <c r="A7" s="160"/>
      <c r="B7" s="171"/>
      <c r="C7" s="172" t="str">
        <f aca="false">IF(Lang="Français","Fusée",IF(Lang="English","Rocket",""))</f>
        <v>Fusée</v>
      </c>
      <c r="D7" s="172"/>
      <c r="E7" s="167"/>
      <c r="F7" s="167"/>
      <c r="G7" s="163"/>
      <c r="H7" s="163"/>
      <c r="I7" s="167"/>
      <c r="J7" s="163"/>
      <c r="K7" s="163"/>
      <c r="L7" s="163"/>
      <c r="M7" s="163"/>
      <c r="N7" s="173"/>
    </row>
    <row r="8" customFormat="false" ht="12.75" hidden="false" customHeight="true" outlineLevel="0" collapsed="false">
      <c r="A8" s="160"/>
      <c r="B8" s="174" t="str">
        <f aca="false">IF(Lang="Français","Nom",IF(Lang="English","Name",""))</f>
        <v>Nom</v>
      </c>
      <c r="C8" s="175" t="str">
        <f aca="false">Nom</f>
        <v>EAGLE</v>
      </c>
      <c r="D8" s="175"/>
      <c r="E8" s="168"/>
      <c r="F8" s="168"/>
      <c r="G8" s="163"/>
      <c r="H8" s="163"/>
      <c r="I8" s="167"/>
      <c r="J8" s="165"/>
      <c r="K8" s="163"/>
      <c r="L8" s="163"/>
      <c r="M8" s="163"/>
      <c r="N8" s="166"/>
    </row>
    <row r="9" customFormat="false" ht="12.75" hidden="false" customHeight="true" outlineLevel="0" collapsed="false">
      <c r="A9" s="176"/>
      <c r="B9" s="174" t="s">
        <v>6</v>
      </c>
      <c r="C9" s="175" t="str">
        <f aca="false">Club</f>
        <v>Dominus</v>
      </c>
      <c r="D9" s="175"/>
      <c r="E9" s="167"/>
      <c r="F9" s="168"/>
      <c r="G9" s="163"/>
      <c r="H9" s="163"/>
      <c r="I9" s="167"/>
      <c r="J9" s="163"/>
      <c r="K9" s="163"/>
      <c r="L9" s="163"/>
      <c r="M9" s="163"/>
      <c r="N9" s="173"/>
    </row>
    <row r="10" customFormat="false" ht="12.75" hidden="false" customHeight="true" outlineLevel="0" collapsed="false">
      <c r="A10" s="176"/>
      <c r="B10" s="174" t="str">
        <f aca="false">IF(Lang="Français","Masse totale",IF(Lang="English","Total Mass",""))</f>
        <v>Masse totale</v>
      </c>
      <c r="C10" s="177" t="n">
        <f aca="false">MassePlein</f>
        <v>8.411</v>
      </c>
      <c r="D10" s="177"/>
      <c r="E10" s="167"/>
      <c r="F10" s="168"/>
      <c r="G10" s="163"/>
      <c r="H10" s="163"/>
      <c r="I10" s="167"/>
      <c r="J10" s="163"/>
      <c r="K10" s="163"/>
      <c r="L10" s="163"/>
      <c r="M10" s="163"/>
      <c r="N10" s="173"/>
    </row>
    <row r="11" customFormat="false" ht="12.75" hidden="false" customHeight="true" outlineLevel="0" collapsed="false">
      <c r="A11" s="176"/>
      <c r="B11" s="178" t="str">
        <f aca="false">IF(Lang="Français","Propulseur",IF(Lang="English","Motor",""))</f>
        <v>Propulseur</v>
      </c>
      <c r="C11" s="179" t="str">
        <f aca="false">Propu</f>
        <v>Barasinga (Pro54-5G C)</v>
      </c>
      <c r="D11" s="179"/>
      <c r="E11" s="167"/>
      <c r="F11" s="168"/>
      <c r="G11" s="163"/>
      <c r="H11" s="163"/>
      <c r="I11" s="167"/>
      <c r="J11" s="163"/>
      <c r="K11" s="163"/>
      <c r="L11" s="163"/>
      <c r="M11" s="163"/>
      <c r="N11" s="173"/>
    </row>
    <row r="12" customFormat="false" ht="12.75" hidden="false" customHeight="true" outlineLevel="0" collapsed="false">
      <c r="A12" s="176"/>
      <c r="B12" s="163"/>
      <c r="C12" s="163"/>
      <c r="D12" s="163"/>
      <c r="E12" s="167"/>
      <c r="F12" s="168"/>
      <c r="G12" s="163"/>
      <c r="H12" s="163"/>
      <c r="I12" s="167"/>
      <c r="J12" s="163"/>
      <c r="K12" s="163"/>
      <c r="L12" s="163"/>
      <c r="M12" s="163"/>
      <c r="N12" s="173"/>
    </row>
    <row r="13" customFormat="false" ht="12.75" hidden="false" customHeight="true" outlineLevel="0" collapsed="false">
      <c r="A13" s="176"/>
      <c r="B13" s="180"/>
      <c r="C13" s="172" t="str">
        <f aca="false">IF(Lang="Français","Traînée Aérdynamique",IF(Lang="English","Drag",""))</f>
        <v>Traînée Aérdynamique</v>
      </c>
      <c r="D13" s="172"/>
      <c r="E13" s="167"/>
      <c r="F13" s="163"/>
      <c r="G13" s="163"/>
      <c r="H13" s="163"/>
      <c r="I13" s="167"/>
      <c r="J13" s="163"/>
      <c r="K13" s="163"/>
      <c r="L13" s="163"/>
      <c r="M13" s="163"/>
      <c r="N13" s="173"/>
    </row>
    <row r="14" customFormat="false" ht="12.75" hidden="false" customHeight="true" outlineLevel="0" collapsed="false">
      <c r="A14" s="176"/>
      <c r="B14" s="174" t="s">
        <v>159</v>
      </c>
      <c r="C14" s="181" t="n">
        <f aca="false">(PI()*D_ref^2/4+E_ail*ep_ail*Q_ail)/10^6</f>
        <v>0.0122997335529233</v>
      </c>
      <c r="D14" s="181"/>
      <c r="E14" s="167"/>
      <c r="F14" s="163"/>
      <c r="G14" s="163"/>
      <c r="H14" s="163"/>
      <c r="I14" s="167"/>
      <c r="J14" s="163"/>
      <c r="K14" s="163"/>
      <c r="L14" s="163"/>
      <c r="M14" s="163"/>
      <c r="N14" s="173"/>
    </row>
    <row r="15" customFormat="false" ht="12.75" hidden="false" customHeight="true" outlineLevel="0" collapsed="false">
      <c r="A15" s="176"/>
      <c r="B15" s="182" t="s">
        <v>160</v>
      </c>
      <c r="C15" s="183" t="n">
        <v>0.5</v>
      </c>
      <c r="D15" s="183"/>
      <c r="E15" s="167"/>
      <c r="F15" s="163"/>
      <c r="G15" s="163"/>
      <c r="H15" s="163"/>
      <c r="I15" s="167"/>
      <c r="J15" s="163"/>
      <c r="K15" s="163"/>
      <c r="L15" s="163"/>
      <c r="M15" s="163"/>
      <c r="N15" s="173"/>
    </row>
    <row r="16" customFormat="false" ht="12.75" hidden="false" customHeight="true" outlineLevel="0" collapsed="false">
      <c r="A16" s="176"/>
      <c r="B16" s="163"/>
      <c r="C16" s="163"/>
      <c r="D16" s="163"/>
      <c r="E16" s="167"/>
      <c r="F16" s="167"/>
      <c r="G16" s="163"/>
      <c r="H16" s="163"/>
      <c r="I16" s="167"/>
      <c r="J16" s="163"/>
      <c r="K16" s="163"/>
      <c r="L16" s="163"/>
      <c r="M16" s="163"/>
      <c r="N16" s="173"/>
    </row>
    <row r="17" customFormat="false" ht="12.75" hidden="false" customHeight="true" outlineLevel="0" collapsed="false">
      <c r="A17" s="176"/>
      <c r="B17" s="180"/>
      <c r="C17" s="172" t="str">
        <f aca="false">IF(Lang="Français","Rampe de Lancement",IF(Lang="English","Launch Pad",""))</f>
        <v>Rampe de Lancement</v>
      </c>
      <c r="D17" s="172"/>
      <c r="E17" s="167"/>
      <c r="F17" s="163"/>
      <c r="G17" s="163"/>
      <c r="H17" s="163"/>
      <c r="I17" s="167"/>
      <c r="J17" s="163"/>
      <c r="K17" s="163"/>
      <c r="L17" s="163"/>
      <c r="M17" s="163"/>
      <c r="N17" s="173"/>
    </row>
    <row r="18" customFormat="false" ht="12.75" hidden="false" customHeight="true" outlineLevel="0" collapsed="false">
      <c r="A18" s="176"/>
      <c r="B18" s="174" t="str">
        <f aca="false">IF(Lang="Français","Longueur",IF(Lang="English","Length",""))</f>
        <v>Longueur</v>
      </c>
      <c r="C18" s="184" t="n">
        <f aca="false">IF(RIGHT(Type_fusee,1)=".",4, IF(LEFT(Type_fusee,4)="Mini",2.5, IF(LEFT(Type_fusee,5)="Micro",1, IF(RIGHT(Type_fusee,1)=" ",0.1,IF(LEFT(Type_fusee,1)="R",3, 2.5)))))</f>
        <v>4</v>
      </c>
      <c r="D18" s="184"/>
      <c r="E18" s="167"/>
      <c r="F18" s="163"/>
      <c r="G18" s="163"/>
      <c r="H18" s="163"/>
      <c r="I18" s="167"/>
      <c r="J18" s="163"/>
      <c r="K18" s="163"/>
      <c r="L18" s="163"/>
      <c r="M18" s="163"/>
      <c r="N18" s="173"/>
    </row>
    <row r="19" customFormat="false" ht="12.75" hidden="false" customHeight="true" outlineLevel="0" collapsed="false">
      <c r="A19" s="176"/>
      <c r="B19" s="174" t="str">
        <f aca="false">IF(Lang="Français","Élévation",IF(Lang="English","Angle /horizon",""))</f>
        <v>Élévation</v>
      </c>
      <c r="C19" s="185" t="n">
        <v>80</v>
      </c>
      <c r="D19" s="185"/>
      <c r="E19" s="167"/>
      <c r="F19" s="163"/>
      <c r="G19" s="163"/>
      <c r="H19" s="163"/>
      <c r="I19" s="167"/>
      <c r="J19" s="163"/>
      <c r="K19" s="163"/>
      <c r="L19" s="163"/>
      <c r="M19" s="163"/>
      <c r="N19" s="173"/>
    </row>
    <row r="20" customFormat="false" ht="12.75" hidden="false" customHeight="true" outlineLevel="0" collapsed="false">
      <c r="A20" s="176"/>
      <c r="B20" s="174" t="s">
        <v>161</v>
      </c>
      <c r="C20" s="184" t="n">
        <v>0</v>
      </c>
      <c r="D20" s="184"/>
      <c r="E20" s="167"/>
      <c r="F20" s="167"/>
      <c r="G20" s="163"/>
      <c r="H20" s="163"/>
      <c r="I20" s="167"/>
      <c r="J20" s="163"/>
      <c r="K20" s="163"/>
      <c r="L20" s="163"/>
      <c r="M20" s="163"/>
      <c r="N20" s="173"/>
    </row>
    <row r="21" customFormat="false" ht="12.75" hidden="false" customHeight="true" outlineLevel="0" collapsed="false">
      <c r="A21" s="176"/>
      <c r="B21" s="163"/>
      <c r="C21" s="163"/>
      <c r="D21" s="163"/>
      <c r="E21" s="163"/>
      <c r="F21" s="186" t="str">
        <f aca="false">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G21" s="163"/>
      <c r="H21" s="163"/>
      <c r="I21" s="163"/>
      <c r="J21" s="163"/>
      <c r="K21" s="163"/>
      <c r="L21" s="163"/>
      <c r="M21" s="163"/>
      <c r="N21" s="173"/>
    </row>
    <row r="22" customFormat="false" ht="12.75" hidden="false" customHeight="false" outlineLevel="0" collapsed="false">
      <c r="A22" s="176"/>
      <c r="B22" s="163"/>
      <c r="C22" s="187" t="str">
        <f aca="false">IF(Lang="Français","DescenteSousParachute",IF(Lang="English","Over Parachute",""))</f>
        <v>DescenteSousParachute</v>
      </c>
      <c r="D22" s="187"/>
      <c r="E22" s="163"/>
      <c r="F22" s="165"/>
      <c r="G22" s="188" t="n">
        <f aca="true">TODAY()</f>
        <v>45269</v>
      </c>
      <c r="H22" s="189" t="str">
        <f aca="false">IF(Lang="Français","Temps",IF(Lang="English","Time",""))</f>
        <v>Temps</v>
      </c>
      <c r="I22" s="189" t="s">
        <v>162</v>
      </c>
      <c r="J22" s="189" t="str">
        <f aca="false">IF(Lang="Français","Portée x",IF(Lang="English","Range x",""))</f>
        <v>Portée x</v>
      </c>
      <c r="K22" s="189" t="str">
        <f aca="false">IF(Lang="Français","Vitesse",IF(Lang="English","Velocity",""))</f>
        <v>Vitesse</v>
      </c>
      <c r="L22" s="190" t="s">
        <v>163</v>
      </c>
      <c r="M22" s="191" t="s">
        <v>164</v>
      </c>
      <c r="N22" s="173"/>
    </row>
    <row r="23" customFormat="false" ht="12.75" hidden="false" customHeight="false" outlineLevel="0" collapsed="false">
      <c r="A23" s="176"/>
      <c r="B23" s="180"/>
      <c r="C23" s="192" t="str">
        <f aca="false">C7</f>
        <v>Fusée</v>
      </c>
      <c r="D23" s="193" t="s">
        <v>165</v>
      </c>
      <c r="E23" s="163"/>
      <c r="F23" s="194" t="str">
        <f aca="false">IF(Lang="Français","Sortie de Rampe",IF(Lang="English","Launch-Pad Exit",""))</f>
        <v>Sortie de Rampe</v>
      </c>
      <c r="G23" s="194"/>
      <c r="H23" s="195"/>
      <c r="I23" s="195"/>
      <c r="J23" s="195"/>
      <c r="K23" s="196" t="n">
        <f aca="false">INDEX(vit_xz,MATCH("Sortie de rampe",Event,0))</f>
        <v>26.6129263376326</v>
      </c>
      <c r="L23" s="197"/>
      <c r="M23" s="198"/>
      <c r="N23" s="173"/>
    </row>
    <row r="24" customFormat="false" ht="12.75" hidden="false" customHeight="false" outlineLevel="0" collapsed="false">
      <c r="A24" s="176"/>
      <c r="B24" s="199" t="str">
        <f aca="false">IF(Lang="Français","Masse",IF(Lang="English","Mass",""))</f>
        <v>Masse</v>
      </c>
      <c r="C24" s="177" t="n">
        <f aca="false">IF(Nb_sat="0 satellite",MasseVide,MasseVide-m_satellite)</f>
        <v>7.378</v>
      </c>
      <c r="D24" s="200" t="n">
        <f aca="false">IF(RIGHT(Type_fusee,1)=".",1,0.15)</f>
        <v>1</v>
      </c>
      <c r="E24" s="186" t="str">
        <f aca="false">IF(ABS(T_satellite-0.11-T_para)&lt;0.1,"Pb!","")</f>
        <v/>
      </c>
      <c r="F24" s="194" t="str">
        <f aca="false">IF(Lang="Français","Vit max &amp; Acc max",IF(Lang="English","Max Velocity &amp; Acc",""))</f>
        <v>Vit max &amp; Acc max</v>
      </c>
      <c r="G24" s="194"/>
      <c r="H24" s="195"/>
      <c r="I24" s="195"/>
      <c r="J24" s="195"/>
      <c r="K24" s="201" t="n">
        <f aca="false">MAX(vit_xz)</f>
        <v>197.408967812589</v>
      </c>
      <c r="L24" s="202" t="n">
        <f aca="false">MAX(acc_xz)</f>
        <v>96.5799731195976</v>
      </c>
      <c r="M24" s="198"/>
      <c r="N24" s="173"/>
    </row>
    <row r="25" customFormat="false" ht="12.75" hidden="false" customHeight="false" outlineLevel="0" collapsed="false">
      <c r="A25" s="176"/>
      <c r="B25" s="203" t="str">
        <f aca="false">IF(Lang="Français","Dépotage",IF(Lang="English","Delay",""))</f>
        <v>Dépotage</v>
      </c>
      <c r="C25" s="204" t="s">
        <v>166</v>
      </c>
      <c r="D25" s="205"/>
      <c r="E25" s="163"/>
      <c r="F25" s="206" t="str">
        <f aca="false">IF(Lang="Français","Largage du satellite",IF(Lang="English","Satellite separation",""))</f>
        <v>Largage du satellite</v>
      </c>
      <c r="G25" s="206"/>
      <c r="H25" s="207" t="n">
        <f aca="false">IF(T_satellite&lt;&gt;0,T_satellite,"")</f>
        <v>3.5</v>
      </c>
      <c r="I25" s="208" t="n">
        <f aca="false">IF(T_satellite&lt;&gt;0,INDEX(pos_z,MATCH("Satellite",Event_sat,0)),"")</f>
        <v>427.637134392424</v>
      </c>
      <c r="J25" s="209" t="n">
        <f aca="false">IF(T_satellite&lt;&gt;0,INDEX(pos_x,MATCH("Satellite",Event_sat,0)),"")</f>
        <v>94.1657854247855</v>
      </c>
      <c r="K25" s="210" t="n">
        <f aca="false">IF(T_satellite&lt;&gt;0,INDEX(vit_xz,MATCH("Satellite",Event_sat,0)),"")</f>
        <v>194.420117895824</v>
      </c>
      <c r="L25" s="211"/>
      <c r="M25" s="212" t="n">
        <f aca="false">1/2*Rho_moyen*1*V_ouv_sat^2*S_satellite</f>
        <v>2315.19991236084</v>
      </c>
      <c r="N25" s="173"/>
    </row>
    <row r="26" customFormat="false" ht="12.75" hidden="false" customHeight="false" outlineLevel="0" collapsed="false">
      <c r="A26" s="176"/>
      <c r="B26" s="213" t="str">
        <f aca="false">IF(Lang="Français","Ouverture para",IF(Lang="English","Opening time",""))</f>
        <v>Ouverture para</v>
      </c>
      <c r="C26" s="214" t="n">
        <v>8</v>
      </c>
      <c r="D26" s="214" t="n">
        <v>3.5</v>
      </c>
      <c r="E26" s="163"/>
      <c r="F26" s="194" t="s">
        <v>167</v>
      </c>
      <c r="G26" s="194"/>
      <c r="H26" s="215" t="n">
        <f aca="false">INDEX(t,MATCH("Apogée",Event,0))</f>
        <v>16.7999999999999</v>
      </c>
      <c r="I26" s="216" t="n">
        <f aca="false">INDEX(pos_z,MATCH("Apogée",Event,0))</f>
        <v>1468.27102651883</v>
      </c>
      <c r="J26" s="217" t="n">
        <f aca="false">INDEX(pos_x,MATCH("Apogée",Event,0))</f>
        <v>517.221267616161</v>
      </c>
      <c r="K26" s="218" t="n">
        <f aca="false">INDEX(vit_xz,MATCH("Apogée",Event,0))</f>
        <v>26.2381719333286</v>
      </c>
      <c r="L26" s="219"/>
      <c r="M26" s="198"/>
      <c r="N26" s="173"/>
    </row>
    <row r="27" customFormat="false" ht="12.75" hidden="false" customHeight="false" outlineLevel="0" collapsed="false">
      <c r="A27" s="176"/>
      <c r="B27" s="182" t="s">
        <v>168</v>
      </c>
      <c r="C27" s="220" t="n">
        <f aca="false">S_para_croix</f>
        <v>0.260205</v>
      </c>
      <c r="D27" s="221" t="n">
        <f aca="false">IF(RIGHT(Type_fusee,1)=".",0.1,0.02)</f>
        <v>0.1</v>
      </c>
      <c r="E27" s="163"/>
      <c r="F27" s="222" t="str">
        <f aca="false">IF(Lang="Français","Ouverture parachute fusée",IF(Lang="English","Rocket parachute opening",""))</f>
        <v>Ouverture parachute fusée</v>
      </c>
      <c r="G27" s="222"/>
      <c r="H27" s="207" t="n">
        <f aca="false">T_para</f>
        <v>8</v>
      </c>
      <c r="I27" s="208" t="n">
        <f aca="false">INDEX(pos_z,MATCH("Para",Event_para,0))</f>
        <v>1057.23342762243</v>
      </c>
      <c r="J27" s="223" t="n">
        <f aca="false">INDEX(pos_x,MATCH("Para",Event_para,0))</f>
        <v>265.120484141669</v>
      </c>
      <c r="K27" s="210" t="n">
        <f aca="false">INDEX(vit_xz,MATCH("Para",Event_para,0))</f>
        <v>105.231360763921</v>
      </c>
      <c r="L27" s="211"/>
      <c r="M27" s="212" t="n">
        <f aca="false">1/2*Rho_moyen*1*V_ouverture^2*S_para</f>
        <v>1764.86749048321</v>
      </c>
      <c r="N27" s="173"/>
      <c r="P27" s="224" t="str">
        <f aca="false">IF(V_para&lt;5, IF(Lang="Français","Parachute fusée trop grand !","Parachute too big!"), IF( V_para&gt;15, IF(Lang="Français","Parachute fusée trop petit !","Parachute too small!"), ""))</f>
        <v>Parachute fusée trop petit !</v>
      </c>
      <c r="R27" s="224" t="str">
        <f aca="false">IF(AND(Nb_sat="1 satellite", OR(V_satellite&lt;5)), IF(Lang="Français","Parachute satéllite trop grand !","Parachute too big"), IF(AND(Nb_sat="1 satellite",OR(V_satellite&gt;15)), IF(Lang="Français","Parachute satéllite trop petit !","Parachute too small!"), ""))</f>
        <v/>
      </c>
    </row>
    <row r="28" customFormat="false" ht="12.75" hidden="false" customHeight="false" outlineLevel="0" collapsed="false">
      <c r="A28" s="176"/>
      <c r="B28" s="182" t="s">
        <v>169</v>
      </c>
      <c r="C28" s="183" t="n">
        <v>1</v>
      </c>
      <c r="D28" s="183" t="n">
        <v>1</v>
      </c>
      <c r="E28" s="163"/>
      <c r="F28" s="225" t="str">
        <f aca="false">IF(Lang="Français","Impact balistique",IF(Lang="English","Balistic Impact",""))</f>
        <v>Impact balistique</v>
      </c>
      <c r="G28" s="225"/>
      <c r="H28" s="226" t="n">
        <f aca="false">INDEX(t,MATCH("Impact balistique",Event,0))</f>
        <v>36.3000000000002</v>
      </c>
      <c r="I28" s="227" t="s">
        <v>170</v>
      </c>
      <c r="J28" s="216" t="n">
        <f aca="false">INDEX(pos_x,MATCH("Impact balistique",Event,0))</f>
        <v>913.614336176273</v>
      </c>
      <c r="K28" s="228" t="n">
        <f aca="false">K45</f>
        <v>124.090581004494</v>
      </c>
      <c r="L28" s="219"/>
      <c r="M28" s="229" t="n">
        <f aca="false">0.5*m_vide*K28^2</f>
        <v>56804.964292687</v>
      </c>
      <c r="N28" s="173"/>
      <c r="P28" s="224" t="str">
        <f aca="false">IF( OR( V_para&lt;5, V_para&gt;15, AND(Nb_sat="1 satellite", OR(V_satellite&lt;5, V_satellite&gt;15))), IF(Lang="Français","La Vitesse de descente sous parachute doit être comprise entre 5 &amp; 15 m/s.","Fall Velocity with parachute must be between 5 &amp; 15 m/s."), "")</f>
        <v>La Vitesse de descente sous parachute doit être comprise entre 5 &amp; 15 m/s.</v>
      </c>
    </row>
    <row r="29" customFormat="false" ht="12.75" hidden="false" customHeight="false" outlineLevel="0" collapsed="false">
      <c r="A29" s="176"/>
      <c r="B29" s="182" t="str">
        <f aca="false">IF(Lang="Français","Vitesse du vent",IF(Lang="English","Wind speed",""))</f>
        <v>Vitesse du vent</v>
      </c>
      <c r="C29" s="230" t="n">
        <v>5</v>
      </c>
      <c r="D29" s="230" t="n">
        <f aca="false">V_vent</f>
        <v>5</v>
      </c>
      <c r="E29" s="186" t="str">
        <f aca="false">IF(AND(T_satellite=0,m_satellite&lt;&gt;0),"Erreur !","")</f>
        <v/>
      </c>
      <c r="F29" s="163"/>
      <c r="G29" s="231"/>
      <c r="H29" s="232"/>
      <c r="I29" s="233"/>
      <c r="K29" s="163"/>
      <c r="L29" s="163"/>
      <c r="M29" s="163"/>
      <c r="N29" s="173"/>
      <c r="P29" s="224" t="str">
        <f aca="false">IF(AND(Portee_balistique&gt;200,LEFT(Type_propu,4)="Mini"),IF(Lang="Français","Fusée trop lègère !","Rocket too light"),"")</f>
        <v/>
      </c>
    </row>
    <row r="30" customFormat="false" ht="12.75" hidden="false" customHeight="false" outlineLevel="0" collapsed="false">
      <c r="A30" s="176"/>
      <c r="B30" s="234" t="str">
        <f aca="false">IF(Lang="Français","Vitesse descente",IF(Lang="English","Fall velocity",""))</f>
        <v>Vitesse descente</v>
      </c>
      <c r="C30" s="196" t="n">
        <f aca="false">SQRT(2*m_vide*g/Rho_moyen/S_para/Cx_para)</f>
        <v>21.3104668453572</v>
      </c>
      <c r="D30" s="196" t="n">
        <f aca="false">SQRT(2*m_satellite*g/Rho_moyen/S_satellite/Cx_satellite)</f>
        <v>12.6555626230572</v>
      </c>
      <c r="E30" s="163"/>
      <c r="F30" s="186"/>
      <c r="G30" s="163"/>
      <c r="H30" s="163"/>
      <c r="I30" s="163"/>
      <c r="J30" s="163"/>
      <c r="K30" s="67"/>
      <c r="L30" s="163"/>
      <c r="M30" s="163"/>
      <c r="N30" s="173"/>
      <c r="P30" s="224" t="str">
        <f aca="false">IF(OR(AND(Vsortie_de_rampe&lt;20,LEFT(Type_fusee,1)="F"),AND(Vsortie_de_rampe&lt;18, OR(LEFT(Type_fusee,1)=",",LEFT(Type_fusee,4)="Mini",LEFT(Type_fusee,1)="R"))),IF(Lang="Français","Fusée trop lourde ou rampe trop courte !","Rocket too heavy or launch pad too small!"),"")</f>
        <v/>
      </c>
    </row>
    <row r="31" customFormat="false" ht="12.75" hidden="false" customHeight="false" outlineLevel="0" collapsed="false">
      <c r="A31" s="176"/>
      <c r="B31" s="234" t="str">
        <f aca="false">IF(Lang="Français","Durée descente",IF(Lang="English","Fall duration",""))</f>
        <v>Durée descente</v>
      </c>
      <c r="C31" s="235" t="n">
        <f aca="false">Alt_para/V_para</f>
        <v>49.6109932876841</v>
      </c>
      <c r="D31" s="235" t="n">
        <f aca="false">IF(V_satellite&lt;&gt;0,Alt_sat/V_satellite,0)</f>
        <v>33.7904482897751</v>
      </c>
      <c r="E31" s="163"/>
      <c r="F31" s="163"/>
      <c r="G31" s="163"/>
      <c r="H31" s="31" t="str">
        <f aca="false">IF(Lang="Français","Pour localiser la fusée","To locate the rocket")</f>
        <v>Pour localiser la fusée</v>
      </c>
      <c r="I31" s="31"/>
      <c r="J31" s="236"/>
      <c r="L31" s="163"/>
      <c r="M31" s="163"/>
      <c r="N31" s="237"/>
      <c r="P31" s="224" t="str">
        <f aca="false">IF(Temps_culmi-T_para&gt;2,IF(Lang="Français","Ouverture parachute fusée précoce.","Early rocket parachute opening."),IF(Temps_culmi-T_para&lt;-2,IF(Lang="Français","Ouverture parachute fusée tardive.","Late rocket parachute opening."),""))</f>
        <v>Ouverture parachute fusée précoce.</v>
      </c>
    </row>
    <row r="32" customFormat="false" ht="12.75" hidden="false" customHeight="false" outlineLevel="0" collapsed="false">
      <c r="A32" s="176"/>
      <c r="B32" s="234" t="str">
        <f aca="false">IF(Lang="Français","Durée du vol",IF(Lang="English","Fligth duration",""))</f>
        <v>Durée du vol</v>
      </c>
      <c r="C32" s="235" t="n">
        <f aca="false">T_para+Dt_para</f>
        <v>57.6109932876841</v>
      </c>
      <c r="D32" s="235" t="n">
        <f aca="false">T_satellite+Dt_satellite</f>
        <v>37.2904482897751</v>
      </c>
      <c r="E32" s="163"/>
      <c r="F32" s="31" t="str">
        <f aca="false">IF(Lang="Français","Couleur fuselage/coiffe","Body/Nose color")</f>
        <v>Couleur fuselage/coiffe</v>
      </c>
      <c r="G32" s="31"/>
      <c r="H32" s="238" t="s">
        <v>171</v>
      </c>
      <c r="I32" s="238"/>
      <c r="J32" s="163"/>
      <c r="L32" s="163"/>
      <c r="M32" s="163"/>
      <c r="N32" s="239"/>
      <c r="P32" s="224" t="str">
        <f aca="false">IF(ABS(Temps_culmi-T_para)&gt;2,IF(Lang="Français","Attention, aux efforts sur le parachute lors de l'ouverture !","Becarefull to the opening chute efforts!"),"")</f>
        <v>Attention, aux efforts sur le parachute lors de l'ouverture !</v>
      </c>
    </row>
    <row r="33" s="243" customFormat="true" ht="12.75" hidden="false" customHeight="false" outlineLevel="0" collapsed="false">
      <c r="A33" s="240"/>
      <c r="B33" s="234" t="str">
        <f aca="false">IF(Lang="Français","Déport latéral",IF(Lang="English","Lateral shift",""))</f>
        <v>Déport latéral</v>
      </c>
      <c r="C33" s="241" t="n">
        <f aca="false">Alt_para*V_vent/V_para</f>
        <v>248.05496643842</v>
      </c>
      <c r="D33" s="241" t="n">
        <f aca="false">IF(V_satellite&lt;&gt;0,Alt_sat*V_vent_sat/V_satellite,0)</f>
        <v>168.952241448875</v>
      </c>
      <c r="E33" s="180"/>
      <c r="F33" s="31" t="str">
        <f aca="false">IF(Lang="Français","Couleur parachute fusée","Rocket parachute color")</f>
        <v>Couleur parachute fusée</v>
      </c>
      <c r="G33" s="31"/>
      <c r="H33" s="238" t="s">
        <v>172</v>
      </c>
      <c r="I33" s="238"/>
      <c r="J33" s="180"/>
      <c r="K33" s="180"/>
      <c r="L33" s="180"/>
      <c r="M33" s="180"/>
      <c r="N33" s="242" t="str">
        <f aca="false">IF(Lang="Français","fichier initial","Initial file")</f>
        <v>fichier initial</v>
      </c>
    </row>
    <row r="34" customFormat="false" ht="12.75" hidden="false" customHeight="false" outlineLevel="0" collapsed="false">
      <c r="A34" s="176"/>
      <c r="B34" s="163"/>
      <c r="C34" s="163"/>
      <c r="D34" s="163"/>
      <c r="E34" s="163"/>
      <c r="F34" s="31" t="str">
        <f aca="false">IF(Lang="Français","Couleur parachute satellite","Satellite parachute color")</f>
        <v>Couleur parachute satellite</v>
      </c>
      <c r="G34" s="31"/>
      <c r="H34" s="238" t="s">
        <v>173</v>
      </c>
      <c r="I34" s="238"/>
      <c r="J34" s="163"/>
      <c r="K34" s="163"/>
      <c r="L34" s="163"/>
      <c r="M34" s="163"/>
      <c r="N34" s="244" t="str">
        <f aca="false">IF(ROUND(SUM(Propu!5:1228),0)=395253,"propu OK","propu NOK")</f>
        <v>propu OK</v>
      </c>
    </row>
    <row r="35" customFormat="false" ht="12.75" hidden="false" customHeight="false" outlineLevel="0" collapsed="false">
      <c r="A35" s="245"/>
      <c r="B35" s="246" t="str">
        <f aca="false">IF(Lang="Français","Commentaire libre :",IF(Lang="English","Free comment:",""))</f>
        <v>Commentaire libre :</v>
      </c>
      <c r="C35" s="247"/>
      <c r="D35" s="247"/>
      <c r="E35" s="247"/>
      <c r="F35" s="247"/>
      <c r="G35" s="247"/>
      <c r="H35" s="247"/>
      <c r="I35" s="247"/>
      <c r="J35" s="247"/>
      <c r="K35" s="247"/>
      <c r="L35" s="247"/>
      <c r="M35" s="247"/>
      <c r="N35" s="248" t="s">
        <v>24</v>
      </c>
    </row>
    <row r="38" customFormat="false" ht="12.75" hidden="false" customHeight="false" outlineLevel="0" collapsed="false">
      <c r="A38" s="249" t="str">
        <f aca="false">IF(Lang="Français","Calcul de la surface d'un parachute","Parachute surface calculation")</f>
        <v>Calcul de la surface d'un parachute</v>
      </c>
      <c r="B38" s="249"/>
      <c r="C38" s="249"/>
      <c r="D38" s="249"/>
      <c r="F38" s="249" t="str">
        <f aca="false">IF(Lang="Français","Résultats détaillés","Detailled results")</f>
        <v>Résultats détaillés</v>
      </c>
      <c r="G38" s="249"/>
      <c r="H38" s="250" t="str">
        <f aca="false">IF(Lang="Français","Temps",IF(Lang="English","Time",""))</f>
        <v>Temps</v>
      </c>
      <c r="I38" s="251" t="s">
        <v>162</v>
      </c>
      <c r="J38" s="251" t="str">
        <f aca="false">IF(Lang="Français","Portée x",IF(Lang="English","Range x",""))</f>
        <v>Portée x</v>
      </c>
      <c r="K38" s="251" t="str">
        <f aca="false">IF(Lang="Français","Vitesse",IF(Lang="English","Velocity",""))</f>
        <v>Vitesse</v>
      </c>
      <c r="L38" s="252" t="s">
        <v>163</v>
      </c>
      <c r="M38" s="251" t="s">
        <v>174</v>
      </c>
    </row>
    <row r="39" customFormat="false" ht="12.75" hidden="false" customHeight="false" outlineLevel="0" collapsed="false">
      <c r="A39" s="253"/>
      <c r="B39" s="163"/>
      <c r="C39" s="163"/>
      <c r="D39" s="254"/>
      <c r="F39" s="255"/>
      <c r="G39" s="256"/>
      <c r="H39" s="257" t="s">
        <v>175</v>
      </c>
      <c r="I39" s="258" t="s">
        <v>176</v>
      </c>
      <c r="J39" s="258" t="s">
        <v>176</v>
      </c>
      <c r="K39" s="258" t="s">
        <v>177</v>
      </c>
      <c r="L39" s="258" t="s">
        <v>178</v>
      </c>
      <c r="M39" s="258" t="s">
        <v>179</v>
      </c>
    </row>
    <row r="40" customFormat="false" ht="12.75" hidden="false" customHeight="false" outlineLevel="0" collapsed="false">
      <c r="A40" s="253"/>
      <c r="B40" s="163"/>
      <c r="C40" s="163"/>
      <c r="D40" s="254"/>
      <c r="F40" s="259" t="str">
        <f aca="false">IF(Lang="Français","Décollage",IF(Lang="English","Lift-Off",""))</f>
        <v>Décollage</v>
      </c>
      <c r="G40" s="259"/>
      <c r="H40" s="260" t="n">
        <v>0</v>
      </c>
      <c r="I40" s="260" t="n">
        <v>0</v>
      </c>
      <c r="J40" s="260" t="n">
        <v>0</v>
      </c>
      <c r="K40" s="260" t="n">
        <v>0</v>
      </c>
      <c r="L40" s="261" t="s">
        <v>12</v>
      </c>
      <c r="M40" s="262" t="n">
        <f aca="false">Beta_rampe</f>
        <v>80</v>
      </c>
    </row>
    <row r="41" customFormat="false" ht="12.75" hidden="false" customHeight="false" outlineLevel="0" collapsed="false">
      <c r="A41" s="253"/>
      <c r="B41" s="163"/>
      <c r="C41" s="163"/>
      <c r="D41" s="254"/>
      <c r="F41" s="194" t="str">
        <f aca="false">IF(Lang="Français","Sortie de Rampe",IF(Lang="English","Launch-Pad Exit",""))</f>
        <v>Sortie de Rampe</v>
      </c>
      <c r="G41" s="194"/>
      <c r="H41" s="195" t="n">
        <f aca="false">INDEX(t,MATCH("Sortie de rampe",Event,0))</f>
        <v>0.31</v>
      </c>
      <c r="I41" s="195" t="n">
        <f aca="false">INDEX(pos_z,MATCH("Sortie de rampe",Event,0))</f>
        <v>3.74835334507152</v>
      </c>
      <c r="J41" s="195" t="n">
        <f aca="false">INDEX(pos_x,MATCH("Sortie de rampe",Event,0))</f>
        <v>0.660898739561065</v>
      </c>
      <c r="K41" s="219" t="n">
        <f aca="false">INDEX(vit_xz,MATCH("Sortie de rampe",Event,0))</f>
        <v>26.6129263376326</v>
      </c>
      <c r="L41" s="197" t="n">
        <f aca="false">INDEX(acc_xz,MATCH("Sortie de rampe",Event,0))</f>
        <v>91.3036896256155</v>
      </c>
      <c r="M41" s="197" t="n">
        <f aca="false">INDEX(BetaD,MATCH("Sortie de rampe",Event,0))</f>
        <v>79.9999999999998</v>
      </c>
    </row>
    <row r="42" customFormat="false" ht="12.75" hidden="false" customHeight="false" outlineLevel="0" collapsed="false">
      <c r="A42" s="253"/>
      <c r="B42" s="263" t="str">
        <f aca="false">IF(Lang="Français","Longeur du bord","Side length")</f>
        <v>Longeur du bord</v>
      </c>
      <c r="C42" s="163"/>
      <c r="D42" s="254"/>
      <c r="F42" s="194" t="str">
        <f aca="false">IF(Lang="Français","Vit max &amp; Acc max",IF(Lang="English","Max Velocity &amp; Acc",""))</f>
        <v>Vit max &amp; Acc max</v>
      </c>
      <c r="G42" s="194"/>
      <c r="H42" s="195" t="s">
        <v>12</v>
      </c>
      <c r="I42" s="195" t="s">
        <v>12</v>
      </c>
      <c r="J42" s="195" t="s">
        <v>12</v>
      </c>
      <c r="K42" s="264" t="n">
        <f aca="false">MAX(vit_xz)</f>
        <v>197.408967812589</v>
      </c>
      <c r="L42" s="265" t="n">
        <f aca="false">MAX(acc_xz)</f>
        <v>96.5799731195976</v>
      </c>
      <c r="M42" s="219" t="s">
        <v>12</v>
      </c>
    </row>
    <row r="43" customFormat="false" ht="12.75" hidden="false" customHeight="false" outlineLevel="0" collapsed="false">
      <c r="A43" s="253"/>
      <c r="B43" s="266" t="n">
        <v>249</v>
      </c>
      <c r="C43" s="163"/>
      <c r="D43" s="254"/>
      <c r="F43" s="194" t="str">
        <f aca="false">IF(Lang="Français","Fin de Propulsion",IF(Lang="English","Motor Burn-Out",""))</f>
        <v>Fin de Propulsion</v>
      </c>
      <c r="G43" s="194"/>
      <c r="H43" s="197" t="n">
        <f aca="false">INDEX(t,MATCH("Fin de propulsion",Event,0))</f>
        <v>3.59999999999997</v>
      </c>
      <c r="I43" s="267" t="n">
        <f aca="false">INDEX(pos_z,MATCH("Fin de propulsion",Event,0))</f>
        <v>446.435287313958</v>
      </c>
      <c r="J43" s="267" t="n">
        <f aca="false">INDEX(pos_x,MATCH("Fin de propulsion",Event,0))</f>
        <v>98.6427316462815</v>
      </c>
      <c r="K43" s="268" t="n">
        <f aca="false">INDEX(vit_xz,MATCH("Fin de propulsion",Event,0))</f>
        <v>191.944903615109</v>
      </c>
      <c r="L43" s="197" t="n">
        <f aca="false">INDEX(acc_xz,MATCH("Fin de propulsion",Event,0))</f>
        <v>27.6794579474124</v>
      </c>
      <c r="M43" s="197" t="n">
        <f aca="false">INDEX(BetaD,MATCH("Fin de propulsion",Event,0))</f>
        <v>76.5701723990313</v>
      </c>
    </row>
    <row r="44" customFormat="false" ht="12.75" hidden="false" customHeight="false" outlineLevel="0" collapsed="false">
      <c r="A44" s="253"/>
      <c r="B44" s="263" t="str">
        <f aca="false">IF(Lang="Français","Largeur du coté","Side width")</f>
        <v>Largeur du coté</v>
      </c>
      <c r="C44" s="163"/>
      <c r="D44" s="254"/>
      <c r="F44" s="194" t="s">
        <v>167</v>
      </c>
      <c r="G44" s="194"/>
      <c r="H44" s="265" t="n">
        <f aca="false">INDEX(t,MATCH("Apogée",Event,0))</f>
        <v>16.7999999999999</v>
      </c>
      <c r="I44" s="264" t="n">
        <f aca="false">INDEX(pos_z,MATCH("Apogée",Event,0))</f>
        <v>1468.27102651883</v>
      </c>
      <c r="J44" s="268" t="n">
        <f aca="false">INDEX(pos_x,MATCH("Apogée",Event,0))</f>
        <v>517.221267616161</v>
      </c>
      <c r="K44" s="268" t="n">
        <f aca="false">INDEX(vit_xz,MATCH("Apogée",Event,0))</f>
        <v>26.2381719333286</v>
      </c>
      <c r="L44" s="219" t="n">
        <f aca="false">INDEX(acc_xz,MATCH("Apogée",Event,0))</f>
        <v>9.82760219822691</v>
      </c>
      <c r="M44" s="219" t="n">
        <f aca="false">INDEX(BetaD,MATCH("Apogée",Event,0))</f>
        <v>0.283769915832984</v>
      </c>
    </row>
    <row r="45" customFormat="false" ht="12.75" hidden="false" customHeight="false" outlineLevel="0" collapsed="false">
      <c r="A45" s="253"/>
      <c r="B45" s="269" t="n">
        <v>199</v>
      </c>
      <c r="C45" s="163"/>
      <c r="D45" s="254"/>
      <c r="F45" s="225" t="str">
        <f aca="false">IF(Lang="Français","Impact balistique",IF(Lang="English","Balistic Impact",""))</f>
        <v>Impact balistique</v>
      </c>
      <c r="G45" s="225"/>
      <c r="H45" s="219" t="n">
        <f aca="false">INDEX(t,MATCH("Impact balistique",Event,0))</f>
        <v>36.3000000000002</v>
      </c>
      <c r="I45" s="261" t="s">
        <v>180</v>
      </c>
      <c r="J45" s="264" t="n">
        <f aca="false">INDEX(pos_x,MATCH("Impact balistique",Event,0))</f>
        <v>913.614336176273</v>
      </c>
      <c r="K45" s="268" t="n">
        <f aca="false">INDEX(vit_xz,MATCH("Impact balistique",Event,0))</f>
        <v>124.090581004494</v>
      </c>
      <c r="L45" s="219" t="n">
        <f aca="false">INDEX(acc_xz,MATCH("Impact balistique",Event,0))</f>
        <v>2.1666787699249</v>
      </c>
      <c r="M45" s="219" t="n">
        <f aca="false">INDEX(BetaD,MATCH("Impact balistique",Event,0))</f>
        <v>-84.229291885168</v>
      </c>
    </row>
    <row r="46" customFormat="false" ht="12.75" hidden="false" customHeight="false" outlineLevel="0" collapsed="false">
      <c r="A46" s="253"/>
      <c r="B46" s="189" t="s">
        <v>168</v>
      </c>
      <c r="C46" s="163"/>
      <c r="D46" s="254"/>
      <c r="F46" s="222" t="str">
        <f aca="false">IF(Lang="Français","Ouverture parachute fusée",IF(Lang="English","Rocket parachute opening",""))</f>
        <v>Ouverture parachute fusée</v>
      </c>
      <c r="G46" s="222"/>
      <c r="H46" s="270" t="n">
        <f aca="false">T_para</f>
        <v>8</v>
      </c>
      <c r="I46" s="271" t="n">
        <f aca="false">INDEX(pos_z,MATCH("Para",Event_para,0))</f>
        <v>1057.23342762243</v>
      </c>
      <c r="J46" s="271" t="n">
        <f aca="false">INDEX(pos_x,MATCH("Para",Event_para,0))</f>
        <v>265.120484141669</v>
      </c>
      <c r="K46" s="271" t="n">
        <f aca="false">INDEX(vit_xz,MATCH("Para",Event_para,0))</f>
        <v>105.231360763921</v>
      </c>
      <c r="L46" s="211" t="n">
        <f aca="false">INDEX(acc_xz,MATCH("Para",Event_para,0))</f>
        <v>14.8735186764761</v>
      </c>
      <c r="M46" s="270" t="n">
        <f aca="false">INDEX(BetaD,MATCH("Para",Event_para,0))</f>
        <v>71.7626926591437</v>
      </c>
    </row>
    <row r="47" customFormat="false" ht="12.75" hidden="false" customHeight="false" outlineLevel="0" collapsed="false">
      <c r="A47" s="253"/>
      <c r="B47" s="272" t="n">
        <f aca="false">(4*B43*B45+B43^2)/10^6</f>
        <v>0.260205</v>
      </c>
      <c r="C47" s="163"/>
      <c r="D47" s="254"/>
      <c r="F47" s="273" t="str">
        <f aca="false">IF(Lang="Français","Impact fusée sous para.",IF(Lang="English","Impact of rocket with para. ",""))</f>
        <v>Impact fusée sous para.</v>
      </c>
      <c r="G47" s="273"/>
      <c r="H47" s="274" t="n">
        <f aca="false">T_para+Dt_para</f>
        <v>57.6109932876841</v>
      </c>
      <c r="I47" s="275" t="s">
        <v>180</v>
      </c>
      <c r="J47" s="276" t="str">
        <f aca="false">CONCATENATE(TEXT(X_para-Dx_para,"0")," | ",TEXT(X_para+Dx_para,"0"))</f>
        <v>17 | 513</v>
      </c>
      <c r="K47" s="277" t="n">
        <f aca="false">V_para</f>
        <v>21.3104668453572</v>
      </c>
      <c r="L47" s="278" t="n">
        <f aca="false">g</f>
        <v>9.81</v>
      </c>
      <c r="M47" s="278" t="s">
        <v>12</v>
      </c>
    </row>
    <row r="48" customFormat="false" ht="12.75" hidden="false" customHeight="false" outlineLevel="0" collapsed="false">
      <c r="A48" s="253"/>
      <c r="B48" s="163"/>
      <c r="C48" s="163"/>
      <c r="D48" s="254"/>
      <c r="F48" s="206" t="str">
        <f aca="false">IF(Lang="Français","Largage du satellite",IF(Lang="English","Satellite separation",""))</f>
        <v>Largage du satellite</v>
      </c>
      <c r="G48" s="206"/>
      <c r="H48" s="270" t="n">
        <f aca="false">IF(T_satellite&lt;&gt;0,T_satellite,"")</f>
        <v>3.5</v>
      </c>
      <c r="I48" s="271" t="n">
        <f aca="false">IF(T_satellite&lt;&gt;0,INDEX(pos_z,MATCH("Satellite",Event_sat,0)),"")</f>
        <v>427.637134392424</v>
      </c>
      <c r="J48" s="279" t="n">
        <f aca="false">IF(T_satellite&lt;&gt;0,INDEX(pos_x,MATCH("Satellite",Event_sat,0)),"")</f>
        <v>94.1657854247855</v>
      </c>
      <c r="K48" s="271" t="n">
        <f aca="false">IF(T_satellite&lt;&gt;0,INDEX(vit_xz,MATCH("Satellite",Event_sat,0)),"")</f>
        <v>194.420117895824</v>
      </c>
      <c r="L48" s="211" t="n">
        <f aca="false">IF(T_satellite&lt;&gt;0,INDEX(acc_xz,MATCH("Satellite",Event_sat,0)),"")</f>
        <v>21.0097586999647</v>
      </c>
      <c r="M48" s="270" t="n">
        <f aca="false">IF(T_satellite&lt;&gt;0,INDEX(BetaD,MATCH("Satellite",Event_sat,0)),"")</f>
        <v>76.6375887108553</v>
      </c>
    </row>
    <row r="49" customFormat="false" ht="12.75" hidden="false" customHeight="false" outlineLevel="0" collapsed="false">
      <c r="A49" s="253"/>
      <c r="B49" s="163"/>
      <c r="C49" s="163"/>
      <c r="D49" s="254"/>
      <c r="F49" s="280" t="str">
        <f aca="false">IF(Lang="Français","Impact du satellite",IF(Lang="English","Satellite impact",""))</f>
        <v>Impact du satellite</v>
      </c>
      <c r="G49" s="280"/>
      <c r="H49" s="274" t="n">
        <f aca="false">IF(T_satellite&lt;&gt;0,T_satellite+Dt_satellite,"")</f>
        <v>37.2904482897751</v>
      </c>
      <c r="I49" s="276" t="str">
        <f aca="false">IF(T_satellite&lt;&gt;0,"~0","")</f>
        <v>~0</v>
      </c>
      <c r="J49" s="276" t="str">
        <f aca="false">IF(T_satellite&lt;&gt;0,CONCATENATE(TEXT(X_satellite-Dx_sat,"0")," | ",TEXT(X_satellite+Dx_sat,"0")),"")</f>
        <v>-75 | 263</v>
      </c>
      <c r="K49" s="276" t="n">
        <f aca="false">IF(T_satellite&lt;&gt;0,V_satellite,"")</f>
        <v>12.6555626230572</v>
      </c>
      <c r="L49" s="278" t="n">
        <f aca="false">IF(T_satellite&lt;&gt;0,g,"")</f>
        <v>9.81</v>
      </c>
      <c r="M49" s="281" t="str">
        <f aca="false">IF(T_satellite&lt;&gt;0,"-","")</f>
        <v>-</v>
      </c>
    </row>
    <row r="50" customFormat="false" ht="12.75" hidden="false" customHeight="false" outlineLevel="0" collapsed="false">
      <c r="A50" s="253"/>
      <c r="B50" s="263" t="str">
        <f aca="false">IF(Lang="Français","Rayon exterieur","Half-diameter ext")</f>
        <v>Rayon exterieur</v>
      </c>
      <c r="C50" s="163"/>
      <c r="D50" s="254"/>
    </row>
    <row r="51" customFormat="false" ht="12.75" hidden="false" customHeight="false" outlineLevel="0" collapsed="false">
      <c r="A51" s="253"/>
      <c r="B51" s="269" t="n">
        <v>299</v>
      </c>
      <c r="C51" s="163"/>
      <c r="D51" s="254"/>
    </row>
    <row r="52" customFormat="false" ht="12.75" hidden="false" customHeight="false" outlineLevel="0" collapsed="false">
      <c r="A52" s="253"/>
      <c r="B52" s="263" t="str">
        <f aca="false">IF(Lang="Français","Rayon intérieur","Half-diameter int")</f>
        <v>Rayon intérieur</v>
      </c>
      <c r="C52" s="163"/>
      <c r="D52" s="254"/>
    </row>
    <row r="53" customFormat="false" ht="12.75" hidden="false" customHeight="false" outlineLevel="0" collapsed="false">
      <c r="A53" s="253"/>
      <c r="B53" s="269" t="n">
        <v>29</v>
      </c>
      <c r="C53" s="163"/>
      <c r="D53" s="254"/>
    </row>
    <row r="54" customFormat="false" ht="12.75" hidden="false" customHeight="false" outlineLevel="0" collapsed="false">
      <c r="A54" s="253"/>
      <c r="B54" s="189" t="s">
        <v>168</v>
      </c>
      <c r="C54" s="163"/>
      <c r="D54" s="254"/>
    </row>
    <row r="55" customFormat="false" ht="12.75" hidden="false" customHeight="false" outlineLevel="0" collapsed="false">
      <c r="A55" s="253"/>
      <c r="B55" s="272" t="n">
        <f aca="false">PI()*(B51^2-B53^2)/10^6</f>
        <v>0.278219445401912</v>
      </c>
      <c r="C55" s="163"/>
      <c r="D55" s="254"/>
    </row>
    <row r="56" customFormat="false" ht="12" hidden="false" customHeight="false" outlineLevel="0" collapsed="false">
      <c r="A56" s="282"/>
      <c r="B56" s="283"/>
      <c r="C56" s="283"/>
      <c r="D56" s="284"/>
    </row>
    <row r="57" customFormat="false" ht="12" hidden="false" customHeight="false" outlineLevel="0" collapsed="false">
      <c r="B57" s="163"/>
      <c r="C57" s="163"/>
      <c r="D57" s="163"/>
    </row>
    <row r="58" customFormat="false" ht="12" hidden="false" customHeight="false" outlineLevel="0" collapsed="false">
      <c r="B58" s="163"/>
      <c r="C58" s="163"/>
      <c r="D58" s="163"/>
    </row>
    <row r="59" customFormat="false" ht="12" hidden="false" customHeight="false" outlineLevel="0" collapsed="false">
      <c r="A59" s="163"/>
      <c r="B59" s="163"/>
      <c r="C59" s="163"/>
      <c r="D59" s="163"/>
    </row>
    <row r="60" customFormat="false" ht="12" hidden="false" customHeight="false" outlineLevel="0" collapsed="false">
      <c r="B60" s="163"/>
      <c r="C60" s="163"/>
      <c r="D60" s="163"/>
    </row>
    <row r="61" customFormat="false" ht="12" hidden="false" customHeight="false" outlineLevel="0" collapsed="false">
      <c r="B61" s="163"/>
      <c r="C61" s="163"/>
      <c r="D61" s="163"/>
    </row>
    <row r="62" customFormat="false" ht="12" hidden="false" customHeight="false" outlineLevel="0" collapsed="false">
      <c r="B62" s="163"/>
    </row>
    <row r="63" customFormat="false" ht="12" hidden="false" customHeight="false" outlineLevel="0" collapsed="false">
      <c r="B63" s="163"/>
    </row>
    <row r="93" customFormat="false" ht="12.75" hidden="false" customHeight="false" outlineLevel="0" collapsed="false">
      <c r="B93" s="1" t="str">
        <f aca="false">IF(Lang="Français","Vitesse de descente sous parachute :",IF(Lang="English","Fall velocity over parachute:",""))</f>
        <v>Vitesse de descente sous parachute :</v>
      </c>
    </row>
    <row r="102" customFormat="false" ht="12.75" hidden="false" customHeight="false" outlineLevel="0" collapsed="false">
      <c r="B102" s="1" t="str">
        <f aca="false">IF(Lang="Français","Textes pour les listes déroulantes et graphiques :","Texts for drop-down lists &amp; graphics :")</f>
        <v>Textes pour les listes déroulantes et graphiques :</v>
      </c>
      <c r="F102" s="285" t="s">
        <v>166</v>
      </c>
      <c r="G102" s="154" t="s">
        <v>181</v>
      </c>
    </row>
    <row r="103" customFormat="false" ht="12" hidden="false" customHeight="false" outlineLevel="0" collapsed="false">
      <c r="F103" s="286" t="n">
        <f aca="false">Combustion+Depotage-9</f>
        <v>-9</v>
      </c>
      <c r="G103" s="287" t="s">
        <v>182</v>
      </c>
    </row>
    <row r="104" customFormat="false" ht="12" hidden="false" customHeight="false" outlineLevel="0" collapsed="false">
      <c r="B104" s="154" t="s">
        <v>165</v>
      </c>
      <c r="F104" s="286" t="n">
        <f aca="false">Combustion+Depotage-7</f>
        <v>-7</v>
      </c>
      <c r="G104" s="287" t="s">
        <v>183</v>
      </c>
    </row>
    <row r="105" customFormat="false" ht="12" hidden="false" customHeight="false" outlineLevel="0" collapsed="false">
      <c r="B105" s="154" t="s">
        <v>184</v>
      </c>
      <c r="F105" s="286" t="n">
        <f aca="false">Combustion+Depotage-5</f>
        <v>-5</v>
      </c>
      <c r="G105" s="287" t="s">
        <v>185</v>
      </c>
    </row>
    <row r="106" customFormat="false" ht="12" hidden="false" customHeight="false" outlineLevel="0" collapsed="false">
      <c r="B106" s="154" t="str">
        <f aca="false">IF(T_para&gt;0,IF(Lang="Français","Phase ascendante","Climbing phase"),"")</f>
        <v>Phase ascendante</v>
      </c>
      <c r="F106" s="286" t="n">
        <f aca="false">Combustion+Depotage-3</f>
        <v>-3</v>
      </c>
      <c r="G106" s="287" t="s">
        <v>186</v>
      </c>
    </row>
    <row r="107" customFormat="false" ht="12" hidden="false" customHeight="false" outlineLevel="0" collapsed="false">
      <c r="B107" s="154" t="str">
        <f aca="false">IF(Lang="Français","Descente balistique","Balistic fall")</f>
        <v>Descente balistique</v>
      </c>
      <c r="F107" s="286" t="n">
        <f aca="false">Combustion+Depotage</f>
        <v>0</v>
      </c>
      <c r="G107" s="287" t="s">
        <v>187</v>
      </c>
    </row>
    <row r="108" customFormat="false" ht="12" hidden="false" customHeight="false" outlineLevel="0" collapsed="false">
      <c r="B108" s="154" t="str">
        <f aca="false">IF(T_para&gt;0,IF(Lang="Français","Fusée sous parachute","Rocket under parachute"),"")</f>
        <v>Fusée sous parachute</v>
      </c>
      <c r="F108" s="288" t="str">
        <f aca="false">IF(Lang="Français","autre",IF(Lang="English","other",""))</f>
        <v>autre</v>
      </c>
    </row>
    <row r="109" customFormat="false" ht="12" hidden="false" customHeight="false" outlineLevel="0" collapsed="false">
      <c r="B109" s="154" t="str">
        <f aca="false">IF(AND(Nb_sat="1 satellite",T_satellite&gt;0),IF(Lang="Français","Satellite sous parachute","Satellite over parachute"),"")</f>
        <v/>
      </c>
    </row>
    <row r="110" customFormat="false" ht="12" hidden="false" customHeight="false" outlineLevel="0" collapsed="false">
      <c r="B110" s="154" t="str">
        <f aca="false">IF(Lang="Français","Trajectoire (x z)","Trajectory (x z)")</f>
        <v>Trajectoire (x z)</v>
      </c>
    </row>
    <row r="111" customFormat="false" ht="12" hidden="false" customHeight="false" outlineLevel="0" collapsed="false">
      <c r="B111" s="154" t="str">
        <f aca="false">IF(Lang="Français","Portée x [m]","Range x [m]")</f>
        <v>Portée x [m]</v>
      </c>
    </row>
    <row r="112" customFormat="false" ht="12" hidden="false" customHeight="false" outlineLevel="0" collapsed="false">
      <c r="B112" s="154" t="str">
        <f aca="false">IF(Lang="Français","Temps [s]","Time [s]")</f>
        <v>Temps [s]</v>
      </c>
    </row>
    <row r="113" customFormat="false" ht="12" hidden="false" customHeight="false" outlineLevel="0" collapsed="false">
      <c r="B113" s="154" t="str">
        <f aca="false">IF(Lang="Français","Altitude z  /  Temps","Altitude z  /  Time")</f>
        <v>Altitude z  /  Temps</v>
      </c>
      <c r="C113" s="154" t="n">
        <f aca="false">IF(OR(C25=F102,C25=F108),C26,C25)</f>
        <v>8</v>
      </c>
    </row>
    <row r="115" customFormat="false" ht="12" hidden="false" customHeight="false" outlineLevel="0" collapsed="false">
      <c r="B115" s="154" t="s">
        <v>188</v>
      </c>
    </row>
    <row r="117" customFormat="false" ht="12.75" hidden="false" customHeight="false" outlineLevel="0" collapsed="false">
      <c r="B117" s="1" t="str">
        <f aca="false">IF(Lang="Français","Données pour les graphiques :","Data for plots:")</f>
        <v>Données pour les graphiques :</v>
      </c>
      <c r="C117" s="289" t="s">
        <v>189</v>
      </c>
    </row>
    <row r="118" customFormat="false" ht="12" hidden="false" customHeight="false" outlineLevel="0" collapsed="false">
      <c r="C118" s="290" t="n">
        <f aca="false">MAX(Altitude_culmi,Portee_balistique)</f>
        <v>1468.27102651883</v>
      </c>
    </row>
    <row r="119" customFormat="false" ht="12" hidden="false" customHeight="false" outlineLevel="0" collapsed="false">
      <c r="B119" s="291" t="s">
        <v>189</v>
      </c>
      <c r="C119" s="167"/>
    </row>
    <row r="120" customFormat="false" ht="12" hidden="false" customHeight="false" outlineLevel="0" collapsed="false">
      <c r="B120" s="292" t="n">
        <f aca="false">MAX(Altitude_culmi,Portee_balistique)</f>
        <v>1468.27102651883</v>
      </c>
      <c r="C120" s="289" t="s">
        <v>190</v>
      </c>
    </row>
    <row r="121" customFormat="false" ht="12" hidden="false" customHeight="false" outlineLevel="0" collapsed="false">
      <c r="B121" s="167"/>
      <c r="C121" s="293" t="n">
        <f aca="false">Alt_para</f>
        <v>1057.23342762243</v>
      </c>
    </row>
    <row r="122" customFormat="false" ht="12" hidden="false" customHeight="false" outlineLevel="0" collapsed="false">
      <c r="B122" s="291" t="s">
        <v>191</v>
      </c>
      <c r="C122" s="293" t="n">
        <f aca="false">Alt_para/2</f>
        <v>528.616713811215</v>
      </c>
    </row>
    <row r="123" customFormat="false" ht="12" hidden="false" customHeight="false" outlineLevel="0" collapsed="false">
      <c r="B123" s="294" t="n">
        <f aca="false">X_para</f>
        <v>265.120484141669</v>
      </c>
      <c r="C123" s="293" t="n">
        <v>0</v>
      </c>
    </row>
    <row r="124" customFormat="false" ht="12" hidden="false" customHeight="false" outlineLevel="0" collapsed="false">
      <c r="B124" s="294" t="n">
        <f aca="false">X_para</f>
        <v>265.120484141669</v>
      </c>
      <c r="C124" s="293" t="n">
        <f aca="false">Alt_para/20</f>
        <v>52.8616713811215</v>
      </c>
    </row>
    <row r="125" customFormat="false" ht="12" hidden="false" customHeight="false" outlineLevel="0" collapsed="false">
      <c r="B125" s="294" t="n">
        <f aca="false">X_para</f>
        <v>265.120484141669</v>
      </c>
      <c r="C125" s="293" t="n">
        <v>0</v>
      </c>
    </row>
    <row r="126" customFormat="false" ht="12" hidden="false" customHeight="false" outlineLevel="0" collapsed="false">
      <c r="B126" s="294" t="n">
        <f aca="false">X_para+Alt_para/40</f>
        <v>291.55131983223</v>
      </c>
      <c r="C126" s="293" t="n">
        <f aca="false">Alt_para/20</f>
        <v>52.8616713811215</v>
      </c>
    </row>
    <row r="127" customFormat="false" ht="12" hidden="false" customHeight="false" outlineLevel="0" collapsed="false">
      <c r="B127" s="294" t="n">
        <f aca="false">X_para</f>
        <v>265.120484141669</v>
      </c>
      <c r="C127" s="295" t="n">
        <v>0</v>
      </c>
    </row>
    <row r="128" customFormat="false" ht="12" hidden="false" customHeight="false" outlineLevel="0" collapsed="false">
      <c r="B128" s="294" t="n">
        <f aca="false">X_para-Alt_para/40</f>
        <v>238.689648451108</v>
      </c>
      <c r="C128" s="289" t="s">
        <v>190</v>
      </c>
    </row>
    <row r="129" customFormat="false" ht="12" hidden="false" customHeight="false" outlineLevel="0" collapsed="false">
      <c r="B129" s="292" t="n">
        <f aca="false">X_para</f>
        <v>265.120484141669</v>
      </c>
      <c r="C129" s="293" t="n">
        <f aca="false">Alt_para</f>
        <v>1057.23342762243</v>
      </c>
      <c r="E129" s="296" t="n">
        <v>1</v>
      </c>
      <c r="F129" s="297" t="s">
        <v>192</v>
      </c>
    </row>
    <row r="130" customFormat="false" ht="12" hidden="false" customHeight="false" outlineLevel="0" collapsed="false">
      <c r="B130" s="291" t="s">
        <v>193</v>
      </c>
      <c r="C130" s="293" t="n">
        <f aca="false">(C129+C131)/2</f>
        <v>528.616713811215</v>
      </c>
      <c r="E130" s="253" t="n">
        <v>1</v>
      </c>
      <c r="F130" s="298" t="s">
        <v>194</v>
      </c>
    </row>
    <row r="131" customFormat="false" ht="12.75" hidden="false" customHeight="false" outlineLevel="0" collapsed="false">
      <c r="B131" s="299" t="n">
        <f aca="false">T_para</f>
        <v>8</v>
      </c>
      <c r="C131" s="293" t="n">
        <f aca="false">0</f>
        <v>0</v>
      </c>
      <c r="E131" s="253"/>
      <c r="F131" s="300" t="s">
        <v>195</v>
      </c>
    </row>
    <row r="132" customFormat="false" ht="12" hidden="false" customHeight="false" outlineLevel="0" collapsed="false">
      <c r="B132" s="299" t="n">
        <f aca="false">(B131+B133)/2</f>
        <v>32.805496643842</v>
      </c>
      <c r="C132" s="293" t="n">
        <f aca="false">Alt_para-V_para*(H47-T_para)+E129*sS*Altitude_culmi/H47*zZ_fus+E130*sS/2*Altitude_culmi/H47*tT_fus</f>
        <v>132.34765236588</v>
      </c>
      <c r="E132" s="301" t="s">
        <v>196</v>
      </c>
      <c r="F132" s="302" t="n">
        <f aca="false">T_balistique/10</f>
        <v>3.63000000000002</v>
      </c>
    </row>
    <row r="133" customFormat="false" ht="12" hidden="false" customHeight="false" outlineLevel="0" collapsed="false">
      <c r="B133" s="299" t="n">
        <f aca="false">H47</f>
        <v>57.6109932876841</v>
      </c>
      <c r="C133" s="293" t="n">
        <f aca="false">Alt_para-V_para*(H47-T_para)</f>
        <v>0</v>
      </c>
      <c r="E133" s="301" t="s">
        <v>197</v>
      </c>
      <c r="F133" s="302" t="n">
        <f aca="false">(H47-T_para)/H47</f>
        <v>0.861137613787502</v>
      </c>
    </row>
    <row r="134" customFormat="false" ht="12" hidden="false" customHeight="false" outlineLevel="0" collapsed="false">
      <c r="B134" s="299" t="n">
        <f aca="false">H47+E129*sS/2*zZ_fus-E130*sS*tT_fus</f>
        <v>56.3000637496354</v>
      </c>
      <c r="C134" s="293" t="n">
        <f aca="false">Alt_para-V_para*(H47-T_para)+E129*sS*Altitude_culmi/H47*zZ_fus-E130*sS/2*Altitude_culmi/H47*tT_fus</f>
        <v>52.6803612859088</v>
      </c>
      <c r="E134" s="303" t="s">
        <v>198</v>
      </c>
      <c r="F134" s="304" t="n">
        <f aca="false">V_para*(H47-T_para)/Alt_para</f>
        <v>1</v>
      </c>
    </row>
    <row r="135" customFormat="false" ht="12" hidden="false" customHeight="false" outlineLevel="0" collapsed="false">
      <c r="B135" s="299" t="n">
        <f aca="false">H47</f>
        <v>57.6109932876841</v>
      </c>
      <c r="C135" s="290" t="n">
        <f aca="false">Alt_para-V_para*(H47-T_para)</f>
        <v>0</v>
      </c>
    </row>
    <row r="136" customFormat="false" ht="12" hidden="false" customHeight="false" outlineLevel="0" collapsed="false">
      <c r="B136" s="299" t="n">
        <f aca="false">H47-E129*sS/2*zZ_fus-E130*sS*tT_fus</f>
        <v>52.6700637496354</v>
      </c>
      <c r="C136" s="163"/>
    </row>
    <row r="137" customFormat="false" ht="12" hidden="false" customHeight="false" outlineLevel="0" collapsed="false">
      <c r="B137" s="305" t="n">
        <f aca="false">H47</f>
        <v>57.6109932876841</v>
      </c>
      <c r="C137" s="289" t="s">
        <v>199</v>
      </c>
    </row>
    <row r="138" customFormat="false" ht="12" hidden="false" customHeight="false" outlineLevel="0" collapsed="false">
      <c r="B138" s="163"/>
      <c r="C138" s="293" t="n">
        <f aca="false">IF(Nb_sat="1 satellite",Alt_sat)</f>
        <v>0</v>
      </c>
    </row>
    <row r="139" customFormat="false" ht="12" hidden="false" customHeight="false" outlineLevel="0" collapsed="false">
      <c r="B139" s="291" t="s">
        <v>200</v>
      </c>
      <c r="C139" s="293" t="n">
        <f aca="false">IF(Nb_sat="1 satellite",Alt_sat*1/4)</f>
        <v>0</v>
      </c>
    </row>
    <row r="140" customFormat="false" ht="12" hidden="false" customHeight="false" outlineLevel="0" collapsed="false">
      <c r="B140" s="294" t="n">
        <f aca="false">IF(Nb_sat="1 satellite",X_satellite)</f>
        <v>0</v>
      </c>
      <c r="C140" s="293" t="n">
        <f aca="false">IF(Nb_sat="1 satellite",0)</f>
        <v>0</v>
      </c>
    </row>
    <row r="141" customFormat="false" ht="12" hidden="false" customHeight="false" outlineLevel="0" collapsed="false">
      <c r="B141" s="294" t="n">
        <f aca="false">IF(Nb_sat="1 satellite",X_satellite)</f>
        <v>0</v>
      </c>
      <c r="C141" s="293" t="n">
        <f aca="false">IF(Nb_sat="1 satellite",Alt_sat/20)</f>
        <v>0</v>
      </c>
    </row>
    <row r="142" customFormat="false" ht="12" hidden="false" customHeight="false" outlineLevel="0" collapsed="false">
      <c r="B142" s="294" t="n">
        <f aca="false">IF(Nb_sat="1 satellite",X_satellite)</f>
        <v>0</v>
      </c>
      <c r="C142" s="293" t="n">
        <f aca="false">IF(Nb_sat="1 satellite",0)</f>
        <v>0</v>
      </c>
    </row>
    <row r="143" customFormat="false" ht="12" hidden="false" customHeight="false" outlineLevel="0" collapsed="false">
      <c r="B143" s="294" t="n">
        <f aca="false">IF(Nb_sat="1 satellite",X_satellite+Alt_sat/40)</f>
        <v>0</v>
      </c>
      <c r="C143" s="293" t="n">
        <f aca="false">IF(Nb_sat="1 satellite",Alt_sat/20)</f>
        <v>0</v>
      </c>
    </row>
    <row r="144" customFormat="false" ht="12" hidden="false" customHeight="false" outlineLevel="0" collapsed="false">
      <c r="B144" s="294" t="n">
        <f aca="false">IF(Nb_sat="1 satellite",X_satellite)</f>
        <v>0</v>
      </c>
      <c r="C144" s="293" t="n">
        <f aca="false">IF(Nb_sat="1 satellite",0)</f>
        <v>0</v>
      </c>
    </row>
    <row r="145" customFormat="false" ht="12" hidden="false" customHeight="false" outlineLevel="0" collapsed="false">
      <c r="B145" s="294" t="n">
        <f aca="false">IF(Nb_sat="1 satellite",X_satellite-Alt_sat/40)</f>
        <v>0</v>
      </c>
      <c r="C145" s="289" t="s">
        <v>199</v>
      </c>
    </row>
    <row r="146" customFormat="false" ht="12" hidden="false" customHeight="false" outlineLevel="0" collapsed="false">
      <c r="B146" s="292" t="n">
        <f aca="false">IF(Nb_sat="1 satellite",X_satellite)</f>
        <v>0</v>
      </c>
      <c r="C146" s="293" t="n">
        <f aca="false">IF(Nb_sat="1 satellite",Alt_sat)</f>
        <v>0</v>
      </c>
      <c r="D146" s="285"/>
    </row>
    <row r="147" customFormat="false" ht="12" hidden="false" customHeight="false" outlineLevel="0" collapsed="false">
      <c r="B147" s="291" t="s">
        <v>201</v>
      </c>
      <c r="C147" s="293" t="n">
        <f aca="false">(C146+C148)/2</f>
        <v>0</v>
      </c>
      <c r="D147" s="285"/>
    </row>
    <row r="148" customFormat="false" ht="12" hidden="false" customHeight="false" outlineLevel="0" collapsed="false">
      <c r="B148" s="299" t="n">
        <f aca="false">IF(Nb_sat="1 satellite",T_satellite)</f>
        <v>0</v>
      </c>
      <c r="C148" s="293" t="n">
        <f aca="false">IF(Nb_sat="1 satellite",0)</f>
        <v>0</v>
      </c>
    </row>
    <row r="149" customFormat="false" ht="12" hidden="false" customHeight="false" outlineLevel="0" collapsed="false">
      <c r="B149" s="299" t="n">
        <f aca="false">(B148+B150)/2</f>
        <v>0</v>
      </c>
      <c r="C149" s="293" t="n">
        <f aca="false">IF(Nb_sat="1 satellite",Alt_sat-V_satellite*(H49-T_satellite)+E129*sS*Altitude_culmi/H49*zZ_sat+E130*sS/2*Altitude_culmi/H49*tT_sat)</f>
        <v>0</v>
      </c>
      <c r="D149" s="285"/>
    </row>
    <row r="150" customFormat="false" ht="12" hidden="false" customHeight="false" outlineLevel="0" collapsed="false">
      <c r="B150" s="299" t="n">
        <f aca="false">IF(Nb_sat="1 satellite",H49)</f>
        <v>0</v>
      </c>
      <c r="C150" s="293" t="n">
        <f aca="false">IF(Nb_sat="1 satellite",0)</f>
        <v>0</v>
      </c>
      <c r="E150" s="306" t="s">
        <v>197</v>
      </c>
      <c r="F150" s="307" t="n">
        <f aca="false">(T_balistique-T_satellite)/T_balistique</f>
        <v>0.903581267217631</v>
      </c>
    </row>
    <row r="151" customFormat="false" ht="12" hidden="false" customHeight="false" outlineLevel="0" collapsed="false">
      <c r="B151" s="299" t="n">
        <f aca="false">IF(Nb_sat="1 satellite",H49+E129*sS/2*zZ_sat-E130*sS*tT_sat)</f>
        <v>0</v>
      </c>
      <c r="C151" s="293" t="n">
        <f aca="false">IF(Nb_sat="1 satellite",Alt_sat-V_satellite*(H49-T_satellite)+E129*sS*Altitude_culmi/H49*zZ_sat-E130*sS/2*Altitude_culmi/H49*tT_sat)</f>
        <v>0</v>
      </c>
      <c r="E151" s="303" t="s">
        <v>198</v>
      </c>
      <c r="F151" s="304" t="n">
        <f aca="false">V_satellite*(T_balistique-T_satellite)/Alt_sat</f>
        <v>0.970688512881477</v>
      </c>
    </row>
    <row r="152" customFormat="false" ht="12" hidden="false" customHeight="false" outlineLevel="0" collapsed="false">
      <c r="B152" s="299" t="n">
        <f aca="false">IF(Nb_sat="1 satellite",H49)</f>
        <v>0</v>
      </c>
      <c r="C152" s="290" t="n">
        <f aca="false">IF(Nb_sat="1 satellite",0)</f>
        <v>0</v>
      </c>
    </row>
    <row r="153" customFormat="false" ht="12" hidden="false" customHeight="false" outlineLevel="0" collapsed="false">
      <c r="B153" s="299" t="n">
        <f aca="false">IF(Nb_sat="1 satellite",H49-sS/2*zZ_sat-E130*sS*tT_sat)</f>
        <v>0</v>
      </c>
    </row>
    <row r="154" customFormat="false" ht="12" hidden="false" customHeight="false" outlineLevel="0" collapsed="false">
      <c r="B154" s="305" t="n">
        <f aca="false">IF(Nb_sat="1 satellite",H49)</f>
        <v>0</v>
      </c>
      <c r="C154" s="308" t="s">
        <v>202</v>
      </c>
      <c r="D154" s="289" t="s">
        <v>203</v>
      </c>
    </row>
    <row r="155" customFormat="false" ht="12" hidden="false" customHeight="false" outlineLevel="0" collapsed="false">
      <c r="C155" s="309" t="n">
        <f aca="false">Alt_para/2</f>
        <v>528.616713811215</v>
      </c>
      <c r="D155" s="310" t="n">
        <f aca="false">X_para/4</f>
        <v>66.2801210354173</v>
      </c>
    </row>
    <row r="156" customFormat="false" ht="12" hidden="false" customHeight="false" outlineLevel="0" collapsed="false">
      <c r="B156" s="291" t="s">
        <v>204</v>
      </c>
      <c r="C156" s="311" t="n">
        <f aca="false">Altitude_culmi/2</f>
        <v>734.135513259413</v>
      </c>
      <c r="D156" s="312" t="n">
        <f aca="false">X_culmi+(Portee_balistique-X_culmi)*2/3</f>
        <v>781.483313322902</v>
      </c>
    </row>
    <row r="157" customFormat="false" ht="12" hidden="false" customHeight="false" outlineLevel="0" collapsed="false">
      <c r="B157" s="313" t="n">
        <f aca="false">T_para/4</f>
        <v>2</v>
      </c>
    </row>
    <row r="158" customFormat="false" ht="12" hidden="false" customHeight="false" outlineLevel="0" collapsed="false">
      <c r="B158" s="314" t="n">
        <f aca="false">Temps_culmi + (T_balistique-Temps_culmi)/2</f>
        <v>26.5500000000001</v>
      </c>
      <c r="C158" s="308" t="s">
        <v>205</v>
      </c>
      <c r="D158" s="315" t="s">
        <v>206</v>
      </c>
      <c r="E158" s="315"/>
      <c r="F158" s="316" t="s">
        <v>206</v>
      </c>
    </row>
    <row r="159" customFormat="false" ht="12" hidden="false" customHeight="false" outlineLevel="0" collapsed="false">
      <c r="C159" s="317" t="n">
        <v>0</v>
      </c>
      <c r="D159" s="309" t="n">
        <f aca="false">X_culmi+C159</f>
        <v>517.221267616161</v>
      </c>
      <c r="E159" s="309"/>
      <c r="F159" s="310" t="n">
        <f aca="false">X_culmi-C159</f>
        <v>517.221267616161</v>
      </c>
    </row>
    <row r="160" customFormat="false" ht="12" hidden="false" customHeight="false" outlineLevel="0" collapsed="false">
      <c r="B160" s="291" t="s">
        <v>207</v>
      </c>
      <c r="C160" s="317" t="n">
        <v>23</v>
      </c>
      <c r="D160" s="309" t="n">
        <f aca="false">X_culmi+C160</f>
        <v>540.221267616161</v>
      </c>
      <c r="E160" s="309"/>
      <c r="F160" s="310" t="n">
        <f aca="false">X_culmi-C160</f>
        <v>494.221267616161</v>
      </c>
    </row>
    <row r="161" customFormat="false" ht="12" hidden="false" customHeight="false" outlineLevel="0" collapsed="false">
      <c r="B161" s="313" t="e">
        <f aca="false">IF(AND(Altitude_culmi&gt;80, Altitude_culmi&lt;=350), 49, NA())</f>
        <v>#N/A</v>
      </c>
      <c r="C161" s="317" t="n">
        <v>23</v>
      </c>
      <c r="D161" s="309" t="n">
        <f aca="false">X_culmi+C161</f>
        <v>540.221267616161</v>
      </c>
      <c r="E161" s="309"/>
      <c r="F161" s="310" t="n">
        <f aca="false">X_culmi-C161</f>
        <v>494.221267616161</v>
      </c>
    </row>
    <row r="162" customFormat="false" ht="12" hidden="false" customHeight="false" outlineLevel="0" collapsed="false">
      <c r="B162" s="313" t="e">
        <f aca="false">IF(AND(Altitude_culmi&gt;80, Altitude_culmi&lt;=350), 49, NA())</f>
        <v>#N/A</v>
      </c>
      <c r="C162" s="317" t="n">
        <v>0</v>
      </c>
      <c r="D162" s="309" t="n">
        <f aca="false">X_culmi+C162</f>
        <v>517.221267616161</v>
      </c>
      <c r="E162" s="309"/>
      <c r="F162" s="310" t="n">
        <f aca="false">X_culmi-C162</f>
        <v>517.221267616161</v>
      </c>
    </row>
    <row r="163" customFormat="false" ht="12" hidden="false" customHeight="false" outlineLevel="0" collapsed="false">
      <c r="B163" s="313" t="e">
        <f aca="false">IF(AND(Altitude_culmi&gt;80, Altitude_culmi&lt;=350), 43, NA())</f>
        <v>#N/A</v>
      </c>
      <c r="C163" s="317" t="n">
        <v>23</v>
      </c>
      <c r="D163" s="309" t="n">
        <f aca="false">X_culmi+C163</f>
        <v>540.221267616161</v>
      </c>
      <c r="E163" s="309"/>
      <c r="F163" s="310" t="n">
        <f aca="false">X_culmi-C163</f>
        <v>494.221267616161</v>
      </c>
    </row>
    <row r="164" customFormat="false" ht="12" hidden="false" customHeight="false" outlineLevel="0" collapsed="false">
      <c r="B164" s="313" t="e">
        <f aca="false">IF(AND(Altitude_culmi&gt;80, Altitude_culmi&lt;=350), 43, NA())</f>
        <v>#N/A</v>
      </c>
      <c r="C164" s="317" t="n">
        <v>23</v>
      </c>
      <c r="D164" s="309" t="n">
        <f aca="false">X_culmi+C164</f>
        <v>540.221267616161</v>
      </c>
      <c r="E164" s="309"/>
      <c r="F164" s="310" t="n">
        <f aca="false">X_culmi-C164</f>
        <v>494.221267616161</v>
      </c>
    </row>
    <row r="165" customFormat="false" ht="12" hidden="false" customHeight="false" outlineLevel="0" collapsed="false">
      <c r="B165" s="313" t="e">
        <f aca="false">IF(AND(Altitude_culmi&gt;80, Altitude_culmi&lt;=350), 43, NA())</f>
        <v>#N/A</v>
      </c>
      <c r="C165" s="317" t="n">
        <v>8</v>
      </c>
      <c r="D165" s="309" t="n">
        <f aca="false">X_culmi+C165</f>
        <v>525.221267616161</v>
      </c>
      <c r="E165" s="309"/>
      <c r="F165" s="310" t="n">
        <f aca="false">X_culmi-C165</f>
        <v>509.221267616161</v>
      </c>
    </row>
    <row r="166" customFormat="false" ht="12" hidden="false" customHeight="false" outlineLevel="0" collapsed="false">
      <c r="B166" s="313" t="e">
        <f aca="false">IF(AND(Altitude_culmi&gt;80, Altitude_culmi&lt;=350), 0.5, NA())</f>
        <v>#N/A</v>
      </c>
      <c r="C166" s="317" t="n">
        <v>8</v>
      </c>
      <c r="D166" s="309" t="n">
        <f aca="false">X_culmi+C166</f>
        <v>525.221267616161</v>
      </c>
      <c r="E166" s="309"/>
      <c r="F166" s="310" t="n">
        <f aca="false">X_culmi-C166</f>
        <v>509.221267616161</v>
      </c>
    </row>
    <row r="167" customFormat="false" ht="12" hidden="false" customHeight="false" outlineLevel="0" collapsed="false">
      <c r="B167" s="313" t="e">
        <f aca="false">IF(AND(Altitude_culmi&gt;80, Altitude_culmi&lt;=350), 0.5, NA())</f>
        <v>#N/A</v>
      </c>
      <c r="C167" s="317" t="n">
        <v>23</v>
      </c>
      <c r="D167" s="309" t="n">
        <f aca="false">X_culmi+C167</f>
        <v>540.221267616161</v>
      </c>
      <c r="E167" s="309"/>
      <c r="F167" s="310" t="n">
        <f aca="false">X_culmi-C167</f>
        <v>494.221267616161</v>
      </c>
    </row>
    <row r="168" customFormat="false" ht="12" hidden="false" customHeight="false" outlineLevel="0" collapsed="false">
      <c r="B168" s="313" t="e">
        <f aca="false">IF(AND(Altitude_culmi&gt;80, Altitude_culmi&lt;=350), 27, NA())</f>
        <v>#N/A</v>
      </c>
      <c r="C168" s="317" t="n">
        <v>8</v>
      </c>
      <c r="D168" s="309" t="n">
        <f aca="false">X_culmi+C168</f>
        <v>525.221267616161</v>
      </c>
      <c r="E168" s="309"/>
      <c r="F168" s="310" t="n">
        <f aca="false">X_culmi-C168</f>
        <v>509.221267616161</v>
      </c>
    </row>
    <row r="169" customFormat="false" ht="12" hidden="false" customHeight="false" outlineLevel="0" collapsed="false">
      <c r="B169" s="313" t="e">
        <f aca="false">IF(AND(Altitude_culmi&gt;80, Altitude_culmi&lt;=350), 27, NA())</f>
        <v>#N/A</v>
      </c>
      <c r="C169" s="317" t="n">
        <v>7.6</v>
      </c>
      <c r="D169" s="309" t="n">
        <f aca="false">X_culmi+C169</f>
        <v>524.821267616161</v>
      </c>
      <c r="E169" s="309"/>
      <c r="F169" s="310" t="n">
        <f aca="false">X_culmi-C169</f>
        <v>509.621267616161</v>
      </c>
    </row>
    <row r="170" customFormat="false" ht="12" hidden="false" customHeight="false" outlineLevel="0" collapsed="false">
      <c r="B170" s="313" t="e">
        <f aca="false">IF(AND(Altitude_culmi&gt;80, Altitude_culmi&lt;=350), 27, NA())</f>
        <v>#N/A</v>
      </c>
      <c r="C170" s="317" t="n">
        <v>6.8</v>
      </c>
      <c r="D170" s="309" t="n">
        <f aca="false">X_culmi+C170</f>
        <v>524.021267616161</v>
      </c>
      <c r="E170" s="309"/>
      <c r="F170" s="310" t="n">
        <f aca="false">X_culmi-C170</f>
        <v>510.421267616161</v>
      </c>
    </row>
    <row r="171" customFormat="false" ht="12" hidden="false" customHeight="false" outlineLevel="0" collapsed="false">
      <c r="B171" s="313" t="e">
        <f aca="false">IF(AND(Altitude_culmi&gt;80, Altitude_culmi&lt;=350), 29, NA())</f>
        <v>#N/A</v>
      </c>
      <c r="C171" s="317" t="n">
        <v>6</v>
      </c>
      <c r="D171" s="309" t="n">
        <f aca="false">X_culmi+C171</f>
        <v>523.221267616161</v>
      </c>
      <c r="E171" s="309"/>
      <c r="F171" s="310" t="n">
        <f aca="false">X_culmi-C171</f>
        <v>511.221267616161</v>
      </c>
    </row>
    <row r="172" customFormat="false" ht="12" hidden="false" customHeight="false" outlineLevel="0" collapsed="false">
      <c r="B172" s="313" t="e">
        <f aca="false">IF(AND(Altitude_culmi&gt;80, Altitude_culmi&lt;=350), 31, NA())</f>
        <v>#N/A</v>
      </c>
      <c r="C172" s="317" t="n">
        <v>5</v>
      </c>
      <c r="D172" s="309" t="n">
        <f aca="false">X_culmi+C172</f>
        <v>522.221267616161</v>
      </c>
      <c r="E172" s="309"/>
      <c r="F172" s="310" t="n">
        <f aca="false">X_culmi-C172</f>
        <v>512.221267616161</v>
      </c>
    </row>
    <row r="173" customFormat="false" ht="12" hidden="false" customHeight="false" outlineLevel="0" collapsed="false">
      <c r="B173" s="313" t="e">
        <f aca="false">IF(AND(Altitude_culmi&gt;80, Altitude_culmi&lt;=350), 32, NA())</f>
        <v>#N/A</v>
      </c>
      <c r="C173" s="317" t="n">
        <v>3.8</v>
      </c>
      <c r="D173" s="309" t="n">
        <f aca="false">X_culmi+C173</f>
        <v>521.021267616161</v>
      </c>
      <c r="E173" s="309"/>
      <c r="F173" s="310" t="n">
        <f aca="false">X_culmi-C173</f>
        <v>513.421267616161</v>
      </c>
    </row>
    <row r="174" customFormat="false" ht="12" hidden="false" customHeight="false" outlineLevel="0" collapsed="false">
      <c r="B174" s="313" t="e">
        <f aca="false">IF(AND(Altitude_culmi&gt;80, Altitude_culmi&lt;=350), 33, NA())</f>
        <v>#N/A</v>
      </c>
      <c r="C174" s="318" t="n">
        <v>0</v>
      </c>
      <c r="D174" s="319" t="n">
        <f aca="false">X_culmi+C174</f>
        <v>517.221267616161</v>
      </c>
      <c r="E174" s="319"/>
      <c r="F174" s="312" t="n">
        <f aca="false">X_culmi-C174</f>
        <v>517.221267616161</v>
      </c>
    </row>
    <row r="175" customFormat="false" ht="12" hidden="false" customHeight="false" outlineLevel="0" collapsed="false">
      <c r="B175" s="313" t="e">
        <f aca="false">IF(AND(Altitude_culmi&gt;80, Altitude_culmi&lt;=350), 34, NA())</f>
        <v>#N/A</v>
      </c>
    </row>
    <row r="176" customFormat="false" ht="12" hidden="false" customHeight="false" outlineLevel="0" collapsed="false">
      <c r="B176" s="314" t="e">
        <f aca="false">IF(AND(Altitude_culmi&gt;80, Altitude_culmi&lt;=350), 35, NA())</f>
        <v>#N/A</v>
      </c>
      <c r="C176" s="308" t="s">
        <v>208</v>
      </c>
      <c r="D176" s="308" t="s">
        <v>209</v>
      </c>
      <c r="E176" s="308"/>
      <c r="F176" s="289" t="s">
        <v>209</v>
      </c>
    </row>
    <row r="177" customFormat="false" ht="12" hidden="false" customHeight="false" outlineLevel="0" collapsed="false">
      <c r="C177" s="317" t="n">
        <v>0</v>
      </c>
      <c r="D177" s="309" t="n">
        <f aca="false">X_culmi+C177</f>
        <v>517.221267616161</v>
      </c>
      <c r="E177" s="309"/>
      <c r="F177" s="310" t="n">
        <f aca="false">X_culmi-C177</f>
        <v>517.221267616161</v>
      </c>
    </row>
    <row r="178" customFormat="false" ht="12" hidden="false" customHeight="false" outlineLevel="0" collapsed="false">
      <c r="B178" s="291" t="s">
        <v>210</v>
      </c>
      <c r="C178" s="317" t="n">
        <v>0</v>
      </c>
      <c r="D178" s="309" t="n">
        <f aca="false">X_culmi+C178</f>
        <v>517.221267616161</v>
      </c>
      <c r="E178" s="309"/>
      <c r="F178" s="310" t="n">
        <f aca="false">X_culmi-C178</f>
        <v>517.221267616161</v>
      </c>
    </row>
    <row r="179" customFormat="false" ht="12" hidden="false" customHeight="false" outlineLevel="0" collapsed="false">
      <c r="B179" s="313" t="n">
        <f aca="false">IF(Altitude_culmi&gt;350, 324, NA())</f>
        <v>324</v>
      </c>
      <c r="C179" s="317" t="n">
        <v>10</v>
      </c>
      <c r="D179" s="309" t="n">
        <f aca="false">X_culmi+C179</f>
        <v>527.221267616161</v>
      </c>
      <c r="E179" s="309"/>
      <c r="F179" s="310" t="n">
        <f aca="false">X_culmi-C179</f>
        <v>507.221267616161</v>
      </c>
    </row>
    <row r="180" customFormat="false" ht="12" hidden="false" customHeight="false" outlineLevel="0" collapsed="false">
      <c r="B180" s="313" t="n">
        <f aca="false">IF(Altitude_culmi&gt;350, 300, NA())</f>
        <v>300</v>
      </c>
      <c r="C180" s="317" t="n">
        <v>0</v>
      </c>
      <c r="D180" s="309" t="n">
        <f aca="false">X_culmi+C180</f>
        <v>517.221267616161</v>
      </c>
      <c r="E180" s="309"/>
      <c r="F180" s="310" t="n">
        <f aca="false">X_culmi-C180</f>
        <v>517.221267616161</v>
      </c>
    </row>
    <row r="181" customFormat="false" ht="12" hidden="false" customHeight="false" outlineLevel="0" collapsed="false">
      <c r="B181" s="313" t="n">
        <f aca="false">IF(Altitude_culmi&gt;350, 280, NA())</f>
        <v>280</v>
      </c>
      <c r="C181" s="317" t="n">
        <v>10</v>
      </c>
      <c r="D181" s="309" t="n">
        <f aca="false">X_culmi+C181</f>
        <v>527.221267616161</v>
      </c>
      <c r="E181" s="309"/>
      <c r="F181" s="310" t="n">
        <f aca="false">X_culmi-C181</f>
        <v>507.221267616161</v>
      </c>
    </row>
    <row r="182" customFormat="false" ht="12" hidden="false" customHeight="false" outlineLevel="0" collapsed="false">
      <c r="B182" s="313" t="n">
        <f aca="false">IF(Altitude_culmi&gt;350, 280, NA())</f>
        <v>280</v>
      </c>
      <c r="C182" s="317" t="n">
        <v>13</v>
      </c>
      <c r="D182" s="309" t="n">
        <f aca="false">X_culmi+C182</f>
        <v>530.221267616161</v>
      </c>
      <c r="E182" s="309"/>
      <c r="F182" s="310" t="n">
        <f aca="false">X_culmi-C182</f>
        <v>504.221267616161</v>
      </c>
    </row>
    <row r="183" customFormat="false" ht="12" hidden="false" customHeight="false" outlineLevel="0" collapsed="false">
      <c r="B183" s="313" t="n">
        <f aca="false">IF(Altitude_culmi&gt;350, 280, NA())</f>
        <v>280</v>
      </c>
      <c r="C183" s="317" t="n">
        <v>17</v>
      </c>
      <c r="D183" s="309" t="n">
        <f aca="false">X_culmi+C183</f>
        <v>534.221267616161</v>
      </c>
      <c r="E183" s="309"/>
      <c r="F183" s="310" t="n">
        <f aca="false">X_culmi-C183</f>
        <v>500.221267616161</v>
      </c>
    </row>
    <row r="184" customFormat="false" ht="12" hidden="false" customHeight="false" outlineLevel="0" collapsed="false">
      <c r="B184" s="313" t="n">
        <f aca="false">IF(Altitude_culmi&gt;350, 200, NA())</f>
        <v>200</v>
      </c>
      <c r="C184" s="317" t="n">
        <v>20</v>
      </c>
      <c r="D184" s="309" t="n">
        <f aca="false">X_culmi+C184</f>
        <v>537.221267616161</v>
      </c>
      <c r="E184" s="309"/>
      <c r="F184" s="310" t="n">
        <f aca="false">X_culmi-C184</f>
        <v>497.221267616161</v>
      </c>
    </row>
    <row r="185" customFormat="false" ht="12" hidden="false" customHeight="false" outlineLevel="0" collapsed="false">
      <c r="B185" s="313" t="n">
        <f aca="false">IF(Altitude_culmi&gt;350, 160, NA())</f>
        <v>160</v>
      </c>
      <c r="C185" s="317" t="n">
        <v>25</v>
      </c>
      <c r="D185" s="309" t="n">
        <f aca="false">X_culmi+C185</f>
        <v>542.221267616161</v>
      </c>
      <c r="E185" s="309"/>
      <c r="F185" s="310" t="n">
        <f aca="false">X_culmi-C185</f>
        <v>492.221267616161</v>
      </c>
    </row>
    <row r="186" customFormat="false" ht="12" hidden="false" customHeight="false" outlineLevel="0" collapsed="false">
      <c r="B186" s="313" t="n">
        <f aca="false">IF(Altitude_culmi&gt;350, 115, NA())</f>
        <v>115</v>
      </c>
      <c r="C186" s="317" t="n">
        <v>30</v>
      </c>
      <c r="D186" s="309" t="n">
        <f aca="false">X_culmi+C186</f>
        <v>547.221267616161</v>
      </c>
      <c r="E186" s="309"/>
      <c r="F186" s="310" t="n">
        <f aca="false">X_culmi-C186</f>
        <v>487.221267616161</v>
      </c>
    </row>
    <row r="187" customFormat="false" ht="12" hidden="false" customHeight="false" outlineLevel="0" collapsed="false">
      <c r="B187" s="313" t="n">
        <f aca="false">IF(Altitude_culmi&gt;350, 90, NA())</f>
        <v>90</v>
      </c>
      <c r="C187" s="317" t="n">
        <v>36</v>
      </c>
      <c r="D187" s="309" t="n">
        <f aca="false">X_culmi+C187</f>
        <v>553.221267616161</v>
      </c>
      <c r="E187" s="309"/>
      <c r="F187" s="310" t="n">
        <f aca="false">X_culmi-C187</f>
        <v>481.221267616161</v>
      </c>
    </row>
    <row r="188" customFormat="false" ht="12" hidden="false" customHeight="false" outlineLevel="0" collapsed="false">
      <c r="B188" s="313" t="n">
        <f aca="false">IF(Altitude_culmi&gt;350, 57, NA())</f>
        <v>57</v>
      </c>
      <c r="C188" s="317" t="n">
        <v>48</v>
      </c>
      <c r="D188" s="309" t="n">
        <f aca="false">X_culmi+C188</f>
        <v>565.221267616161</v>
      </c>
      <c r="E188" s="309"/>
      <c r="F188" s="310" t="n">
        <f aca="false">X_culmi-C188</f>
        <v>469.221267616161</v>
      </c>
    </row>
    <row r="189" customFormat="false" ht="12" hidden="false" customHeight="false" outlineLevel="0" collapsed="false">
      <c r="B189" s="313" t="n">
        <f aca="false">IF(Altitude_culmi&gt;350, 40, NA())</f>
        <v>40</v>
      </c>
      <c r="C189" s="317" t="n">
        <v>62</v>
      </c>
      <c r="D189" s="309" t="n">
        <f aca="false">X_culmi+C189</f>
        <v>579.221267616161</v>
      </c>
      <c r="E189" s="309"/>
      <c r="F189" s="310" t="n">
        <f aca="false">X_culmi-C189</f>
        <v>455.221267616161</v>
      </c>
    </row>
    <row r="190" customFormat="false" ht="12" hidden="false" customHeight="false" outlineLevel="0" collapsed="false">
      <c r="B190" s="313" t="n">
        <f aca="false">IF(Altitude_culmi&gt;350, 20, NA())</f>
        <v>20</v>
      </c>
      <c r="C190" s="317" t="n">
        <v>37</v>
      </c>
      <c r="D190" s="309" t="n">
        <f aca="false">X_culmi+C190</f>
        <v>554.221267616161</v>
      </c>
      <c r="E190" s="309"/>
      <c r="F190" s="310" t="n">
        <f aca="false">X_culmi-C190</f>
        <v>480.221267616161</v>
      </c>
    </row>
    <row r="191" customFormat="false" ht="12" hidden="false" customHeight="false" outlineLevel="0" collapsed="false">
      <c r="B191" s="313" t="n">
        <f aca="false">IF(Altitude_culmi&gt;350, 0.5, NA())</f>
        <v>0.5</v>
      </c>
      <c r="C191" s="317" t="n">
        <v>30</v>
      </c>
      <c r="D191" s="309" t="n">
        <f aca="false">X_culmi+C191</f>
        <v>547.221267616161</v>
      </c>
      <c r="E191" s="309"/>
      <c r="F191" s="310" t="n">
        <f aca="false">X_culmi-C191</f>
        <v>487.221267616161</v>
      </c>
    </row>
    <row r="192" customFormat="false" ht="12" hidden="false" customHeight="false" outlineLevel="0" collapsed="false">
      <c r="B192" s="313" t="n">
        <f aca="false">IF(Altitude_culmi&gt;350, 0.5, NA())</f>
        <v>0.5</v>
      </c>
      <c r="C192" s="317" t="n">
        <v>15</v>
      </c>
      <c r="D192" s="309" t="n">
        <f aca="false">X_culmi+C192</f>
        <v>532.221267616161</v>
      </c>
      <c r="E192" s="309"/>
      <c r="F192" s="310" t="n">
        <f aca="false">X_culmi-C192</f>
        <v>502.221267616161</v>
      </c>
    </row>
    <row r="193" customFormat="false" ht="12" hidden="false" customHeight="false" outlineLevel="0" collapsed="false">
      <c r="B193" s="313" t="n">
        <f aca="false">IF(Altitude_culmi&gt;350, 15, NA())</f>
        <v>15</v>
      </c>
      <c r="C193" s="317" t="n">
        <v>0</v>
      </c>
      <c r="D193" s="309" t="n">
        <f aca="false">X_culmi+C193</f>
        <v>517.221267616161</v>
      </c>
      <c r="E193" s="309"/>
      <c r="F193" s="310" t="n">
        <f aca="false">X_culmi-C193</f>
        <v>517.221267616161</v>
      </c>
    </row>
    <row r="194" customFormat="false" ht="12" hidden="false" customHeight="false" outlineLevel="0" collapsed="false">
      <c r="B194" s="313" t="n">
        <f aca="false">IF(Altitude_culmi&gt;350, 30, NA())</f>
        <v>30</v>
      </c>
      <c r="C194" s="317" t="n">
        <v>0</v>
      </c>
      <c r="D194" s="309" t="n">
        <f aca="false">X_culmi+C194</f>
        <v>517.221267616161</v>
      </c>
      <c r="E194" s="309"/>
      <c r="F194" s="310" t="n">
        <f aca="false">X_culmi-C194</f>
        <v>517.221267616161</v>
      </c>
    </row>
    <row r="195" customFormat="false" ht="12" hidden="false" customHeight="false" outlineLevel="0" collapsed="false">
      <c r="B195" s="313" t="n">
        <f aca="false">IF(Altitude_culmi&gt;350, 37, NA())</f>
        <v>37</v>
      </c>
      <c r="C195" s="317" t="n">
        <v>17</v>
      </c>
      <c r="D195" s="309" t="n">
        <f aca="false">X_culmi+C195</f>
        <v>534.221267616161</v>
      </c>
      <c r="E195" s="309"/>
      <c r="F195" s="310" t="n">
        <f aca="false">X_culmi-C195</f>
        <v>500.221267616161</v>
      </c>
    </row>
    <row r="196" customFormat="false" ht="12" hidden="false" customHeight="false" outlineLevel="0" collapsed="false">
      <c r="B196" s="313" t="n">
        <f aca="false">IF(Altitude_culmi&gt;350, 67, NA())</f>
        <v>67</v>
      </c>
      <c r="C196" s="317" t="n">
        <v>11</v>
      </c>
      <c r="D196" s="309" t="n">
        <f aca="false">X_culmi+C196</f>
        <v>528.221267616161</v>
      </c>
      <c r="E196" s="309"/>
      <c r="F196" s="310" t="n">
        <f aca="false">X_culmi-C196</f>
        <v>506.221267616161</v>
      </c>
    </row>
    <row r="197" customFormat="false" ht="12" hidden="false" customHeight="false" outlineLevel="0" collapsed="false">
      <c r="B197" s="313" t="n">
        <f aca="false">IF(Altitude_culmi&gt;350, 67, NA())</f>
        <v>67</v>
      </c>
      <c r="C197" s="318" t="n">
        <v>0</v>
      </c>
      <c r="D197" s="319" t="n">
        <f aca="false">X_culmi+C197</f>
        <v>517.221267616161</v>
      </c>
      <c r="E197" s="319"/>
      <c r="F197" s="312" t="n">
        <f aca="false">X_culmi-C197</f>
        <v>517.221267616161</v>
      </c>
    </row>
    <row r="198" customFormat="false" ht="12" hidden="false" customHeight="false" outlineLevel="0" collapsed="false">
      <c r="B198" s="313" t="n">
        <f aca="false">IF(Altitude_culmi&gt;350, 100, NA())</f>
        <v>100</v>
      </c>
    </row>
    <row r="199" customFormat="false" ht="12" hidden="false" customHeight="false" outlineLevel="0" collapsed="false">
      <c r="B199" s="314" t="n">
        <f aca="false">IF(Altitude_culmi&gt;350, 100, NA())</f>
        <v>100</v>
      </c>
    </row>
  </sheetData>
  <sheetProtection sheet="true" password="c6ac"/>
  <protectedRanges>
    <protectedRange name="Plage1" sqref="C25"/>
  </protectedRanges>
  <mergeCells count="41">
    <mergeCell ref="C2:D3"/>
    <mergeCell ref="C4:D4"/>
    <mergeCell ref="C6:D6"/>
    <mergeCell ref="C7:D7"/>
    <mergeCell ref="C8:D8"/>
    <mergeCell ref="C9:D9"/>
    <mergeCell ref="C10:D10"/>
    <mergeCell ref="C11:D11"/>
    <mergeCell ref="C13:D13"/>
    <mergeCell ref="C14:D14"/>
    <mergeCell ref="C15:D15"/>
    <mergeCell ref="C17:D17"/>
    <mergeCell ref="C18:D18"/>
    <mergeCell ref="C19:D19"/>
    <mergeCell ref="C20:D20"/>
    <mergeCell ref="C22:D22"/>
    <mergeCell ref="F23:G23"/>
    <mergeCell ref="F24:G24"/>
    <mergeCell ref="F25:G25"/>
    <mergeCell ref="F26:G26"/>
    <mergeCell ref="F27:G27"/>
    <mergeCell ref="F28:G28"/>
    <mergeCell ref="H31:I31"/>
    <mergeCell ref="F32:G32"/>
    <mergeCell ref="H32:I32"/>
    <mergeCell ref="F33:G33"/>
    <mergeCell ref="H33:I33"/>
    <mergeCell ref="F34:G34"/>
    <mergeCell ref="H34:I34"/>
    <mergeCell ref="A38:D38"/>
    <mergeCell ref="F38:G38"/>
    <mergeCell ref="F40:G40"/>
    <mergeCell ref="F41:G41"/>
    <mergeCell ref="F42:G42"/>
    <mergeCell ref="F43:G43"/>
    <mergeCell ref="F44:G44"/>
    <mergeCell ref="F45:G45"/>
    <mergeCell ref="F46:G46"/>
    <mergeCell ref="F47:G47"/>
    <mergeCell ref="F48:G48"/>
    <mergeCell ref="F49:G49"/>
  </mergeCells>
  <conditionalFormatting sqref="D25">
    <cfRule type="expression" priority="2" aboveAverage="0" equalAverage="0" bottom="0" percent="0" rank="0" text="" dxfId="27">
      <formula>Nb_sat="0 satellite"</formula>
    </cfRule>
  </conditionalFormatting>
  <conditionalFormatting sqref="H27 H46">
    <cfRule type="expression" priority="3" aboveAverage="0" equalAverage="0" bottom="0" percent="0" rank="0" text="" dxfId="28">
      <formula>ABS(Temps_culmi-T_para)&gt;2</formula>
    </cfRule>
  </conditionalFormatting>
  <conditionalFormatting sqref="J28 J45">
    <cfRule type="expression" priority="4" aboveAverage="0" equalAverage="0" bottom="0" percent="0" rank="0" text="" dxfId="29">
      <formula>AND(Portee_balistique&gt;200,LEFT(Type_propu,4)="Mini")</formula>
    </cfRule>
  </conditionalFormatting>
  <conditionalFormatting sqref="H33:I33">
    <cfRule type="cellIs" priority="5" operator="equal" aboveAverage="0" equalAverage="0" bottom="0" percent="0" rank="0" text="" dxfId="30">
      <formula>"Rouge…"</formula>
    </cfRule>
  </conditionalFormatting>
  <conditionalFormatting sqref="H32:I32">
    <cfRule type="cellIs" priority="6" operator="equal" aboveAverage="0" equalAverage="0" bottom="0" percent="0" rank="0" text="" dxfId="31">
      <formula>"Brun/Orange…"</formula>
    </cfRule>
  </conditionalFormatting>
  <conditionalFormatting sqref="N33">
    <cfRule type="expression" priority="7" aboveAverage="0" equalAverage="0" bottom="0" percent="0" rank="0" text="" dxfId="32">
      <formula>ROUND(SUM(C23:L34),0)=1914</formula>
    </cfRule>
  </conditionalFormatting>
  <conditionalFormatting sqref="N34">
    <cfRule type="expression" priority="8" aboveAverage="0" equalAverage="0" bottom="0" percent="0" rank="0" text="" dxfId="33">
      <formula>$N$34="propu NOK"</formula>
    </cfRule>
  </conditionalFormatting>
  <conditionalFormatting sqref="F49:M49">
    <cfRule type="expression" priority="9" aboveAverage="0" equalAverage="0" bottom="0" percent="0" rank="0" text="" dxfId="34">
      <formula>Nb_sat="0 satellite"</formula>
    </cfRule>
  </conditionalFormatting>
  <conditionalFormatting sqref="F34:I34 F48:M48">
    <cfRule type="expression" priority="10" aboveAverage="0" equalAverage="0" bottom="0" percent="0" rank="0" text="" dxfId="35">
      <formula>Nb_sat="0 satellite"</formula>
    </cfRule>
  </conditionalFormatting>
  <conditionalFormatting sqref="F25">
    <cfRule type="expression" priority="11" aboveAverage="0" equalAverage="0" bottom="0" percent="0" rank="0" text="" dxfId="36">
      <formula>Nb_sat="0 satellite"</formula>
    </cfRule>
  </conditionalFormatting>
  <conditionalFormatting sqref="K40">
    <cfRule type="expression" priority="12" aboveAverage="0" equalAverage="0" bottom="0" percent="0" rank="0" text="" dxfId="37">
      <formula>AND( $K$21=0, OR( $I$21&gt;0, $J$21&gt;0 ) )</formula>
    </cfRule>
  </conditionalFormatting>
  <conditionalFormatting sqref="D24">
    <cfRule type="expression" priority="13" aboveAverage="0" equalAverage="0" bottom="0" percent="0" rank="0" text="" dxfId="38">
      <formula>Nb_sat="0 satellite"</formula>
    </cfRule>
  </conditionalFormatting>
  <conditionalFormatting sqref="D30">
    <cfRule type="expression" priority="14" aboveAverage="0" equalAverage="0" bottom="0" percent="0" rank="0" text="" dxfId="39">
      <formula>Nb_sat="0 satellite"</formula>
    </cfRule>
    <cfRule type="cellIs" priority="15" operator="notBetween" aboveAverage="0" equalAverage="0" bottom="0" percent="0" rank="0" text="" dxfId="40">
      <formula>5</formula>
      <formula>15</formula>
    </cfRule>
  </conditionalFormatting>
  <conditionalFormatting sqref="H25:M25">
    <cfRule type="expression" priority="16" aboveAverage="0" equalAverage="0" bottom="0" percent="0" rank="0" text="" dxfId="41">
      <formula>Nb_sat="0 satellite"</formula>
    </cfRule>
  </conditionalFormatting>
  <conditionalFormatting sqref="C30">
    <cfRule type="cellIs" priority="17" operator="notBetween" aboveAverage="0" equalAverage="0" bottom="0" percent="0" rank="0" text="" dxfId="42">
      <formula>5</formula>
      <formula>15</formula>
    </cfRule>
  </conditionalFormatting>
  <conditionalFormatting sqref="K23 K41">
    <cfRule type="expression" priority="18" aboveAverage="0" equalAverage="0" bottom="0" percent="0" rank="0" text="" dxfId="43">
      <formula>AND(Vsortie_de_rampe&lt;18, OR(LEFT(Type_fusee,1)=",",LEFT(Type_fusee,4)="Mini",LEFT(Type_fusee,1)="R"))</formula>
    </cfRule>
    <cfRule type="expression" priority="19" aboveAverage="0" equalAverage="0" bottom="0" percent="0" rank="0" text="" dxfId="44">
      <formula>AND(Vsortie_de_rampe&lt;20, RIGHT(Type_fusee,1)=".")</formula>
    </cfRule>
  </conditionalFormatting>
  <conditionalFormatting sqref="D26:D29 D31:D33">
    <cfRule type="expression" priority="20" aboveAverage="0" equalAverage="0" bottom="0" percent="0" rank="0" text="" dxfId="45">
      <formula>Nb_sat="0 satellite"</formula>
    </cfRule>
  </conditionalFormatting>
  <conditionalFormatting sqref="B26">
    <cfRule type="expression" priority="21" aboveAverage="0" equalAverage="0" bottom="0" percent="0" rank="0" text="" dxfId="46">
      <formula>NOT(OR(C25=F108,C25=F102,Nb_sat="1 satellite"))</formula>
    </cfRule>
  </conditionalFormatting>
  <conditionalFormatting sqref="C26">
    <cfRule type="expression" priority="22" aboveAverage="0" equalAverage="0" bottom="0" percent="0" rank="0" text="" dxfId="47">
      <formula>NOT(OR(C25=F108,C25=F102))</formula>
    </cfRule>
  </conditionalFormatting>
  <dataValidations count="14">
    <dataValidation allowBlank="false" errorStyle="stop" operator="greaterThanOrEqual" showDropDown="false" showErrorMessage="true" showInputMessage="false" sqref="C26:D26 D27 C29 H40:K40" type="decimal">
      <formula1>0</formula1>
      <formula2>0</formula2>
    </dataValidation>
    <dataValidation allowBlank="true" errorStyle="stop" operator="between" showDropDown="false" showErrorMessage="true" showInputMessage="true" sqref="H50" type="list">
      <formula1>gao</formula1>
      <formula2>0</formula2>
    </dataValidation>
    <dataValidation allowBlank="false" errorStyle="stop" operator="greaterThanOrEqual" showDropDown="false" showErrorMessage="true" showInputMessage="false" sqref="C27 D29" type="none">
      <formula1>0</formula1>
      <formula2>0</formula2>
    </dataValidation>
    <dataValidation allowBlank="true" error="Le Cx du parachute est souvent compris entre 0 et 2.&#10;Cx of parachute might be between 0 a 2." errorStyle="warning" errorTitle="Cx para" operator="between" showDropDown="false" showErrorMessage="true" showInputMessage="false" sqref="C28:D28" type="decimal">
      <formula1>0</formula1>
      <formula2>2</formula2>
    </dataValidation>
    <dataValidation allowBlank="false" errorStyle="stop" operator="between" showDropDown="false" showErrorMessage="false" showInputMessage="false" sqref="C11:D11" type="none">
      <formula1>0</formula1>
      <formula2>0</formula2>
    </dataValidation>
    <dataValidation allowBlank="false" errorStyle="stop" operator="greaterThanOrEqual" showDropDown="false" showErrorMessage="false" showInputMessage="false" sqref="C10:D10" type="none">
      <formula1>0</formula1>
      <formula2>0</formula2>
    </dataValidation>
    <dataValidation allowBlank="false" error="Le Cx est souvent compris entre 0,3 et 0,7.&#10;Cx may be between 0,3 &amp; 0,7." errorStyle="warning" errorTitle="Cx" operator="between" showDropDown="false" showErrorMessage="true" showInputMessage="false" sqref="C15:D15" type="decimal">
      <formula1>0.3</formula1>
      <formula2>0.7</formula2>
    </dataValidation>
    <dataValidation allowBlank="true" errorStyle="stop" operator="greaterThanOrEqual" showDropDown="false" showErrorMessage="true" showInputMessage="false" sqref="C18:D18" type="decimal">
      <formula1>0</formula1>
      <formula2>0</formula2>
    </dataValidation>
    <dataValidation allowBlank="true" error="Il est conseillé d'incliner à rampe entre 75° et 85° par rapport à l'horizontale.&#10;This Angle is recommended between 75° &amp; 85°." errorStyle="information" errorTitle="Angle de la rampe" operator="between" showDropDown="false" showErrorMessage="true" showInputMessage="true" sqref="C19:D19" type="decimal">
      <formula1>75</formula1>
      <formula2>85</formula2>
    </dataValidation>
    <dataValidation allowBlank="true" errorStyle="stop" operator="greaterThanOrEqual" showDropDown="false" showErrorMessage="true" showInputMessage="false" sqref="C20:D20" type="whole">
      <formula1>0</formula1>
      <formula2>0</formula2>
    </dataValidation>
    <dataValidation allowBlank="true" errorStyle="stop" operator="between" showDropDown="false" showErrorMessage="true" showInputMessage="false" sqref="M40" type="whole">
      <formula1>-360</formula1>
      <formula2>360</formula2>
    </dataValidation>
    <dataValidation allowBlank="false" errorStyle="stop" operator="between" showDropDown="false" showErrorMessage="true" showInputMessage="true" sqref="D23" type="list">
      <formula1>Menu_sat</formula1>
      <formula2>0</formula2>
    </dataValidation>
    <dataValidation allowBlank="false" errorStyle="stop" operator="greaterThanOrEqual" showDropDown="false" showErrorMessage="true" showInputMessage="false" sqref="B43 B45 B51 B53" type="whole">
      <formula1>0</formula1>
      <formula2>0</formula2>
    </dataValidation>
    <dataValidation allowBlank="false" errorStyle="stop" operator="between" showDropDown="false" showErrorMessage="true" showInputMessage="true" sqref="C25" type="list">
      <formula1>IF(Depotage&lt;&gt;0,IF(LEFT(Type_propu,5)="Micro",$F$108,$F$103:$F$108),$F$102)</formula1>
      <formula2>0</formula2>
    </dataValidation>
  </dataValidations>
  <hyperlinks>
    <hyperlink ref="B11" location="Stabilito!C17" display="#Stabilito!C17"/>
  </hyperlinks>
  <printOptions headings="false" gridLines="false" gridLinesSet="true" horizontalCentered="true" verticalCentered="true"/>
  <pageMargins left="0.0784722222222222" right="0.0784722222222222" top="0.0784722222222222" bottom="0.0784722222222222"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75:B14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6796875" defaultRowHeight="12" zeroHeight="false" outlineLevelRow="0" outlineLevelCol="0"/>
  <sheetData>
    <row r="75" customFormat="false" ht="12" hidden="false" customHeight="false" outlineLevel="0" collapsed="false">
      <c r="B75" s="243" t="s">
        <v>211</v>
      </c>
    </row>
    <row r="76" customFormat="false" ht="12" hidden="false" customHeight="false" outlineLevel="0" collapsed="false">
      <c r="B76" s="243" t="str">
        <f aca="false">IF(Lang="Français","Ces courbes représentent la trajectoire de la fusée dans l'hypothèse d'une descente balistique (sans ouverture du parachute). ","These curves show the rocket trajectory in case of ballistic fall (without parachute).")</f>
        <v>Ces courbes représentent la trajectoire de la fusée dans l'hypothèse d'une descente balistique (sans ouverture du parachute). </v>
      </c>
    </row>
    <row r="77" customFormat="false" ht="12" hidden="false" customHeight="false" outlineLevel="0" collapsed="false">
      <c r="B77" s="243" t="str">
        <f aca="false">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customFormat="false" ht="12" hidden="false" customHeight="false" outlineLevel="0" collapsed="false">
      <c r="B78" s="243" t="str">
        <f aca="false">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customFormat="false" ht="12" hidden="false" customHeight="false" outlineLevel="0" collapsed="false">
      <c r="B79" s="243" t="str">
        <f aca="false">IF(Lang="Français","Exemples : Si Poussée = Poids, Vitesse constante, Acc nulle, Charge = 1G ; En chute libre, Acc = -1G, Charge = 0",IF(Lang="English","",""))</f>
        <v>Exemples : Si Poussée = Poids, Vitesse constante, Acc nulle, Charge = 1G ; En chute libre, Acc = -1G, Charge = 0</v>
      </c>
    </row>
    <row r="131" customFormat="false" ht="12.75" hidden="false" customHeight="false" outlineLevel="0" collapsed="false">
      <c r="B131" s="1" t="str">
        <f aca="false">IF(Lang="Français","Textes pour les graphiques :","Texts for graphics :")</f>
        <v>Textes pour les graphiques :</v>
      </c>
    </row>
    <row r="133" customFormat="false" ht="12" hidden="false" customHeight="false" outlineLevel="0" collapsed="false">
      <c r="B133" s="243" t="str">
        <f aca="false">IF(Lang="Français","Traînée",IF(Lang="English","Drag",""))</f>
        <v>Traînée</v>
      </c>
    </row>
    <row r="134" customFormat="false" ht="12" hidden="false" customHeight="false" outlineLevel="0" collapsed="false">
      <c r="B134" s="243" t="str">
        <f aca="false">IF(Lang="Français","Poussée",IF(Lang="English","Thrust",""))</f>
        <v>Poussée</v>
      </c>
    </row>
    <row r="135" customFormat="false" ht="12" hidden="false" customHeight="false" outlineLevel="0" collapsed="false">
      <c r="B135" s="243" t="str">
        <f aca="false">IF(Lang="Français","Poids",IF(Lang="English","Weight",""))</f>
        <v>Poids</v>
      </c>
    </row>
    <row r="137" customFormat="false" ht="12" hidden="false" customHeight="false" outlineLevel="0" collapsed="false">
      <c r="B137" s="243" t="str">
        <f aca="false">IF(Lang="Français","Accélération longitudinale",IF(Lang="English","Longitudinal Acceleration",""))</f>
        <v>Accélération longitudinale</v>
      </c>
    </row>
    <row r="138" customFormat="false" ht="12" hidden="false" customHeight="false" outlineLevel="0" collapsed="false">
      <c r="B138" s="243" t="str">
        <f aca="false">IF(Lang="Français","Charge vue par un capteur",IF(Lang="English","Load seen by a sensor",""))</f>
        <v>Charge vue par un capteur</v>
      </c>
    </row>
    <row r="140" customFormat="false" ht="12" hidden="false" customHeight="false" outlineLevel="0" collapsed="false">
      <c r="B140" s="243" t="str">
        <f aca="false">IF(Lang="Français","Vitesse",IF(Lang="English","Velocity",""))</f>
        <v>Vitesse</v>
      </c>
    </row>
    <row r="141" customFormat="false" ht="12" hidden="false" customHeight="false" outlineLevel="0" collapsed="false">
      <c r="B141" s="243" t="str">
        <f aca="false">IF(Lang="Français","Vitesse [m/s]",IF(Lang="English","Velocity [m/s]",""))</f>
        <v>Vitesse [m/s]</v>
      </c>
    </row>
    <row r="143" customFormat="false" ht="12" hidden="false" customHeight="false" outlineLevel="0" collapsed="false">
      <c r="B143" s="243" t="s">
        <v>161</v>
      </c>
    </row>
    <row r="144" customFormat="false" ht="12" hidden="false" customHeight="false" outlineLevel="0" collapsed="false">
      <c r="B144" s="243" t="str">
        <f aca="false">IF(Lang="Français","Portée",IF(Lang="English","Range",""))</f>
        <v>Portée</v>
      </c>
    </row>
    <row r="146" customFormat="false" ht="12" hidden="false" customHeight="false" outlineLevel="0" collapsed="false">
      <c r="B146" s="243" t="str">
        <f aca="false">IF(Lang="Français","Temps [s]",IF(Lang="English","Time [s]",""))</f>
        <v>Temps [s]</v>
      </c>
    </row>
  </sheetData>
  <sheetProtection sheet="true" password="c6ac"/>
  <printOptions headings="false" gridLines="false" gridLinesSet="true" horizontalCentered="true" verticalCentered="true"/>
  <pageMargins left="0.39375" right="0.39375" top="0.39375" bottom="0.393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Z346"/>
  <sheetViews>
    <sheetView showFormulas="false" showGridLines="false" showRowColHeaders="true" showZeros="true" rightToLeft="false" tabSelected="false" showOutlineSymbols="true" defaultGridColor="true" view="normal" topLeftCell="A265" colorId="64" zoomScale="100" zoomScaleNormal="100" zoomScalePageLayoutView="100" workbookViewId="0">
      <selection pane="topLeft" activeCell="A279" activeCellId="0" sqref="A279"/>
    </sheetView>
  </sheetViews>
  <sheetFormatPr defaultColWidth="10.6796875" defaultRowHeight="12" zeroHeight="false" outlineLevelRow="0" outlineLevelCol="0"/>
  <cols>
    <col collapsed="false" customWidth="true" hidden="false" outlineLevel="0" max="1" min="1" style="243" width="22.63"/>
  </cols>
  <sheetData>
    <row r="1" customFormat="false" ht="12.75" hidden="false" customHeight="false" outlineLevel="0" collapsed="false">
      <c r="A1" s="320" t="str">
        <f aca="false">IF(Lang="Français","Moteur sélectionné","Selected motor")</f>
        <v>Moteur sélectionné</v>
      </c>
      <c r="B1" s="320" t="s">
        <v>212</v>
      </c>
    </row>
    <row r="2" customFormat="false" ht="12.75" hidden="false" customHeight="false" outlineLevel="0" collapsed="false">
      <c r="A2" s="321" t="str">
        <f aca="false">Propu</f>
        <v>Barasinga (Pro54-5G C)</v>
      </c>
      <c r="B2" s="321" t="n">
        <f aca="false">VLOOKUP(A2,A26:B314,2,FALSE())</f>
        <v>279</v>
      </c>
      <c r="C2" s="322" t="s">
        <v>213</v>
      </c>
      <c r="D2" s="323" t="n">
        <f aca="true">INDIRECT(ADDRESS(B2,4))</f>
        <v>2058.37</v>
      </c>
      <c r="E2" s="322" t="s">
        <v>214</v>
      </c>
      <c r="F2" s="324" t="n">
        <f aca="true">INDIRECT(ADDRESS(B2,6))</f>
        <v>203.120667315983</v>
      </c>
      <c r="G2" s="322" t="s">
        <v>215</v>
      </c>
      <c r="H2" s="325" t="n">
        <f aca="true">INDIRECT(ADDRESS(B2,8))</f>
        <v>1.685</v>
      </c>
      <c r="I2" s="322" t="s">
        <v>216</v>
      </c>
      <c r="J2" s="325" t="n">
        <f aca="true">INDIRECT(ADDRESS(B2,10))</f>
        <v>1.033</v>
      </c>
      <c r="K2" s="322" t="s">
        <v>217</v>
      </c>
      <c r="L2" s="325" t="n">
        <f aca="true">INDIRECT(ADDRESS(B2,12))</f>
        <v>0.652</v>
      </c>
      <c r="M2" s="322" t="s">
        <v>218</v>
      </c>
      <c r="N2" s="326" t="n">
        <f aca="true">INDIRECT(ADDRESS(B2,14))</f>
        <v>250</v>
      </c>
      <c r="O2" s="322" t="s">
        <v>219</v>
      </c>
      <c r="P2" s="326" t="n">
        <f aca="true">INDIRECT(ADDRESS(B2,16))</f>
        <v>240</v>
      </c>
      <c r="Q2" s="322" t="s">
        <v>220</v>
      </c>
      <c r="R2" s="326" t="n">
        <f aca="true">INDIRECT(ADDRESS(B2,18))</f>
        <v>488</v>
      </c>
      <c r="S2" s="322" t="s">
        <v>221</v>
      </c>
      <c r="T2" s="326" t="n">
        <f aca="true">INDIRECT(ADDRESS(B2,20))</f>
        <v>54</v>
      </c>
      <c r="U2" s="322" t="s">
        <v>8</v>
      </c>
      <c r="V2" s="327" t="str">
        <f aca="true">INDIRECT(ADDRESS(B2,22))</f>
        <v>Fusex</v>
      </c>
      <c r="W2" s="328" t="s">
        <v>222</v>
      </c>
      <c r="X2" s="329" t="n">
        <f aca="true">INDIRECT(ADDRESS(B2,24))</f>
        <v>0</v>
      </c>
      <c r="Y2" s="328" t="s">
        <v>223</v>
      </c>
      <c r="Z2" s="327" t="n">
        <f aca="true">INDIRECT(ADDRESS(B2,26))</f>
        <v>0</v>
      </c>
    </row>
    <row r="3" customFormat="false" ht="12" hidden="false" customHeight="false" outlineLevel="0" collapsed="false">
      <c r="A3" s="320" t="str">
        <f aca="false">IF(Lang="Français","Temps (en s)","Time (s)")</f>
        <v>Temps (en s)</v>
      </c>
      <c r="B3" s="330" t="n">
        <f aca="true">INDIRECT(ADDRESS($B2+1,COLUMN(B3)))</f>
        <v>0</v>
      </c>
      <c r="C3" s="331" t="n">
        <f aca="true">INDIRECT(ADDRESS($B2+1,COLUMN(C3)))</f>
        <v>0.05</v>
      </c>
      <c r="D3" s="331" t="n">
        <f aca="true">INDIRECT(ADDRESS($B2+1,COLUMN(D3)))</f>
        <v>0.5</v>
      </c>
      <c r="E3" s="331" t="n">
        <f aca="true">INDIRECT(ADDRESS($B2+1,COLUMN(E3)))</f>
        <v>1</v>
      </c>
      <c r="F3" s="331" t="n">
        <f aca="true">INDIRECT(ADDRESS($B2+1,COLUMN(F3)))</f>
        <v>1.5</v>
      </c>
      <c r="G3" s="331" t="n">
        <f aca="true">INDIRECT(ADDRESS($B2+1,COLUMN(G3)))</f>
        <v>2</v>
      </c>
      <c r="H3" s="331" t="n">
        <f aca="true">INDIRECT(ADDRESS($B2+1,COLUMN(H3)))</f>
        <v>2.5</v>
      </c>
      <c r="I3" s="331" t="n">
        <f aca="true">INDIRECT(ADDRESS($B2+1,COLUMN(I3)))</f>
        <v>2.97</v>
      </c>
      <c r="J3" s="331" t="n">
        <f aca="true">INDIRECT(ADDRESS($B2+1,COLUMN(J3)))</f>
        <v>3.2</v>
      </c>
      <c r="K3" s="331" t="n">
        <f aca="true">INDIRECT(ADDRESS($B2+1,COLUMN(K3)))</f>
        <v>3.47</v>
      </c>
      <c r="L3" s="331" t="n">
        <f aca="true">INDIRECT(ADDRESS($B2+1,COLUMN(L3)))</f>
        <v>3.59</v>
      </c>
      <c r="M3" s="331" t="n">
        <f aca="true">INDIRECT(ADDRESS($B2+1,COLUMN(M3)))</f>
        <v>3.59</v>
      </c>
      <c r="N3" s="331" t="n">
        <f aca="true">INDIRECT(ADDRESS($B2+1,COLUMN(N3)))</f>
        <v>3.59</v>
      </c>
      <c r="O3" s="331" t="n">
        <f aca="true">INDIRECT(ADDRESS($B2+1,COLUMN(O3)))</f>
        <v>3.59</v>
      </c>
      <c r="P3" s="331" t="n">
        <f aca="true">INDIRECT(ADDRESS($B2+1,COLUMN(P3)))</f>
        <v>3.59</v>
      </c>
      <c r="Q3" s="331" t="n">
        <f aca="true">INDIRECT(ADDRESS($B2+1,COLUMN(Q3)))</f>
        <v>3.59</v>
      </c>
      <c r="R3" s="331" t="n">
        <f aca="true">INDIRECT(ADDRESS($B2+1,COLUMN(R3)))</f>
        <v>3.59</v>
      </c>
      <c r="S3" s="331" t="n">
        <f aca="true">INDIRECT(ADDRESS($B2+1,COLUMN(S3)))</f>
        <v>3.59</v>
      </c>
      <c r="T3" s="331" t="n">
        <f aca="true">INDIRECT(ADDRESS($B2+1,COLUMN(T3)))</f>
        <v>3.59</v>
      </c>
      <c r="U3" s="331" t="n">
        <f aca="true">INDIRECT(ADDRESS($B2+1,COLUMN(U3)))</f>
        <v>3.59</v>
      </c>
      <c r="V3" s="331" t="n">
        <f aca="true">INDIRECT(ADDRESS($B2+1,COLUMN(V3)))</f>
        <v>3.59</v>
      </c>
      <c r="W3" s="331" t="n">
        <f aca="true">INDIRECT(ADDRESS($B2+1,COLUMN(W3)))</f>
        <v>3.59</v>
      </c>
      <c r="X3" s="331" t="n">
        <f aca="true">INDIRECT(ADDRESS($B2+1,COLUMN(X3)))</f>
        <v>3.59</v>
      </c>
      <c r="Y3" s="332" t="n">
        <f aca="true">INDIRECT(ADDRESS($B2+1,COLUMN(Y3)))</f>
        <v>1000</v>
      </c>
    </row>
    <row r="4" customFormat="false" ht="12.75" hidden="false" customHeight="false" outlineLevel="0" collapsed="false">
      <c r="A4" s="333" t="str">
        <f aca="false">IF(Lang="Français","Poussée (en N)","Thrust (N)")</f>
        <v>Poussée (en N)</v>
      </c>
      <c r="B4" s="334" t="n">
        <f aca="true">INDIRECT(ADDRESS($B2+2,COLUMN(B3)))</f>
        <v>0</v>
      </c>
      <c r="C4" s="335" t="n">
        <f aca="true">INDIRECT(ADDRESS($B2+2,COLUMN(C3)))</f>
        <v>893</v>
      </c>
      <c r="D4" s="335" t="n">
        <f aca="true">INDIRECT(ADDRESS($B2+2,COLUMN(D3)))</f>
        <v>798</v>
      </c>
      <c r="E4" s="335" t="n">
        <f aca="true">INDIRECT(ADDRESS($B2+2,COLUMN(E3)))</f>
        <v>739</v>
      </c>
      <c r="F4" s="335" t="n">
        <f aca="true">INDIRECT(ADDRESS($B2+2,COLUMN(F3)))</f>
        <v>659</v>
      </c>
      <c r="G4" s="335" t="n">
        <f aca="true">INDIRECT(ADDRESS($B2+2,COLUMN(G3)))</f>
        <v>586</v>
      </c>
      <c r="H4" s="335" t="n">
        <f aca="true">INDIRECT(ADDRESS($B2+2,COLUMN(H3)))</f>
        <v>513</v>
      </c>
      <c r="I4" s="335" t="n">
        <f aca="true">INDIRECT(ADDRESS($B2+2,COLUMN(I3)))</f>
        <v>417</v>
      </c>
      <c r="J4" s="335" t="n">
        <f aca="true">INDIRECT(ADDRESS($B2+2,COLUMN(J3)))</f>
        <v>225</v>
      </c>
      <c r="K4" s="335" t="n">
        <f aca="true">INDIRECT(ADDRESS($B2+2,COLUMN(K3)))</f>
        <v>67</v>
      </c>
      <c r="L4" s="335" t="n">
        <f aca="true">INDIRECT(ADDRESS($B2+2,COLUMN(L3)))</f>
        <v>0</v>
      </c>
      <c r="M4" s="335" t="n">
        <f aca="true">INDIRECT(ADDRESS($B2+2,COLUMN(M3)))</f>
        <v>0</v>
      </c>
      <c r="N4" s="335" t="n">
        <f aca="true">INDIRECT(ADDRESS($B2+2,COLUMN(N3)))</f>
        <v>0</v>
      </c>
      <c r="O4" s="335" t="n">
        <f aca="true">INDIRECT(ADDRESS($B2+2,COLUMN(O3)))</f>
        <v>0</v>
      </c>
      <c r="P4" s="335" t="n">
        <f aca="true">INDIRECT(ADDRESS($B2+2,COLUMN(P3)))</f>
        <v>0</v>
      </c>
      <c r="Q4" s="335" t="n">
        <f aca="true">INDIRECT(ADDRESS($B2+2,COLUMN(Q3)))</f>
        <v>0</v>
      </c>
      <c r="R4" s="335" t="n">
        <f aca="true">INDIRECT(ADDRESS($B2+2,COLUMN(R3)))</f>
        <v>0</v>
      </c>
      <c r="S4" s="335" t="n">
        <f aca="true">INDIRECT(ADDRESS($B2+2,COLUMN(S3)))</f>
        <v>0</v>
      </c>
      <c r="T4" s="335" t="n">
        <f aca="true">INDIRECT(ADDRESS($B2+2,COLUMN(T3)))</f>
        <v>0</v>
      </c>
      <c r="U4" s="335" t="n">
        <f aca="true">INDIRECT(ADDRESS($B2+2,COLUMN(U3)))</f>
        <v>0</v>
      </c>
      <c r="V4" s="335" t="n">
        <f aca="true">INDIRECT(ADDRESS($B2+2,COLUMN(V3)))</f>
        <v>0</v>
      </c>
      <c r="W4" s="335" t="n">
        <f aca="true">INDIRECT(ADDRESS($B2+2,COLUMN(W3)))</f>
        <v>0</v>
      </c>
      <c r="X4" s="335" t="n">
        <f aca="true">INDIRECT(ADDRESS($B2+2,COLUMN(X3)))</f>
        <v>0</v>
      </c>
      <c r="Y4" s="336" t="n">
        <f aca="true">INDIRECT(ADDRESS($B2+2,COLUMN(Y3)))</f>
        <v>0</v>
      </c>
    </row>
    <row r="5" customFormat="false" ht="12" hidden="false" customHeight="false" outlineLevel="0" collapsed="false">
      <c r="B5" s="337"/>
      <c r="C5" s="337"/>
      <c r="D5" s="337"/>
      <c r="E5" s="337"/>
      <c r="F5" s="337"/>
      <c r="G5" s="337"/>
      <c r="H5" s="337"/>
      <c r="I5" s="337"/>
      <c r="J5" s="337"/>
      <c r="K5" s="337"/>
      <c r="L5" s="337"/>
      <c r="M5" s="337"/>
      <c r="N5" s="337"/>
      <c r="O5" s="337"/>
      <c r="P5" s="337"/>
      <c r="Q5" s="337"/>
      <c r="R5" s="337"/>
      <c r="S5" s="337"/>
      <c r="T5" s="337"/>
      <c r="U5" s="337"/>
      <c r="V5" s="337"/>
      <c r="W5" s="337"/>
      <c r="X5" s="337"/>
      <c r="Y5" s="337"/>
    </row>
    <row r="6" customFormat="false" ht="12" hidden="false" customHeight="false" outlineLevel="0" collapsed="false">
      <c r="B6" s="337"/>
      <c r="C6" s="337"/>
      <c r="D6" s="337"/>
      <c r="E6" s="337"/>
      <c r="F6" s="337"/>
      <c r="G6" s="337"/>
      <c r="H6" s="337"/>
      <c r="I6" s="337"/>
      <c r="J6" s="337"/>
      <c r="K6" s="337"/>
      <c r="L6" s="337"/>
      <c r="M6" s="337"/>
      <c r="N6" s="337"/>
      <c r="O6" s="337"/>
      <c r="P6" s="337"/>
      <c r="Q6" s="337"/>
      <c r="R6" s="337"/>
      <c r="S6" s="337"/>
      <c r="T6" s="337"/>
      <c r="U6" s="337"/>
      <c r="V6" s="337"/>
      <c r="W6" s="337"/>
      <c r="X6" s="337"/>
      <c r="Y6" s="337"/>
    </row>
    <row r="7" customFormat="false" ht="12" hidden="false" customHeight="false" outlineLevel="0" collapsed="false">
      <c r="B7" s="337"/>
      <c r="C7" s="337"/>
      <c r="D7" s="337"/>
      <c r="E7" s="337"/>
      <c r="F7" s="337"/>
      <c r="G7" s="337"/>
      <c r="H7" s="337"/>
      <c r="I7" s="337"/>
      <c r="J7" s="337"/>
      <c r="K7" s="337"/>
      <c r="L7" s="337"/>
      <c r="M7" s="337"/>
    </row>
    <row r="8" customFormat="false" ht="12" hidden="false" customHeight="false" outlineLevel="0" collapsed="false">
      <c r="B8" s="337"/>
      <c r="C8" s="337"/>
      <c r="D8" s="337"/>
      <c r="E8" s="337"/>
      <c r="F8" s="337"/>
      <c r="G8" s="337"/>
      <c r="H8" s="337"/>
      <c r="I8" s="337"/>
      <c r="J8" s="337"/>
      <c r="K8" s="337"/>
      <c r="L8" s="337"/>
      <c r="M8" s="337"/>
    </row>
    <row r="9" customFormat="false" ht="12" hidden="false" customHeight="false" outlineLevel="0" collapsed="false">
      <c r="B9" s="337"/>
      <c r="C9" s="337"/>
      <c r="D9" s="337"/>
      <c r="E9" s="337"/>
      <c r="F9" s="337"/>
      <c r="G9" s="337"/>
      <c r="H9" s="337"/>
      <c r="I9" s="337"/>
      <c r="J9" s="337"/>
      <c r="K9" s="337"/>
      <c r="L9" s="337"/>
      <c r="M9" s="337"/>
    </row>
    <row r="10" customFormat="false" ht="12" hidden="false" customHeight="false" outlineLevel="0" collapsed="false">
      <c r="B10" s="337"/>
      <c r="C10" s="337"/>
      <c r="D10" s="337"/>
      <c r="E10" s="337"/>
      <c r="F10" s="337"/>
      <c r="G10" s="337"/>
      <c r="H10" s="337"/>
      <c r="I10" s="337"/>
      <c r="J10" s="337"/>
    </row>
    <row r="11" customFormat="false" ht="12" hidden="false" customHeight="false" outlineLevel="0" collapsed="false">
      <c r="B11" s="337"/>
      <c r="C11" s="337"/>
      <c r="D11" s="337"/>
      <c r="E11" s="337"/>
      <c r="F11" s="337"/>
      <c r="G11" s="337"/>
      <c r="H11" s="337"/>
      <c r="I11" s="337"/>
      <c r="J11" s="337"/>
    </row>
    <row r="12" customFormat="false" ht="12" hidden="false" customHeight="false" outlineLevel="0" collapsed="false">
      <c r="B12" s="337"/>
      <c r="C12" s="337"/>
      <c r="D12" s="337"/>
      <c r="E12" s="337"/>
      <c r="F12" s="337"/>
      <c r="G12" s="337"/>
      <c r="H12" s="337"/>
      <c r="I12" s="337"/>
      <c r="J12" s="337"/>
    </row>
    <row r="13" customFormat="false" ht="12" hidden="false" customHeight="false" outlineLevel="0" collapsed="false">
      <c r="B13" s="337"/>
      <c r="C13" s="337"/>
      <c r="D13" s="337"/>
      <c r="E13" s="337"/>
      <c r="F13" s="337"/>
      <c r="G13" s="337"/>
      <c r="H13" s="337"/>
      <c r="I13" s="337"/>
      <c r="J13" s="337"/>
    </row>
    <row r="14" customFormat="false" ht="12" hidden="false" customHeight="false" outlineLevel="0" collapsed="false">
      <c r="B14" s="337"/>
      <c r="C14" s="337"/>
      <c r="D14" s="337"/>
      <c r="E14" s="337"/>
      <c r="F14" s="337"/>
      <c r="G14" s="337"/>
      <c r="H14" s="337"/>
      <c r="I14" s="337"/>
      <c r="J14" s="337"/>
    </row>
    <row r="15" customFormat="false" ht="12" hidden="false" customHeight="false" outlineLevel="0" collapsed="false">
      <c r="B15" s="337"/>
      <c r="C15" s="337"/>
      <c r="D15" s="337"/>
      <c r="E15" s="337"/>
      <c r="F15" s="337"/>
      <c r="G15" s="337"/>
      <c r="H15" s="337"/>
      <c r="I15" s="337"/>
      <c r="J15" s="337"/>
      <c r="K15" s="337"/>
      <c r="L15" s="337"/>
      <c r="M15" s="337"/>
    </row>
    <row r="16" customFormat="false" ht="12" hidden="false" customHeight="false" outlineLevel="0" collapsed="false">
      <c r="B16" s="337"/>
      <c r="C16" s="337"/>
      <c r="D16" s="337"/>
      <c r="E16" s="337"/>
      <c r="F16" s="337"/>
      <c r="G16" s="337"/>
      <c r="H16" s="337"/>
      <c r="I16" s="337"/>
      <c r="J16" s="337"/>
      <c r="K16" s="337"/>
      <c r="L16" s="337"/>
      <c r="M16" s="337"/>
    </row>
    <row r="17" customFormat="false" ht="12" hidden="false" customHeight="false" outlineLevel="0" collapsed="false">
      <c r="B17" s="337"/>
      <c r="C17" s="337"/>
      <c r="D17" s="337"/>
      <c r="E17" s="337"/>
      <c r="F17" s="337"/>
      <c r="G17" s="337"/>
      <c r="H17" s="337"/>
      <c r="I17" s="337"/>
      <c r="J17" s="337"/>
      <c r="K17" s="337"/>
      <c r="L17" s="337"/>
      <c r="M17" s="337"/>
    </row>
    <row r="18" customFormat="false" ht="12" hidden="false" customHeight="false" outlineLevel="0" collapsed="false">
      <c r="B18" s="337"/>
      <c r="C18" s="337"/>
      <c r="D18" s="337"/>
      <c r="E18" s="337"/>
      <c r="F18" s="337"/>
      <c r="G18" s="337"/>
      <c r="H18" s="337"/>
      <c r="I18" s="337"/>
      <c r="J18" s="337"/>
      <c r="K18" s="337"/>
      <c r="L18" s="337"/>
      <c r="M18" s="337"/>
      <c r="N18" s="337"/>
      <c r="O18" s="337"/>
      <c r="P18" s="337"/>
      <c r="Q18" s="337"/>
      <c r="R18" s="337"/>
      <c r="S18" s="337"/>
      <c r="T18" s="337"/>
      <c r="U18" s="337"/>
      <c r="V18" s="337"/>
      <c r="W18" s="337"/>
      <c r="X18" s="337"/>
      <c r="Y18" s="337"/>
    </row>
    <row r="19" customFormat="false" ht="12" hidden="false" customHeight="false" outlineLevel="0" collapsed="false">
      <c r="B19" s="337"/>
      <c r="C19" s="337"/>
      <c r="D19" s="337"/>
      <c r="E19" s="337"/>
      <c r="F19" s="337"/>
      <c r="G19" s="337"/>
      <c r="H19" s="337"/>
      <c r="I19" s="337"/>
      <c r="J19" s="337"/>
      <c r="K19" s="337"/>
      <c r="L19" s="337"/>
      <c r="M19" s="337"/>
      <c r="N19" s="337"/>
      <c r="O19" s="337"/>
      <c r="P19" s="337"/>
      <c r="Q19" s="337"/>
      <c r="R19" s="337"/>
      <c r="S19" s="337"/>
      <c r="T19" s="337"/>
      <c r="U19" s="337"/>
      <c r="V19" s="337"/>
      <c r="W19" s="337"/>
      <c r="X19" s="337"/>
      <c r="Y19" s="337"/>
    </row>
    <row r="20" customFormat="false" ht="12" hidden="false" customHeight="false" outlineLevel="0" collapsed="false">
      <c r="B20" s="337"/>
      <c r="C20" s="337"/>
      <c r="D20" s="337"/>
      <c r="E20" s="337"/>
      <c r="F20" s="337"/>
      <c r="G20" s="337"/>
      <c r="H20" s="337"/>
      <c r="I20" s="337"/>
      <c r="J20" s="337"/>
      <c r="K20" s="337"/>
      <c r="L20" s="337"/>
      <c r="M20" s="337"/>
      <c r="N20" s="337"/>
      <c r="O20" s="337"/>
      <c r="P20" s="337"/>
      <c r="Q20" s="337"/>
      <c r="R20" s="337"/>
      <c r="S20" s="337"/>
      <c r="T20" s="337"/>
      <c r="U20" s="337"/>
      <c r="V20" s="337"/>
      <c r="W20" s="337"/>
      <c r="X20" s="337"/>
      <c r="Y20" s="337"/>
    </row>
    <row r="21" customFormat="false" ht="12" hidden="false" customHeight="false" outlineLevel="0" collapsed="false">
      <c r="B21" s="337"/>
      <c r="C21" s="337"/>
      <c r="D21" s="337"/>
      <c r="E21" s="337"/>
      <c r="F21" s="337"/>
      <c r="G21" s="337"/>
      <c r="H21" s="337"/>
      <c r="I21" s="337"/>
      <c r="J21" s="337"/>
      <c r="K21" s="337"/>
      <c r="L21" s="337"/>
      <c r="M21" s="337"/>
      <c r="N21" s="337"/>
      <c r="O21" s="337"/>
      <c r="P21" s="337"/>
      <c r="Q21" s="337"/>
      <c r="R21" s="337"/>
      <c r="S21" s="337"/>
      <c r="T21" s="337"/>
      <c r="U21" s="337"/>
      <c r="V21" s="337"/>
      <c r="W21" s="337"/>
      <c r="X21" s="337"/>
      <c r="Y21" s="337"/>
    </row>
    <row r="22" customFormat="false" ht="12" hidden="false" customHeight="false" outlineLevel="0" collapsed="false">
      <c r="B22" s="337"/>
      <c r="C22" s="337"/>
      <c r="D22" s="337"/>
      <c r="E22" s="337"/>
      <c r="F22" s="337"/>
      <c r="G22" s="337"/>
      <c r="H22" s="337"/>
      <c r="I22" s="337"/>
      <c r="J22" s="337"/>
      <c r="K22" s="337"/>
      <c r="L22" s="337"/>
      <c r="M22" s="337"/>
      <c r="N22" s="337"/>
      <c r="O22" s="337"/>
      <c r="P22" s="337"/>
      <c r="Q22" s="337"/>
      <c r="R22" s="337"/>
      <c r="S22" s="337"/>
      <c r="T22" s="337"/>
      <c r="U22" s="337"/>
      <c r="V22" s="337"/>
      <c r="W22" s="337"/>
      <c r="X22" s="337"/>
      <c r="Y22" s="337"/>
    </row>
    <row r="23" customFormat="false" ht="12" hidden="false" customHeight="false" outlineLevel="0" collapsed="false">
      <c r="B23" s="337"/>
      <c r="C23" s="337"/>
      <c r="D23" s="337"/>
      <c r="E23" s="337"/>
      <c r="F23" s="337"/>
      <c r="G23" s="337"/>
      <c r="H23" s="337"/>
      <c r="I23" s="337"/>
      <c r="J23" s="337"/>
      <c r="K23" s="337"/>
      <c r="L23" s="337"/>
      <c r="M23" s="337"/>
      <c r="N23" s="337"/>
      <c r="O23" s="337"/>
      <c r="P23" s="337"/>
      <c r="Q23" s="337"/>
      <c r="R23" s="337"/>
      <c r="S23" s="337"/>
      <c r="T23" s="337"/>
      <c r="U23" s="337"/>
      <c r="V23" s="337"/>
      <c r="W23" s="337"/>
      <c r="X23" s="337"/>
      <c r="Y23" s="337"/>
    </row>
    <row r="25" customFormat="false" ht="13.5" hidden="false" customHeight="false" outlineLevel="0" collapsed="false">
      <c r="A25" s="171" t="s">
        <v>224</v>
      </c>
    </row>
    <row r="26" customFormat="false" ht="13.5" hidden="false" customHeight="false" outlineLevel="0" collapsed="false">
      <c r="A26" s="338" t="s">
        <v>225</v>
      </c>
      <c r="B26" s="339" t="n">
        <f aca="false">ROW(A26)</f>
        <v>26</v>
      </c>
      <c r="C26" s="322" t="s">
        <v>213</v>
      </c>
      <c r="D26" s="323" t="n">
        <f aca="false">SUM(B29:Y29)</f>
        <v>9.845</v>
      </c>
      <c r="E26" s="322" t="s">
        <v>214</v>
      </c>
      <c r="F26" s="329" t="n">
        <f aca="false">D26/g/J26</f>
        <v>3.34522595990486</v>
      </c>
      <c r="G26" s="322" t="s">
        <v>215</v>
      </c>
      <c r="H26" s="340" t="n">
        <v>0.3</v>
      </c>
      <c r="I26" s="322" t="s">
        <v>226</v>
      </c>
      <c r="J26" s="325" t="n">
        <f aca="false">H26-L26</f>
        <v>0.3</v>
      </c>
      <c r="K26" s="322" t="s">
        <v>227</v>
      </c>
      <c r="L26" s="340" t="n">
        <v>0</v>
      </c>
      <c r="M26" s="322" t="s">
        <v>218</v>
      </c>
      <c r="N26" s="341" t="n">
        <f aca="false">0.2*R26</f>
        <v>60</v>
      </c>
      <c r="O26" s="322" t="s">
        <v>219</v>
      </c>
      <c r="P26" s="341" t="n">
        <v>150</v>
      </c>
      <c r="Q26" s="322" t="s">
        <v>220</v>
      </c>
      <c r="R26" s="341" t="n">
        <v>300</v>
      </c>
      <c r="S26" s="322" t="s">
        <v>221</v>
      </c>
      <c r="T26" s="341" t="n">
        <v>90</v>
      </c>
      <c r="U26" s="322" t="s">
        <v>8</v>
      </c>
      <c r="V26" s="342" t="s">
        <v>224</v>
      </c>
      <c r="W26" s="337"/>
      <c r="X26" s="337"/>
      <c r="Y26" s="337"/>
    </row>
    <row r="27" customFormat="false" ht="12" hidden="false" customHeight="false" outlineLevel="0" collapsed="false">
      <c r="A27" s="320" t="s">
        <v>228</v>
      </c>
      <c r="B27" s="343" t="n">
        <v>0</v>
      </c>
      <c r="C27" s="344" t="n">
        <v>0.001</v>
      </c>
      <c r="D27" s="344" t="n">
        <v>0.02</v>
      </c>
      <c r="E27" s="344" t="n">
        <v>0.038</v>
      </c>
      <c r="F27" s="344" t="n">
        <v>0.04</v>
      </c>
      <c r="G27" s="344" t="n">
        <v>0.04</v>
      </c>
      <c r="H27" s="344" t="n">
        <v>0.04</v>
      </c>
      <c r="I27" s="344" t="n">
        <v>0.04</v>
      </c>
      <c r="J27" s="344" t="n">
        <v>0.04</v>
      </c>
      <c r="K27" s="344" t="n">
        <v>0.04</v>
      </c>
      <c r="L27" s="344" t="n">
        <v>0.04</v>
      </c>
      <c r="M27" s="344" t="n">
        <v>0.04</v>
      </c>
      <c r="N27" s="344" t="n">
        <v>0.04</v>
      </c>
      <c r="O27" s="344" t="n">
        <v>0.04</v>
      </c>
      <c r="P27" s="344" t="n">
        <v>0.04</v>
      </c>
      <c r="Q27" s="344" t="n">
        <v>0.04</v>
      </c>
      <c r="R27" s="344" t="n">
        <v>0.04</v>
      </c>
      <c r="S27" s="344" t="n">
        <v>0.04</v>
      </c>
      <c r="T27" s="344" t="n">
        <v>0.04</v>
      </c>
      <c r="U27" s="344" t="n">
        <v>0.04</v>
      </c>
      <c r="V27" s="344" t="n">
        <v>0.04</v>
      </c>
      <c r="W27" s="344" t="n">
        <v>0.04</v>
      </c>
      <c r="X27" s="344" t="n">
        <v>0.04</v>
      </c>
      <c r="Y27" s="332" t="n">
        <v>1000</v>
      </c>
    </row>
    <row r="28" customFormat="false" ht="12" hidden="false" customHeight="false" outlineLevel="0" collapsed="false">
      <c r="A28" s="345" t="s">
        <v>229</v>
      </c>
      <c r="B28" s="346" t="n">
        <v>0</v>
      </c>
      <c r="C28" s="347" t="n">
        <v>310</v>
      </c>
      <c r="D28" s="347" t="n">
        <v>250</v>
      </c>
      <c r="E28" s="347" t="n">
        <v>212</v>
      </c>
      <c r="F28" s="347" t="n">
        <v>0</v>
      </c>
      <c r="G28" s="347" t="n">
        <v>0</v>
      </c>
      <c r="H28" s="347" t="n">
        <v>0</v>
      </c>
      <c r="I28" s="347" t="n">
        <v>0</v>
      </c>
      <c r="J28" s="347" t="n">
        <v>0</v>
      </c>
      <c r="K28" s="347" t="n">
        <v>0</v>
      </c>
      <c r="L28" s="347" t="n">
        <v>0</v>
      </c>
      <c r="M28" s="347" t="n">
        <v>0</v>
      </c>
      <c r="N28" s="347" t="n">
        <v>0</v>
      </c>
      <c r="O28" s="347" t="n">
        <v>0</v>
      </c>
      <c r="P28" s="347" t="n">
        <v>0</v>
      </c>
      <c r="Q28" s="347" t="n">
        <v>0</v>
      </c>
      <c r="R28" s="347" t="n">
        <v>0</v>
      </c>
      <c r="S28" s="347" t="n">
        <v>0</v>
      </c>
      <c r="T28" s="347" t="n">
        <v>0</v>
      </c>
      <c r="U28" s="347" t="n">
        <v>0</v>
      </c>
      <c r="V28" s="347" t="n">
        <v>0</v>
      </c>
      <c r="W28" s="347" t="n">
        <v>0</v>
      </c>
      <c r="X28" s="347" t="n">
        <v>0</v>
      </c>
      <c r="Y28" s="348" t="n">
        <v>0</v>
      </c>
    </row>
    <row r="29" customFormat="false" ht="12.75" hidden="false" customHeight="false" outlineLevel="0" collapsed="false">
      <c r="A29" s="333" t="s">
        <v>230</v>
      </c>
      <c r="B29" s="349" t="n">
        <f aca="false">(C28+B28)*(C27-B27)/2</f>
        <v>0.155</v>
      </c>
      <c r="C29" s="350" t="n">
        <f aca="false">(D28+C28)*(D27-C27)/2</f>
        <v>5.32</v>
      </c>
      <c r="D29" s="350" t="n">
        <f aca="false">(E28+D28)*(E27-D27)/2</f>
        <v>4.158</v>
      </c>
      <c r="E29" s="350" t="n">
        <f aca="false">(F28+E28)*(F27-E27)/2</f>
        <v>0.212</v>
      </c>
      <c r="F29" s="350" t="n">
        <f aca="false">(G28+F28)*(G27-F27)/2</f>
        <v>0</v>
      </c>
      <c r="G29" s="350" t="n">
        <f aca="false">(H28+G28)*(H27-G27)/2</f>
        <v>0</v>
      </c>
      <c r="H29" s="350" t="n">
        <f aca="false">(I28+H28)*(I27-H27)/2</f>
        <v>0</v>
      </c>
      <c r="I29" s="350" t="n">
        <f aca="false">(J28+I28)*(J27-I27)/2</f>
        <v>0</v>
      </c>
      <c r="J29" s="350" t="n">
        <f aca="false">(K28+J28)*(K27-J27)/2</f>
        <v>0</v>
      </c>
      <c r="K29" s="350" t="n">
        <f aca="false">(L28+K28)*(L27-K27)/2</f>
        <v>0</v>
      </c>
      <c r="L29" s="350" t="n">
        <f aca="false">(M28+L28)*(M27-L27)/2</f>
        <v>0</v>
      </c>
      <c r="M29" s="350" t="n">
        <f aca="false">(N28+M28)*(N27-M27)/2</f>
        <v>0</v>
      </c>
      <c r="N29" s="350" t="n">
        <f aca="false">(O28+N28)*(O27-N27)/2</f>
        <v>0</v>
      </c>
      <c r="O29" s="350" t="n">
        <f aca="false">(P28+O28)*(P27-O27)/2</f>
        <v>0</v>
      </c>
      <c r="P29" s="350" t="n">
        <f aca="false">(Q28+P28)*(Q27-P27)/2</f>
        <v>0</v>
      </c>
      <c r="Q29" s="350" t="n">
        <f aca="false">(R28+Q28)*(R27-Q27)/2</f>
        <v>0</v>
      </c>
      <c r="R29" s="350" t="n">
        <f aca="false">(S28+R28)*(S27-R27)/2</f>
        <v>0</v>
      </c>
      <c r="S29" s="350" t="n">
        <f aca="false">(T28+S28)*(T27-S27)/2</f>
        <v>0</v>
      </c>
      <c r="T29" s="350" t="n">
        <f aca="false">(U28+T28)*(U27-T27)/2</f>
        <v>0</v>
      </c>
      <c r="U29" s="350" t="n">
        <f aca="false">(V28+U28)*(V27-U27)/2</f>
        <v>0</v>
      </c>
      <c r="V29" s="350" t="n">
        <f aca="false">(W28+V28)*(W27-V27)/2</f>
        <v>0</v>
      </c>
      <c r="W29" s="350" t="n">
        <f aca="false">(X28+W28)*(X27-W27)/2</f>
        <v>0</v>
      </c>
      <c r="X29" s="350" t="n">
        <f aca="false">(Y28+X28)*(Y27-X27)/2</f>
        <v>0</v>
      </c>
      <c r="Y29" s="336"/>
    </row>
    <row r="30" customFormat="false" ht="12.75" hidden="false" customHeight="false" outlineLevel="0" collapsed="false">
      <c r="A30" s="337"/>
      <c r="L30" s="337"/>
      <c r="M30" s="337"/>
      <c r="N30" s="337"/>
      <c r="O30" s="337"/>
      <c r="P30" s="337"/>
      <c r="Q30" s="337"/>
      <c r="R30" s="337"/>
      <c r="S30" s="337"/>
      <c r="T30" s="337"/>
      <c r="U30" s="337"/>
      <c r="V30" s="337"/>
      <c r="W30" s="337"/>
      <c r="X30" s="337"/>
      <c r="Y30" s="337"/>
    </row>
    <row r="31" customFormat="false" ht="13.5" hidden="false" customHeight="false" outlineLevel="0" collapsed="false">
      <c r="A31" s="338" t="s">
        <v>231</v>
      </c>
      <c r="B31" s="339" t="n">
        <f aca="false">ROW(A31)</f>
        <v>31</v>
      </c>
      <c r="C31" s="322" t="s">
        <v>213</v>
      </c>
      <c r="D31" s="323" t="n">
        <f aca="false">SUM(B34:Y34)</f>
        <v>13.8145</v>
      </c>
      <c r="E31" s="322" t="s">
        <v>214</v>
      </c>
      <c r="F31" s="329" t="n">
        <f aca="false">D31/g/J31</f>
        <v>3.12934647185412</v>
      </c>
      <c r="G31" s="322" t="s">
        <v>215</v>
      </c>
      <c r="H31" s="340" t="n">
        <v>0.45</v>
      </c>
      <c r="I31" s="322" t="s">
        <v>226</v>
      </c>
      <c r="J31" s="325" t="n">
        <f aca="false">H31-L31</f>
        <v>0.45</v>
      </c>
      <c r="K31" s="322" t="s">
        <v>227</v>
      </c>
      <c r="L31" s="340" t="n">
        <v>0</v>
      </c>
      <c r="M31" s="322" t="s">
        <v>218</v>
      </c>
      <c r="N31" s="341" t="n">
        <f aca="false">0.3*R31</f>
        <v>90</v>
      </c>
      <c r="O31" s="322" t="s">
        <v>219</v>
      </c>
      <c r="P31" s="341" t="n">
        <v>150</v>
      </c>
      <c r="Q31" s="322" t="s">
        <v>220</v>
      </c>
      <c r="R31" s="341" t="n">
        <v>300</v>
      </c>
      <c r="S31" s="322" t="s">
        <v>221</v>
      </c>
      <c r="T31" s="341" t="n">
        <v>90</v>
      </c>
      <c r="U31" s="322" t="s">
        <v>8</v>
      </c>
      <c r="V31" s="342" t="s">
        <v>224</v>
      </c>
      <c r="W31" s="337"/>
      <c r="X31" s="337"/>
      <c r="Y31" s="337"/>
    </row>
    <row r="32" customFormat="false" ht="12" hidden="false" customHeight="false" outlineLevel="0" collapsed="false">
      <c r="A32" s="320" t="s">
        <v>228</v>
      </c>
      <c r="B32" s="343" t="n">
        <v>0</v>
      </c>
      <c r="C32" s="344" t="n">
        <v>0.001</v>
      </c>
      <c r="D32" s="344" t="n">
        <v>0.02</v>
      </c>
      <c r="E32" s="344" t="n">
        <v>0.04</v>
      </c>
      <c r="F32" s="344" t="n">
        <v>0.061</v>
      </c>
      <c r="G32" s="344" t="n">
        <v>0.062</v>
      </c>
      <c r="H32" s="344" t="n">
        <v>0.062</v>
      </c>
      <c r="I32" s="344" t="n">
        <v>0.062</v>
      </c>
      <c r="J32" s="344" t="n">
        <v>0.062</v>
      </c>
      <c r="K32" s="344" t="n">
        <v>0.062</v>
      </c>
      <c r="L32" s="344" t="n">
        <v>0.062</v>
      </c>
      <c r="M32" s="344" t="n">
        <v>0.062</v>
      </c>
      <c r="N32" s="344" t="n">
        <v>0.062</v>
      </c>
      <c r="O32" s="344" t="n">
        <v>0.062</v>
      </c>
      <c r="P32" s="344" t="n">
        <v>0.062</v>
      </c>
      <c r="Q32" s="344" t="n">
        <v>0.062</v>
      </c>
      <c r="R32" s="344" t="n">
        <v>0.062</v>
      </c>
      <c r="S32" s="344" t="n">
        <v>0.062</v>
      </c>
      <c r="T32" s="344" t="n">
        <v>0.062</v>
      </c>
      <c r="U32" s="344" t="n">
        <v>0.062</v>
      </c>
      <c r="V32" s="344" t="n">
        <v>0.062</v>
      </c>
      <c r="W32" s="344" t="n">
        <v>0.062</v>
      </c>
      <c r="X32" s="344" t="n">
        <v>0.062</v>
      </c>
      <c r="Y32" s="332" t="n">
        <v>1000</v>
      </c>
    </row>
    <row r="33" customFormat="false" ht="12" hidden="false" customHeight="false" outlineLevel="0" collapsed="false">
      <c r="A33" s="345" t="s">
        <v>229</v>
      </c>
      <c r="B33" s="346" t="n">
        <v>0</v>
      </c>
      <c r="C33" s="347" t="n">
        <v>310</v>
      </c>
      <c r="D33" s="347" t="n">
        <v>245</v>
      </c>
      <c r="E33" s="347" t="n">
        <v>200</v>
      </c>
      <c r="F33" s="347" t="n">
        <v>167</v>
      </c>
      <c r="G33" s="347" t="n">
        <v>0</v>
      </c>
      <c r="H33" s="347" t="n">
        <v>0</v>
      </c>
      <c r="I33" s="347" t="n">
        <v>0</v>
      </c>
      <c r="J33" s="347" t="n">
        <v>0</v>
      </c>
      <c r="K33" s="347" t="n">
        <v>0</v>
      </c>
      <c r="L33" s="347" t="n">
        <v>0</v>
      </c>
      <c r="M33" s="347" t="n">
        <v>0</v>
      </c>
      <c r="N33" s="347" t="n">
        <v>0</v>
      </c>
      <c r="O33" s="347" t="n">
        <v>0</v>
      </c>
      <c r="P33" s="347" t="n">
        <v>0</v>
      </c>
      <c r="Q33" s="347" t="n">
        <v>0</v>
      </c>
      <c r="R33" s="347" t="n">
        <v>0</v>
      </c>
      <c r="S33" s="347" t="n">
        <v>0</v>
      </c>
      <c r="T33" s="347" t="n">
        <v>0</v>
      </c>
      <c r="U33" s="347" t="n">
        <v>0</v>
      </c>
      <c r="V33" s="347" t="n">
        <v>0</v>
      </c>
      <c r="W33" s="347" t="n">
        <v>0</v>
      </c>
      <c r="X33" s="347" t="n">
        <v>0</v>
      </c>
      <c r="Y33" s="348" t="n">
        <v>0</v>
      </c>
    </row>
    <row r="34" customFormat="false" ht="12.75" hidden="false" customHeight="false" outlineLevel="0" collapsed="false">
      <c r="A34" s="333" t="s">
        <v>230</v>
      </c>
      <c r="B34" s="349" t="n">
        <f aca="false">(C33+B33)*(C32-B32)/2</f>
        <v>0.155</v>
      </c>
      <c r="C34" s="350" t="n">
        <f aca="false">(D33+C33)*(D32-C32)/2</f>
        <v>5.2725</v>
      </c>
      <c r="D34" s="350" t="n">
        <f aca="false">(E33+D33)*(E32-D32)/2</f>
        <v>4.45</v>
      </c>
      <c r="E34" s="350" t="n">
        <f aca="false">(F33+E33)*(F32-E32)/2</f>
        <v>3.8535</v>
      </c>
      <c r="F34" s="350" t="n">
        <f aca="false">(G33+F33)*(G32-F32)/2</f>
        <v>0.0835000000000001</v>
      </c>
      <c r="G34" s="350" t="n">
        <f aca="false">(H33+G33)*(H32-G32)/2</f>
        <v>0</v>
      </c>
      <c r="H34" s="350" t="n">
        <f aca="false">(I33+H33)*(I32-H32)/2</f>
        <v>0</v>
      </c>
      <c r="I34" s="350" t="n">
        <f aca="false">(J33+I33)*(J32-I32)/2</f>
        <v>0</v>
      </c>
      <c r="J34" s="350" t="n">
        <f aca="false">(K33+J33)*(K32-J32)/2</f>
        <v>0</v>
      </c>
      <c r="K34" s="350" t="n">
        <f aca="false">(L33+K33)*(L32-K32)/2</f>
        <v>0</v>
      </c>
      <c r="L34" s="350" t="n">
        <f aca="false">(M33+L33)*(M32-L32)/2</f>
        <v>0</v>
      </c>
      <c r="M34" s="350" t="n">
        <f aca="false">(N33+M33)*(N32-M32)/2</f>
        <v>0</v>
      </c>
      <c r="N34" s="350" t="n">
        <f aca="false">(O33+N33)*(O32-N32)/2</f>
        <v>0</v>
      </c>
      <c r="O34" s="350" t="n">
        <f aca="false">(P33+O33)*(P32-O32)/2</f>
        <v>0</v>
      </c>
      <c r="P34" s="350" t="n">
        <f aca="false">(Q33+P33)*(Q32-P32)/2</f>
        <v>0</v>
      </c>
      <c r="Q34" s="350" t="n">
        <f aca="false">(R33+Q33)*(R32-Q32)/2</f>
        <v>0</v>
      </c>
      <c r="R34" s="350" t="n">
        <f aca="false">(S33+R33)*(S32-R32)/2</f>
        <v>0</v>
      </c>
      <c r="S34" s="350" t="n">
        <f aca="false">(T33+S33)*(T32-S32)/2</f>
        <v>0</v>
      </c>
      <c r="T34" s="350" t="n">
        <f aca="false">(U33+T33)*(U32-T32)/2</f>
        <v>0</v>
      </c>
      <c r="U34" s="350" t="n">
        <f aca="false">(V33+U33)*(V32-U32)/2</f>
        <v>0</v>
      </c>
      <c r="V34" s="350" t="n">
        <f aca="false">(W33+V33)*(W32-V32)/2</f>
        <v>0</v>
      </c>
      <c r="W34" s="350" t="n">
        <f aca="false">(X33+W33)*(X32-W32)/2</f>
        <v>0</v>
      </c>
      <c r="X34" s="350" t="n">
        <f aca="false">(Y33+X33)*(Y32-X32)/2</f>
        <v>0</v>
      </c>
      <c r="Y34" s="336"/>
    </row>
    <row r="35" customFormat="false" ht="12.75" hidden="false" customHeight="false" outlineLevel="0" collapsed="false">
      <c r="B35" s="337"/>
      <c r="C35" s="337"/>
      <c r="D35" s="337"/>
      <c r="E35" s="337"/>
      <c r="F35" s="337"/>
      <c r="G35" s="337"/>
      <c r="H35" s="337"/>
      <c r="I35" s="337"/>
      <c r="J35" s="337"/>
      <c r="K35" s="337"/>
      <c r="L35" s="337"/>
      <c r="M35" s="337"/>
      <c r="N35" s="337"/>
      <c r="O35" s="337"/>
      <c r="P35" s="337"/>
      <c r="Q35" s="337"/>
      <c r="R35" s="337"/>
      <c r="S35" s="337"/>
      <c r="T35" s="337"/>
      <c r="U35" s="337"/>
      <c r="V35" s="337"/>
      <c r="W35" s="337"/>
      <c r="X35" s="337"/>
      <c r="Y35" s="337"/>
    </row>
    <row r="36" customFormat="false" ht="13.5" hidden="false" customHeight="false" outlineLevel="0" collapsed="false">
      <c r="A36" s="338" t="s">
        <v>232</v>
      </c>
      <c r="B36" s="339" t="n">
        <f aca="false">ROW(A36)</f>
        <v>36</v>
      </c>
      <c r="C36" s="322" t="s">
        <v>213</v>
      </c>
      <c r="D36" s="323" t="n">
        <f aca="false">SUM(B39:Y39)</f>
        <v>17.1445</v>
      </c>
      <c r="E36" s="322" t="s">
        <v>214</v>
      </c>
      <c r="F36" s="329" t="n">
        <f aca="false">D36/g/J36</f>
        <v>2.91275908936459</v>
      </c>
      <c r="G36" s="322" t="s">
        <v>215</v>
      </c>
      <c r="H36" s="340" t="n">
        <v>0.6</v>
      </c>
      <c r="I36" s="322" t="s">
        <v>226</v>
      </c>
      <c r="J36" s="325" t="n">
        <f aca="false">H36-L36</f>
        <v>0.6</v>
      </c>
      <c r="K36" s="322" t="s">
        <v>227</v>
      </c>
      <c r="L36" s="340" t="n">
        <v>0</v>
      </c>
      <c r="M36" s="322" t="s">
        <v>218</v>
      </c>
      <c r="N36" s="341" t="n">
        <f aca="false">0.4*R36</f>
        <v>120</v>
      </c>
      <c r="O36" s="322" t="s">
        <v>219</v>
      </c>
      <c r="P36" s="341" t="n">
        <v>150</v>
      </c>
      <c r="Q36" s="322" t="s">
        <v>220</v>
      </c>
      <c r="R36" s="341" t="n">
        <v>300</v>
      </c>
      <c r="S36" s="322" t="s">
        <v>221</v>
      </c>
      <c r="T36" s="341" t="n">
        <v>90</v>
      </c>
      <c r="U36" s="322" t="s">
        <v>8</v>
      </c>
      <c r="V36" s="342" t="s">
        <v>224</v>
      </c>
      <c r="W36" s="337"/>
      <c r="X36" s="337"/>
      <c r="Y36" s="337"/>
    </row>
    <row r="37" customFormat="false" ht="12" hidden="false" customHeight="false" outlineLevel="0" collapsed="false">
      <c r="A37" s="320" t="s">
        <v>228</v>
      </c>
      <c r="B37" s="343" t="n">
        <v>0</v>
      </c>
      <c r="C37" s="344" t="n">
        <v>0.001</v>
      </c>
      <c r="D37" s="344" t="n">
        <v>0.02</v>
      </c>
      <c r="E37" s="344" t="n">
        <v>0.04</v>
      </c>
      <c r="F37" s="344" t="n">
        <v>0.06</v>
      </c>
      <c r="G37" s="344" t="n">
        <v>0.08</v>
      </c>
      <c r="H37" s="344" t="n">
        <v>0.088</v>
      </c>
      <c r="I37" s="344" t="n">
        <v>0.089</v>
      </c>
      <c r="J37" s="344" t="n">
        <v>0.089</v>
      </c>
      <c r="K37" s="344" t="n">
        <v>0.089</v>
      </c>
      <c r="L37" s="344" t="n">
        <v>0.089</v>
      </c>
      <c r="M37" s="344" t="n">
        <v>0.089</v>
      </c>
      <c r="N37" s="344" t="n">
        <v>0.089</v>
      </c>
      <c r="O37" s="344" t="n">
        <v>0.089</v>
      </c>
      <c r="P37" s="344" t="n">
        <v>0.089</v>
      </c>
      <c r="Q37" s="344" t="n">
        <v>0.089</v>
      </c>
      <c r="R37" s="344" t="n">
        <v>0.089</v>
      </c>
      <c r="S37" s="344" t="n">
        <v>0.089</v>
      </c>
      <c r="T37" s="344" t="n">
        <v>0.089</v>
      </c>
      <c r="U37" s="344" t="n">
        <v>0.089</v>
      </c>
      <c r="V37" s="344" t="n">
        <v>0.089</v>
      </c>
      <c r="W37" s="344" t="n">
        <v>0.089</v>
      </c>
      <c r="X37" s="344" t="n">
        <v>0.089</v>
      </c>
      <c r="Y37" s="332" t="n">
        <v>1000</v>
      </c>
    </row>
    <row r="38" customFormat="false" ht="12" hidden="false" customHeight="false" outlineLevel="0" collapsed="false">
      <c r="A38" s="345" t="s">
        <v>229</v>
      </c>
      <c r="B38" s="346" t="n">
        <v>0</v>
      </c>
      <c r="C38" s="347" t="n">
        <v>310</v>
      </c>
      <c r="D38" s="347" t="n">
        <v>240</v>
      </c>
      <c r="E38" s="347" t="n">
        <v>190</v>
      </c>
      <c r="F38" s="347" t="n">
        <v>157</v>
      </c>
      <c r="G38" s="347" t="n">
        <v>133</v>
      </c>
      <c r="H38" s="347" t="n">
        <v>125</v>
      </c>
      <c r="I38" s="347" t="n">
        <v>0</v>
      </c>
      <c r="J38" s="347" t="n">
        <v>0</v>
      </c>
      <c r="K38" s="347" t="n">
        <v>0</v>
      </c>
      <c r="L38" s="347" t="n">
        <v>0</v>
      </c>
      <c r="M38" s="347" t="n">
        <v>0</v>
      </c>
      <c r="N38" s="347" t="n">
        <v>0</v>
      </c>
      <c r="O38" s="347" t="n">
        <v>0</v>
      </c>
      <c r="P38" s="347" t="n">
        <v>0</v>
      </c>
      <c r="Q38" s="347" t="n">
        <v>0</v>
      </c>
      <c r="R38" s="347" t="n">
        <v>0</v>
      </c>
      <c r="S38" s="347" t="n">
        <v>0</v>
      </c>
      <c r="T38" s="347" t="n">
        <v>0</v>
      </c>
      <c r="U38" s="347" t="n">
        <v>0</v>
      </c>
      <c r="V38" s="347" t="n">
        <v>0</v>
      </c>
      <c r="W38" s="347" t="n">
        <v>0</v>
      </c>
      <c r="X38" s="347" t="n">
        <v>0</v>
      </c>
      <c r="Y38" s="348" t="n">
        <v>0</v>
      </c>
    </row>
    <row r="39" customFormat="false" ht="12.75" hidden="false" customHeight="false" outlineLevel="0" collapsed="false">
      <c r="A39" s="333" t="s">
        <v>230</v>
      </c>
      <c r="B39" s="349" t="n">
        <f aca="false">(C38+B38)*(C37-B37)/2</f>
        <v>0.155</v>
      </c>
      <c r="C39" s="350" t="n">
        <f aca="false">(D38+C38)*(D37-C37)/2</f>
        <v>5.225</v>
      </c>
      <c r="D39" s="350" t="n">
        <f aca="false">(E38+D38)*(E37-D37)/2</f>
        <v>4.3</v>
      </c>
      <c r="E39" s="350" t="n">
        <f aca="false">(F38+E38)*(F37-E37)/2</f>
        <v>3.47</v>
      </c>
      <c r="F39" s="350" t="n">
        <f aca="false">(G38+F38)*(G37-F37)/2</f>
        <v>2.9</v>
      </c>
      <c r="G39" s="350" t="n">
        <f aca="false">(H38+G38)*(H37-G37)/2</f>
        <v>1.032</v>
      </c>
      <c r="H39" s="350" t="n">
        <f aca="false">(I38+H38)*(I37-H37)/2</f>
        <v>0.0625000000000001</v>
      </c>
      <c r="I39" s="350" t="n">
        <f aca="false">(J38+I38)*(J37-I37)/2</f>
        <v>0</v>
      </c>
      <c r="J39" s="350" t="n">
        <f aca="false">(K38+J38)*(K37-J37)/2</f>
        <v>0</v>
      </c>
      <c r="K39" s="350" t="n">
        <f aca="false">(L38+K38)*(L37-K37)/2</f>
        <v>0</v>
      </c>
      <c r="L39" s="350" t="n">
        <f aca="false">(M38+L38)*(M37-L37)/2</f>
        <v>0</v>
      </c>
      <c r="M39" s="350" t="n">
        <f aca="false">(N38+M38)*(N37-M37)/2</f>
        <v>0</v>
      </c>
      <c r="N39" s="350" t="n">
        <f aca="false">(O38+N38)*(O37-N37)/2</f>
        <v>0</v>
      </c>
      <c r="O39" s="350" t="n">
        <f aca="false">(P38+O38)*(P37-O37)/2</f>
        <v>0</v>
      </c>
      <c r="P39" s="350" t="n">
        <f aca="false">(Q38+P38)*(Q37-P37)/2</f>
        <v>0</v>
      </c>
      <c r="Q39" s="350" t="n">
        <f aca="false">(R38+Q38)*(R37-Q37)/2</f>
        <v>0</v>
      </c>
      <c r="R39" s="350" t="n">
        <f aca="false">(S38+R38)*(S37-R37)/2</f>
        <v>0</v>
      </c>
      <c r="S39" s="350" t="n">
        <f aca="false">(T38+S38)*(T37-S37)/2</f>
        <v>0</v>
      </c>
      <c r="T39" s="350" t="n">
        <f aca="false">(U38+T38)*(U37-T37)/2</f>
        <v>0</v>
      </c>
      <c r="U39" s="350" t="n">
        <f aca="false">(V38+U38)*(V37-U37)/2</f>
        <v>0</v>
      </c>
      <c r="V39" s="350" t="n">
        <f aca="false">(W38+V38)*(W37-V37)/2</f>
        <v>0</v>
      </c>
      <c r="W39" s="350" t="n">
        <f aca="false">(X38+W38)*(X37-W37)/2</f>
        <v>0</v>
      </c>
      <c r="X39" s="350" t="n">
        <f aca="false">(Y38+X38)*(Y37-X37)/2</f>
        <v>0</v>
      </c>
      <c r="Y39" s="336"/>
    </row>
    <row r="40" customFormat="false" ht="12.75" hidden="false" customHeight="false" outlineLevel="0" collapsed="false">
      <c r="A40" s="337"/>
      <c r="L40" s="337"/>
      <c r="M40" s="337"/>
      <c r="N40" s="337"/>
      <c r="O40" s="337"/>
      <c r="P40" s="337"/>
      <c r="Q40" s="337"/>
      <c r="R40" s="337"/>
      <c r="S40" s="337"/>
      <c r="T40" s="337"/>
      <c r="U40" s="337"/>
      <c r="V40" s="337"/>
      <c r="W40" s="337"/>
      <c r="X40" s="337"/>
      <c r="Y40" s="337"/>
    </row>
    <row r="41" customFormat="false" ht="13.5" hidden="false" customHeight="false" outlineLevel="0" collapsed="false">
      <c r="A41" s="338" t="s">
        <v>233</v>
      </c>
      <c r="B41" s="339" t="n">
        <f aca="false">ROW(A41)</f>
        <v>41</v>
      </c>
      <c r="C41" s="322" t="s">
        <v>213</v>
      </c>
      <c r="D41" s="323" t="n">
        <f aca="false">SUM(B44:Y44)</f>
        <v>19.415</v>
      </c>
      <c r="E41" s="322" t="s">
        <v>214</v>
      </c>
      <c r="F41" s="329" t="n">
        <f aca="false">D41/g/J41</f>
        <v>2.63880394155624</v>
      </c>
      <c r="G41" s="322" t="s">
        <v>215</v>
      </c>
      <c r="H41" s="340" t="n">
        <v>0.75</v>
      </c>
      <c r="I41" s="322" t="s">
        <v>226</v>
      </c>
      <c r="J41" s="325" t="n">
        <f aca="false">H41-L41</f>
        <v>0.75</v>
      </c>
      <c r="K41" s="322" t="s">
        <v>227</v>
      </c>
      <c r="L41" s="340" t="n">
        <v>0</v>
      </c>
      <c r="M41" s="322" t="s">
        <v>218</v>
      </c>
      <c r="N41" s="341" t="n">
        <f aca="false">0.5*R41</f>
        <v>150</v>
      </c>
      <c r="O41" s="322" t="s">
        <v>219</v>
      </c>
      <c r="P41" s="341" t="n">
        <v>150</v>
      </c>
      <c r="Q41" s="322" t="s">
        <v>220</v>
      </c>
      <c r="R41" s="341" t="n">
        <v>300</v>
      </c>
      <c r="S41" s="322" t="s">
        <v>221</v>
      </c>
      <c r="T41" s="341" t="n">
        <v>90</v>
      </c>
      <c r="U41" s="322" t="s">
        <v>8</v>
      </c>
      <c r="V41" s="342" t="s">
        <v>224</v>
      </c>
      <c r="W41" s="337"/>
      <c r="X41" s="337"/>
      <c r="Y41" s="337"/>
    </row>
    <row r="42" customFormat="false" ht="12" hidden="false" customHeight="false" outlineLevel="0" collapsed="false">
      <c r="A42" s="320" t="s">
        <v>228</v>
      </c>
      <c r="B42" s="343" t="n">
        <v>0</v>
      </c>
      <c r="C42" s="344" t="n">
        <v>0.001</v>
      </c>
      <c r="D42" s="344" t="n">
        <v>0.02</v>
      </c>
      <c r="E42" s="344" t="n">
        <v>0.04</v>
      </c>
      <c r="F42" s="344" t="n">
        <v>0.06</v>
      </c>
      <c r="G42" s="344" t="n">
        <v>0.08</v>
      </c>
      <c r="H42" s="344" t="n">
        <v>0.1</v>
      </c>
      <c r="I42" s="344" t="n">
        <v>0.123</v>
      </c>
      <c r="J42" s="344" t="n">
        <v>0.124</v>
      </c>
      <c r="K42" s="344" t="n">
        <v>0.124</v>
      </c>
      <c r="L42" s="344" t="n">
        <v>0.124</v>
      </c>
      <c r="M42" s="344" t="n">
        <v>0.124</v>
      </c>
      <c r="N42" s="344" t="n">
        <v>0.124</v>
      </c>
      <c r="O42" s="344" t="n">
        <v>0.124</v>
      </c>
      <c r="P42" s="344" t="n">
        <v>0.124</v>
      </c>
      <c r="Q42" s="344" t="n">
        <v>0.124</v>
      </c>
      <c r="R42" s="344" t="n">
        <v>0.124</v>
      </c>
      <c r="S42" s="344" t="n">
        <v>0.124</v>
      </c>
      <c r="T42" s="344" t="n">
        <v>0.124</v>
      </c>
      <c r="U42" s="344" t="n">
        <v>0.124</v>
      </c>
      <c r="V42" s="344" t="n">
        <v>0.124</v>
      </c>
      <c r="W42" s="344" t="n">
        <v>0.124</v>
      </c>
      <c r="X42" s="344" t="n">
        <v>0.124</v>
      </c>
      <c r="Y42" s="332" t="n">
        <v>1000</v>
      </c>
    </row>
    <row r="43" customFormat="false" ht="12" hidden="false" customHeight="false" outlineLevel="0" collapsed="false">
      <c r="A43" s="345" t="s">
        <v>229</v>
      </c>
      <c r="B43" s="346" t="n">
        <v>0</v>
      </c>
      <c r="C43" s="347" t="n">
        <v>310</v>
      </c>
      <c r="D43" s="347" t="n">
        <v>230</v>
      </c>
      <c r="E43" s="347" t="n">
        <v>175</v>
      </c>
      <c r="F43" s="347" t="n">
        <v>140</v>
      </c>
      <c r="G43" s="347" t="n">
        <v>118</v>
      </c>
      <c r="H43" s="347" t="n">
        <v>100</v>
      </c>
      <c r="I43" s="347" t="n">
        <v>85</v>
      </c>
      <c r="J43" s="347" t="n">
        <v>0</v>
      </c>
      <c r="K43" s="347" t="n">
        <v>0</v>
      </c>
      <c r="L43" s="347" t="n">
        <v>0</v>
      </c>
      <c r="M43" s="347" t="n">
        <v>0</v>
      </c>
      <c r="N43" s="347" t="n">
        <v>0</v>
      </c>
      <c r="O43" s="347" t="n">
        <v>0</v>
      </c>
      <c r="P43" s="347" t="n">
        <v>0</v>
      </c>
      <c r="Q43" s="347" t="n">
        <v>0</v>
      </c>
      <c r="R43" s="347" t="n">
        <v>0</v>
      </c>
      <c r="S43" s="347" t="n">
        <v>0</v>
      </c>
      <c r="T43" s="347" t="n">
        <v>0</v>
      </c>
      <c r="U43" s="347" t="n">
        <v>0</v>
      </c>
      <c r="V43" s="347" t="n">
        <v>0</v>
      </c>
      <c r="W43" s="347" t="n">
        <v>0</v>
      </c>
      <c r="X43" s="347" t="n">
        <v>0</v>
      </c>
      <c r="Y43" s="348" t="n">
        <v>0</v>
      </c>
    </row>
    <row r="44" customFormat="false" ht="12.75" hidden="false" customHeight="false" outlineLevel="0" collapsed="false">
      <c r="A44" s="333" t="s">
        <v>230</v>
      </c>
      <c r="B44" s="349" t="n">
        <f aca="false">(C43+B43)*(C42-B42)/2</f>
        <v>0.155</v>
      </c>
      <c r="C44" s="350" t="n">
        <f aca="false">(D43+C43)*(D42-C42)/2</f>
        <v>5.13</v>
      </c>
      <c r="D44" s="350" t="n">
        <f aca="false">(E43+D43)*(E42-D42)/2</f>
        <v>4.05</v>
      </c>
      <c r="E44" s="350" t="n">
        <f aca="false">(F43+E43)*(F42-E42)/2</f>
        <v>3.15</v>
      </c>
      <c r="F44" s="350" t="n">
        <f aca="false">(G43+F43)*(G42-F42)/2</f>
        <v>2.58</v>
      </c>
      <c r="G44" s="350" t="n">
        <f aca="false">(H43+G43)*(H42-G42)/2</f>
        <v>2.18</v>
      </c>
      <c r="H44" s="350" t="n">
        <f aca="false">(I43+H43)*(I42-H42)/2</f>
        <v>2.1275</v>
      </c>
      <c r="I44" s="350" t="n">
        <f aca="false">(J43+I43)*(J42-I42)/2</f>
        <v>0.0425</v>
      </c>
      <c r="J44" s="350" t="n">
        <f aca="false">(K43+J43)*(K42-J42)/2</f>
        <v>0</v>
      </c>
      <c r="K44" s="350" t="n">
        <f aca="false">(L43+K43)*(L42-K42)/2</f>
        <v>0</v>
      </c>
      <c r="L44" s="350" t="n">
        <f aca="false">(M43+L43)*(M42-L42)/2</f>
        <v>0</v>
      </c>
      <c r="M44" s="350" t="n">
        <f aca="false">(N43+M43)*(N42-M42)/2</f>
        <v>0</v>
      </c>
      <c r="N44" s="350" t="n">
        <f aca="false">(O43+N43)*(O42-N42)/2</f>
        <v>0</v>
      </c>
      <c r="O44" s="350" t="n">
        <f aca="false">(P43+O43)*(P42-O42)/2</f>
        <v>0</v>
      </c>
      <c r="P44" s="350" t="n">
        <f aca="false">(Q43+P43)*(Q42-P42)/2</f>
        <v>0</v>
      </c>
      <c r="Q44" s="350" t="n">
        <f aca="false">(R43+Q43)*(R42-Q42)/2</f>
        <v>0</v>
      </c>
      <c r="R44" s="350" t="n">
        <f aca="false">(S43+R43)*(S42-R42)/2</f>
        <v>0</v>
      </c>
      <c r="S44" s="350" t="n">
        <f aca="false">(T43+S43)*(T42-S42)/2</f>
        <v>0</v>
      </c>
      <c r="T44" s="350" t="n">
        <f aca="false">(U43+T43)*(U42-T42)/2</f>
        <v>0</v>
      </c>
      <c r="U44" s="350" t="n">
        <f aca="false">(V43+U43)*(V42-U42)/2</f>
        <v>0</v>
      </c>
      <c r="V44" s="350" t="n">
        <f aca="false">(W43+V43)*(W42-V42)/2</f>
        <v>0</v>
      </c>
      <c r="W44" s="350" t="n">
        <f aca="false">(X43+W43)*(X42-W42)/2</f>
        <v>0</v>
      </c>
      <c r="X44" s="350" t="n">
        <f aca="false">(Y43+X43)*(Y42-X42)/2</f>
        <v>0</v>
      </c>
      <c r="Y44" s="336"/>
    </row>
    <row r="45" customFormat="false" ht="12.75" hidden="false" customHeight="false" outlineLevel="0" collapsed="false"/>
    <row r="46" customFormat="false" ht="13.5" hidden="false" customHeight="false" outlineLevel="0" collapsed="false">
      <c r="A46" s="338" t="s">
        <v>234</v>
      </c>
      <c r="B46" s="339" t="n">
        <f aca="false">ROW(A46)</f>
        <v>46</v>
      </c>
      <c r="C46" s="322" t="s">
        <v>213</v>
      </c>
      <c r="D46" s="323" t="n">
        <f aca="false">SUM(B49:Y49)</f>
        <v>12.8695</v>
      </c>
      <c r="E46" s="322" t="s">
        <v>214</v>
      </c>
      <c r="F46" s="329" t="n">
        <f aca="false">D46/g/J46</f>
        <v>3.27968909276249</v>
      </c>
      <c r="G46" s="322" t="s">
        <v>215</v>
      </c>
      <c r="H46" s="340" t="n">
        <v>0.5</v>
      </c>
      <c r="I46" s="322" t="s">
        <v>226</v>
      </c>
      <c r="J46" s="325" t="n">
        <f aca="false">H46-L46</f>
        <v>0.4</v>
      </c>
      <c r="K46" s="322" t="s">
        <v>227</v>
      </c>
      <c r="L46" s="340" t="n">
        <v>0.1</v>
      </c>
      <c r="M46" s="322" t="s">
        <v>218</v>
      </c>
      <c r="N46" s="341" t="n">
        <f aca="false">0.2*R46</f>
        <v>60</v>
      </c>
      <c r="O46" s="322" t="s">
        <v>219</v>
      </c>
      <c r="P46" s="341" t="n">
        <v>150</v>
      </c>
      <c r="Q46" s="322" t="s">
        <v>220</v>
      </c>
      <c r="R46" s="341" t="n">
        <v>300</v>
      </c>
      <c r="S46" s="322" t="s">
        <v>221</v>
      </c>
      <c r="T46" s="341" t="n">
        <v>98</v>
      </c>
      <c r="U46" s="322" t="s">
        <v>8</v>
      </c>
      <c r="V46" s="342" t="s">
        <v>224</v>
      </c>
      <c r="W46" s="337"/>
      <c r="X46" s="337"/>
      <c r="Y46" s="337"/>
    </row>
    <row r="47" customFormat="false" ht="12" hidden="false" customHeight="false" outlineLevel="0" collapsed="false">
      <c r="A47" s="320" t="s">
        <v>228</v>
      </c>
      <c r="B47" s="343" t="n">
        <v>0</v>
      </c>
      <c r="C47" s="344" t="n">
        <v>0.001</v>
      </c>
      <c r="D47" s="344" t="n">
        <v>0.02</v>
      </c>
      <c r="E47" s="344" t="n">
        <v>0.04</v>
      </c>
      <c r="F47" s="344" t="n">
        <v>0.05</v>
      </c>
      <c r="G47" s="344" t="n">
        <v>0.051</v>
      </c>
      <c r="H47" s="344" t="n">
        <v>0.051</v>
      </c>
      <c r="I47" s="344" t="n">
        <v>0.051</v>
      </c>
      <c r="J47" s="344" t="n">
        <v>0.051</v>
      </c>
      <c r="K47" s="344" t="n">
        <v>0.051</v>
      </c>
      <c r="L47" s="344" t="n">
        <v>0.051</v>
      </c>
      <c r="M47" s="344" t="n">
        <v>0.051</v>
      </c>
      <c r="N47" s="344" t="n">
        <v>0.051</v>
      </c>
      <c r="O47" s="344" t="n">
        <v>0.051</v>
      </c>
      <c r="P47" s="344" t="n">
        <v>0.051</v>
      </c>
      <c r="Q47" s="344" t="n">
        <v>0.051</v>
      </c>
      <c r="R47" s="344" t="n">
        <v>0.051</v>
      </c>
      <c r="S47" s="344" t="n">
        <v>0.051</v>
      </c>
      <c r="T47" s="344" t="n">
        <v>0.051</v>
      </c>
      <c r="U47" s="344" t="n">
        <v>0.051</v>
      </c>
      <c r="V47" s="344" t="n">
        <v>0.051</v>
      </c>
      <c r="W47" s="344" t="n">
        <v>0.051</v>
      </c>
      <c r="X47" s="344" t="n">
        <v>0.051</v>
      </c>
      <c r="Y47" s="332" t="n">
        <v>1000</v>
      </c>
    </row>
    <row r="48" customFormat="false" ht="12" hidden="false" customHeight="false" outlineLevel="0" collapsed="false">
      <c r="A48" s="345" t="s">
        <v>229</v>
      </c>
      <c r="B48" s="346" t="n">
        <v>0</v>
      </c>
      <c r="C48" s="347" t="n">
        <v>310</v>
      </c>
      <c r="D48" s="347" t="n">
        <v>264</v>
      </c>
      <c r="E48" s="347" t="n">
        <v>230</v>
      </c>
      <c r="F48" s="347" t="n">
        <v>213</v>
      </c>
      <c r="G48" s="347" t="n">
        <v>0</v>
      </c>
      <c r="H48" s="347" t="n">
        <v>0</v>
      </c>
      <c r="I48" s="347" t="n">
        <v>0</v>
      </c>
      <c r="J48" s="347" t="n">
        <v>0</v>
      </c>
      <c r="K48" s="347" t="n">
        <v>0</v>
      </c>
      <c r="L48" s="347" t="n">
        <v>0</v>
      </c>
      <c r="M48" s="347" t="n">
        <v>0</v>
      </c>
      <c r="N48" s="347" t="n">
        <v>0</v>
      </c>
      <c r="O48" s="347" t="n">
        <v>0</v>
      </c>
      <c r="P48" s="347" t="n">
        <v>0</v>
      </c>
      <c r="Q48" s="347" t="n">
        <v>0</v>
      </c>
      <c r="R48" s="347" t="n">
        <v>0</v>
      </c>
      <c r="S48" s="347" t="n">
        <v>0</v>
      </c>
      <c r="T48" s="347" t="n">
        <v>0</v>
      </c>
      <c r="U48" s="347" t="n">
        <v>0</v>
      </c>
      <c r="V48" s="347" t="n">
        <v>0</v>
      </c>
      <c r="W48" s="347" t="n">
        <v>0</v>
      </c>
      <c r="X48" s="347" t="n">
        <v>0</v>
      </c>
      <c r="Y48" s="348" t="n">
        <v>0</v>
      </c>
    </row>
    <row r="49" customFormat="false" ht="12.75" hidden="false" customHeight="false" outlineLevel="0" collapsed="false">
      <c r="A49" s="333" t="s">
        <v>230</v>
      </c>
      <c r="B49" s="349" t="n">
        <f aca="false">(C48+B48)*(C47-B47)/2</f>
        <v>0.155</v>
      </c>
      <c r="C49" s="350" t="n">
        <f aca="false">(D48+C48)*(D47-C47)/2</f>
        <v>5.453</v>
      </c>
      <c r="D49" s="350" t="n">
        <f aca="false">(E48+D48)*(E47-D47)/2</f>
        <v>4.94</v>
      </c>
      <c r="E49" s="350" t="n">
        <f aca="false">(F48+E48)*(F47-E47)/2</f>
        <v>2.215</v>
      </c>
      <c r="F49" s="350" t="n">
        <f aca="false">(G48+F48)*(G47-F47)/2</f>
        <v>0.106499999999999</v>
      </c>
      <c r="G49" s="350" t="n">
        <f aca="false">(H48+G48)*(H47-G47)/2</f>
        <v>0</v>
      </c>
      <c r="H49" s="350" t="n">
        <f aca="false">(I48+H48)*(I47-H47)/2</f>
        <v>0</v>
      </c>
      <c r="I49" s="350" t="n">
        <f aca="false">(J48+I48)*(J47-I47)/2</f>
        <v>0</v>
      </c>
      <c r="J49" s="350" t="n">
        <f aca="false">(K48+J48)*(K47-J47)/2</f>
        <v>0</v>
      </c>
      <c r="K49" s="350" t="n">
        <f aca="false">(L48+K48)*(L47-K47)/2</f>
        <v>0</v>
      </c>
      <c r="L49" s="350" t="n">
        <f aca="false">(M48+L48)*(M47-L47)/2</f>
        <v>0</v>
      </c>
      <c r="M49" s="350" t="n">
        <f aca="false">(N48+M48)*(N47-M47)/2</f>
        <v>0</v>
      </c>
      <c r="N49" s="350" t="n">
        <f aca="false">(O48+N48)*(O47-N47)/2</f>
        <v>0</v>
      </c>
      <c r="O49" s="350" t="n">
        <f aca="false">(P48+O48)*(P47-O47)/2</f>
        <v>0</v>
      </c>
      <c r="P49" s="350" t="n">
        <f aca="false">(Q48+P48)*(Q47-P47)/2</f>
        <v>0</v>
      </c>
      <c r="Q49" s="350" t="n">
        <f aca="false">(R48+Q48)*(R47-Q47)/2</f>
        <v>0</v>
      </c>
      <c r="R49" s="350" t="n">
        <f aca="false">(S48+R48)*(S47-R47)/2</f>
        <v>0</v>
      </c>
      <c r="S49" s="350" t="n">
        <f aca="false">(T48+S48)*(T47-S47)/2</f>
        <v>0</v>
      </c>
      <c r="T49" s="350" t="n">
        <f aca="false">(U48+T48)*(U47-T47)/2</f>
        <v>0</v>
      </c>
      <c r="U49" s="350" t="n">
        <f aca="false">(V48+U48)*(V47-U47)/2</f>
        <v>0</v>
      </c>
      <c r="V49" s="350" t="n">
        <f aca="false">(W48+V48)*(W47-V47)/2</f>
        <v>0</v>
      </c>
      <c r="W49" s="350" t="n">
        <f aca="false">(X48+W48)*(X47-W47)/2</f>
        <v>0</v>
      </c>
      <c r="X49" s="350" t="n">
        <f aca="false">(Y48+X48)*(Y47-X47)/2</f>
        <v>0</v>
      </c>
      <c r="Y49" s="336"/>
    </row>
    <row r="50" customFormat="false" ht="12.75" hidden="false" customHeight="false" outlineLevel="0" collapsed="false">
      <c r="A50" s="337"/>
      <c r="L50" s="337"/>
      <c r="M50" s="337"/>
      <c r="N50" s="337"/>
      <c r="O50" s="337"/>
      <c r="P50" s="337"/>
      <c r="Q50" s="337"/>
      <c r="R50" s="337"/>
      <c r="S50" s="337"/>
      <c r="T50" s="337"/>
      <c r="U50" s="337"/>
      <c r="V50" s="337"/>
      <c r="W50" s="337"/>
      <c r="X50" s="337"/>
      <c r="Y50" s="337"/>
    </row>
    <row r="51" customFormat="false" ht="13.5" hidden="false" customHeight="false" outlineLevel="0" collapsed="false">
      <c r="A51" s="338" t="s">
        <v>235</v>
      </c>
      <c r="B51" s="339" t="n">
        <f aca="false">ROW(A51)</f>
        <v>51</v>
      </c>
      <c r="C51" s="322" t="s">
        <v>213</v>
      </c>
      <c r="D51" s="323" t="n">
        <f aca="false">SUM(B54:Y54)</f>
        <v>18.1235</v>
      </c>
      <c r="E51" s="322" t="s">
        <v>214</v>
      </c>
      <c r="F51" s="329" t="n">
        <f aca="false">D51/g/J51</f>
        <v>3.07908596670065</v>
      </c>
      <c r="G51" s="322" t="s">
        <v>215</v>
      </c>
      <c r="H51" s="340" t="n">
        <v>0.7</v>
      </c>
      <c r="I51" s="322" t="s">
        <v>226</v>
      </c>
      <c r="J51" s="325" t="n">
        <f aca="false">H51-L51</f>
        <v>0.6</v>
      </c>
      <c r="K51" s="322" t="s">
        <v>227</v>
      </c>
      <c r="L51" s="340" t="n">
        <v>0.1</v>
      </c>
      <c r="M51" s="322" t="s">
        <v>218</v>
      </c>
      <c r="N51" s="341" t="n">
        <f aca="false">0.3*R51</f>
        <v>90</v>
      </c>
      <c r="O51" s="322" t="s">
        <v>219</v>
      </c>
      <c r="P51" s="341" t="n">
        <v>150</v>
      </c>
      <c r="Q51" s="322" t="s">
        <v>220</v>
      </c>
      <c r="R51" s="341" t="n">
        <v>300</v>
      </c>
      <c r="S51" s="322" t="s">
        <v>221</v>
      </c>
      <c r="T51" s="341" t="n">
        <v>98</v>
      </c>
      <c r="U51" s="322" t="s">
        <v>8</v>
      </c>
      <c r="V51" s="342" t="s">
        <v>224</v>
      </c>
      <c r="W51" s="337"/>
      <c r="X51" s="337"/>
      <c r="Y51" s="337"/>
    </row>
    <row r="52" customFormat="false" ht="12" hidden="false" customHeight="false" outlineLevel="0" collapsed="false">
      <c r="A52" s="320" t="s">
        <v>228</v>
      </c>
      <c r="B52" s="343" t="n">
        <v>0</v>
      </c>
      <c r="C52" s="344" t="n">
        <v>0.001</v>
      </c>
      <c r="D52" s="344" t="n">
        <v>0.02</v>
      </c>
      <c r="E52" s="344" t="n">
        <v>0.04</v>
      </c>
      <c r="F52" s="344" t="n">
        <v>0.06</v>
      </c>
      <c r="G52" s="344" t="n">
        <v>0.08</v>
      </c>
      <c r="H52" s="344" t="n">
        <v>0.081</v>
      </c>
      <c r="I52" s="344" t="n">
        <v>0.081</v>
      </c>
      <c r="J52" s="344" t="n">
        <v>0.081</v>
      </c>
      <c r="K52" s="344" t="n">
        <v>0.081</v>
      </c>
      <c r="L52" s="344" t="n">
        <v>0.081</v>
      </c>
      <c r="M52" s="344" t="n">
        <v>0.081</v>
      </c>
      <c r="N52" s="344" t="n">
        <v>0.081</v>
      </c>
      <c r="O52" s="344" t="n">
        <v>0.081</v>
      </c>
      <c r="P52" s="344" t="n">
        <v>0.081</v>
      </c>
      <c r="Q52" s="344" t="n">
        <v>0.081</v>
      </c>
      <c r="R52" s="344" t="n">
        <v>0.081</v>
      </c>
      <c r="S52" s="344" t="n">
        <v>0.081</v>
      </c>
      <c r="T52" s="344" t="n">
        <v>0.081</v>
      </c>
      <c r="U52" s="344" t="n">
        <v>0.081</v>
      </c>
      <c r="V52" s="344" t="n">
        <v>0.081</v>
      </c>
      <c r="W52" s="344" t="n">
        <v>0.081</v>
      </c>
      <c r="X52" s="344" t="n">
        <v>0.081</v>
      </c>
      <c r="Y52" s="332" t="n">
        <v>1000</v>
      </c>
    </row>
    <row r="53" customFormat="false" ht="12" hidden="false" customHeight="false" outlineLevel="0" collapsed="false">
      <c r="A53" s="345" t="s">
        <v>229</v>
      </c>
      <c r="B53" s="346" t="n">
        <v>0</v>
      </c>
      <c r="C53" s="347" t="n">
        <v>310</v>
      </c>
      <c r="D53" s="347" t="n">
        <v>260</v>
      </c>
      <c r="E53" s="347" t="n">
        <v>220</v>
      </c>
      <c r="F53" s="347" t="n">
        <v>190</v>
      </c>
      <c r="G53" s="347" t="n">
        <v>167</v>
      </c>
      <c r="H53" s="347" t="n">
        <v>0</v>
      </c>
      <c r="I53" s="347" t="n">
        <v>0</v>
      </c>
      <c r="J53" s="347" t="n">
        <v>0</v>
      </c>
      <c r="K53" s="347" t="n">
        <v>0</v>
      </c>
      <c r="L53" s="347" t="n">
        <v>0</v>
      </c>
      <c r="M53" s="347" t="n">
        <v>0</v>
      </c>
      <c r="N53" s="347" t="n">
        <v>0</v>
      </c>
      <c r="O53" s="347" t="n">
        <v>0</v>
      </c>
      <c r="P53" s="347" t="n">
        <v>0</v>
      </c>
      <c r="Q53" s="347" t="n">
        <v>0</v>
      </c>
      <c r="R53" s="347" t="n">
        <v>0</v>
      </c>
      <c r="S53" s="347" t="n">
        <v>0</v>
      </c>
      <c r="T53" s="347" t="n">
        <v>0</v>
      </c>
      <c r="U53" s="347" t="n">
        <v>0</v>
      </c>
      <c r="V53" s="347" t="n">
        <v>0</v>
      </c>
      <c r="W53" s="347" t="n">
        <v>0</v>
      </c>
      <c r="X53" s="347" t="n">
        <v>0</v>
      </c>
      <c r="Y53" s="348" t="n">
        <v>0</v>
      </c>
    </row>
    <row r="54" customFormat="false" ht="12.75" hidden="false" customHeight="false" outlineLevel="0" collapsed="false">
      <c r="A54" s="333" t="s">
        <v>230</v>
      </c>
      <c r="B54" s="349" t="n">
        <f aca="false">(C53+B53)*(C52-B52)/2</f>
        <v>0.155</v>
      </c>
      <c r="C54" s="350" t="n">
        <f aca="false">(D53+C53)*(D52-C52)/2</f>
        <v>5.415</v>
      </c>
      <c r="D54" s="350" t="n">
        <f aca="false">(E53+D53)*(E52-D52)/2</f>
        <v>4.8</v>
      </c>
      <c r="E54" s="350" t="n">
        <f aca="false">(F53+E53)*(F52-E52)/2</f>
        <v>4.1</v>
      </c>
      <c r="F54" s="350" t="n">
        <f aca="false">(G53+F53)*(G52-F52)/2</f>
        <v>3.57</v>
      </c>
      <c r="G54" s="350" t="n">
        <f aca="false">(H53+G53)*(H52-G52)/2</f>
        <v>0.0835000000000001</v>
      </c>
      <c r="H54" s="350" t="n">
        <f aca="false">(I53+H53)*(I52-H52)/2</f>
        <v>0</v>
      </c>
      <c r="I54" s="350" t="n">
        <f aca="false">(J53+I53)*(J52-I52)/2</f>
        <v>0</v>
      </c>
      <c r="J54" s="350" t="n">
        <f aca="false">(K53+J53)*(K52-J52)/2</f>
        <v>0</v>
      </c>
      <c r="K54" s="350" t="n">
        <f aca="false">(L53+K53)*(L52-K52)/2</f>
        <v>0</v>
      </c>
      <c r="L54" s="350" t="n">
        <f aca="false">(M53+L53)*(M52-L52)/2</f>
        <v>0</v>
      </c>
      <c r="M54" s="350" t="n">
        <f aca="false">(N53+M53)*(N52-M52)/2</f>
        <v>0</v>
      </c>
      <c r="N54" s="350" t="n">
        <f aca="false">(O53+N53)*(O52-N52)/2</f>
        <v>0</v>
      </c>
      <c r="O54" s="350" t="n">
        <f aca="false">(P53+O53)*(P52-O52)/2</f>
        <v>0</v>
      </c>
      <c r="P54" s="350" t="n">
        <f aca="false">(Q53+P53)*(Q52-P52)/2</f>
        <v>0</v>
      </c>
      <c r="Q54" s="350" t="n">
        <f aca="false">(R53+Q53)*(R52-Q52)/2</f>
        <v>0</v>
      </c>
      <c r="R54" s="350" t="n">
        <f aca="false">(S53+R53)*(S52-R52)/2</f>
        <v>0</v>
      </c>
      <c r="S54" s="350" t="n">
        <f aca="false">(T53+S53)*(T52-S52)/2</f>
        <v>0</v>
      </c>
      <c r="T54" s="350" t="n">
        <f aca="false">(U53+T53)*(U52-T52)/2</f>
        <v>0</v>
      </c>
      <c r="U54" s="350" t="n">
        <f aca="false">(V53+U53)*(V52-U52)/2</f>
        <v>0</v>
      </c>
      <c r="V54" s="350" t="n">
        <f aca="false">(W53+V53)*(W52-V52)/2</f>
        <v>0</v>
      </c>
      <c r="W54" s="350" t="n">
        <f aca="false">(X53+W53)*(X52-W52)/2</f>
        <v>0</v>
      </c>
      <c r="X54" s="350" t="n">
        <f aca="false">(Y53+X53)*(Y52-X52)/2</f>
        <v>0</v>
      </c>
      <c r="Y54" s="336"/>
    </row>
    <row r="55" customFormat="false" ht="12.75" hidden="false" customHeight="false" outlineLevel="0" collapsed="false">
      <c r="B55" s="337"/>
      <c r="C55" s="337"/>
      <c r="D55" s="337"/>
      <c r="E55" s="337"/>
      <c r="F55" s="337"/>
      <c r="G55" s="337"/>
      <c r="H55" s="337"/>
      <c r="I55" s="337"/>
      <c r="J55" s="337"/>
      <c r="K55" s="337"/>
      <c r="L55" s="337"/>
      <c r="M55" s="337"/>
      <c r="N55" s="337"/>
      <c r="O55" s="337"/>
      <c r="P55" s="337"/>
      <c r="Q55" s="337"/>
      <c r="R55" s="337"/>
      <c r="S55" s="337"/>
      <c r="T55" s="337"/>
      <c r="U55" s="337"/>
      <c r="V55" s="337"/>
      <c r="W55" s="337"/>
      <c r="X55" s="337"/>
      <c r="Y55" s="337"/>
    </row>
    <row r="56" customFormat="false" ht="13.5" hidden="false" customHeight="false" outlineLevel="0" collapsed="false">
      <c r="A56" s="338" t="s">
        <v>236</v>
      </c>
      <c r="B56" s="339" t="n">
        <f aca="false">ROW(A56)</f>
        <v>56</v>
      </c>
      <c r="C56" s="322" t="s">
        <v>213</v>
      </c>
      <c r="D56" s="323" t="n">
        <f aca="false">SUM(B59:Y59)</f>
        <v>22.61</v>
      </c>
      <c r="E56" s="322" t="s">
        <v>214</v>
      </c>
      <c r="F56" s="329" t="n">
        <f aca="false">D56/g/J56</f>
        <v>2.88098878695209</v>
      </c>
      <c r="G56" s="322" t="s">
        <v>215</v>
      </c>
      <c r="H56" s="340" t="n">
        <v>0.9</v>
      </c>
      <c r="I56" s="322" t="s">
        <v>226</v>
      </c>
      <c r="J56" s="325" t="n">
        <f aca="false">H56-L56</f>
        <v>0.8</v>
      </c>
      <c r="K56" s="322" t="s">
        <v>227</v>
      </c>
      <c r="L56" s="340" t="n">
        <v>0.1</v>
      </c>
      <c r="M56" s="322" t="s">
        <v>218</v>
      </c>
      <c r="N56" s="341" t="n">
        <f aca="false">0.4*R56</f>
        <v>120</v>
      </c>
      <c r="O56" s="322" t="s">
        <v>219</v>
      </c>
      <c r="P56" s="341" t="n">
        <v>150</v>
      </c>
      <c r="Q56" s="322" t="s">
        <v>220</v>
      </c>
      <c r="R56" s="341" t="n">
        <v>300</v>
      </c>
      <c r="S56" s="322" t="s">
        <v>221</v>
      </c>
      <c r="T56" s="341" t="n">
        <v>98</v>
      </c>
      <c r="U56" s="322" t="s">
        <v>8</v>
      </c>
      <c r="V56" s="342" t="s">
        <v>224</v>
      </c>
      <c r="W56" s="337"/>
      <c r="X56" s="337"/>
      <c r="Y56" s="337"/>
    </row>
    <row r="57" customFormat="false" ht="12" hidden="false" customHeight="false" outlineLevel="0" collapsed="false">
      <c r="A57" s="320" t="s">
        <v>228</v>
      </c>
      <c r="B57" s="343" t="n">
        <v>0</v>
      </c>
      <c r="C57" s="344" t="n">
        <v>0.001</v>
      </c>
      <c r="D57" s="344" t="n">
        <v>0.02</v>
      </c>
      <c r="E57" s="344" t="n">
        <v>0.04</v>
      </c>
      <c r="F57" s="344" t="n">
        <v>0.06</v>
      </c>
      <c r="G57" s="344" t="n">
        <v>0.08</v>
      </c>
      <c r="H57" s="344" t="n">
        <v>0.1</v>
      </c>
      <c r="I57" s="344" t="n">
        <v>0.117</v>
      </c>
      <c r="J57" s="344" t="n">
        <v>0.118</v>
      </c>
      <c r="K57" s="344" t="n">
        <v>0.118</v>
      </c>
      <c r="L57" s="344" t="n">
        <v>0.118</v>
      </c>
      <c r="M57" s="344" t="n">
        <v>0.118</v>
      </c>
      <c r="N57" s="344" t="n">
        <v>0.118</v>
      </c>
      <c r="O57" s="344" t="n">
        <v>0.118</v>
      </c>
      <c r="P57" s="344" t="n">
        <v>0.118</v>
      </c>
      <c r="Q57" s="344" t="n">
        <v>0.118</v>
      </c>
      <c r="R57" s="344" t="n">
        <v>0.118</v>
      </c>
      <c r="S57" s="344" t="n">
        <v>0.118</v>
      </c>
      <c r="T57" s="344" t="n">
        <v>0.118</v>
      </c>
      <c r="U57" s="344" t="n">
        <v>0.118</v>
      </c>
      <c r="V57" s="344" t="n">
        <v>0.118</v>
      </c>
      <c r="W57" s="344" t="n">
        <v>0.118</v>
      </c>
      <c r="X57" s="344" t="n">
        <v>0.118</v>
      </c>
      <c r="Y57" s="332" t="n">
        <v>1000</v>
      </c>
    </row>
    <row r="58" customFormat="false" ht="12" hidden="false" customHeight="false" outlineLevel="0" collapsed="false">
      <c r="A58" s="345" t="s">
        <v>229</v>
      </c>
      <c r="B58" s="346" t="n">
        <v>0</v>
      </c>
      <c r="C58" s="347" t="n">
        <v>310</v>
      </c>
      <c r="D58" s="347" t="n">
        <v>250</v>
      </c>
      <c r="E58" s="347" t="n">
        <v>210</v>
      </c>
      <c r="F58" s="347" t="n">
        <v>180</v>
      </c>
      <c r="G58" s="347" t="n">
        <v>156</v>
      </c>
      <c r="H58" s="347" t="n">
        <v>140</v>
      </c>
      <c r="I58" s="347" t="n">
        <v>125</v>
      </c>
      <c r="J58" s="347" t="n">
        <v>0</v>
      </c>
      <c r="K58" s="347" t="n">
        <v>0</v>
      </c>
      <c r="L58" s="347" t="n">
        <v>0</v>
      </c>
      <c r="M58" s="347" t="n">
        <v>0</v>
      </c>
      <c r="N58" s="347" t="n">
        <v>0</v>
      </c>
      <c r="O58" s="347" t="n">
        <v>0</v>
      </c>
      <c r="P58" s="347" t="n">
        <v>0</v>
      </c>
      <c r="Q58" s="347" t="n">
        <v>0</v>
      </c>
      <c r="R58" s="347" t="n">
        <v>0</v>
      </c>
      <c r="S58" s="347" t="n">
        <v>0</v>
      </c>
      <c r="T58" s="347" t="n">
        <v>0</v>
      </c>
      <c r="U58" s="347" t="n">
        <v>0</v>
      </c>
      <c r="V58" s="347" t="n">
        <v>0</v>
      </c>
      <c r="W58" s="347" t="n">
        <v>0</v>
      </c>
      <c r="X58" s="347" t="n">
        <v>0</v>
      </c>
      <c r="Y58" s="348" t="n">
        <v>0</v>
      </c>
    </row>
    <row r="59" customFormat="false" ht="12.75" hidden="false" customHeight="false" outlineLevel="0" collapsed="false">
      <c r="A59" s="333" t="s">
        <v>230</v>
      </c>
      <c r="B59" s="349" t="n">
        <f aca="false">(C58+B58)*(C57-B57)/2</f>
        <v>0.155</v>
      </c>
      <c r="C59" s="350" t="n">
        <f aca="false">(D58+C58)*(D57-C57)/2</f>
        <v>5.32</v>
      </c>
      <c r="D59" s="350" t="n">
        <f aca="false">(E58+D58)*(E57-D57)/2</f>
        <v>4.6</v>
      </c>
      <c r="E59" s="350" t="n">
        <f aca="false">(F58+E58)*(F57-E57)/2</f>
        <v>3.9</v>
      </c>
      <c r="F59" s="350" t="n">
        <f aca="false">(G58+F58)*(G57-F57)/2</f>
        <v>3.36</v>
      </c>
      <c r="G59" s="350" t="n">
        <f aca="false">(H58+G58)*(H57-G57)/2</f>
        <v>2.96</v>
      </c>
      <c r="H59" s="350" t="n">
        <f aca="false">(I58+H58)*(I57-H57)/2</f>
        <v>2.2525</v>
      </c>
      <c r="I59" s="350" t="n">
        <f aca="false">(J58+I58)*(J57-I57)/2</f>
        <v>0.0624999999999992</v>
      </c>
      <c r="J59" s="350" t="n">
        <f aca="false">(K58+J58)*(K57-J57)/2</f>
        <v>0</v>
      </c>
      <c r="K59" s="350" t="n">
        <f aca="false">(L58+K58)*(L57-K57)/2</f>
        <v>0</v>
      </c>
      <c r="L59" s="350" t="n">
        <f aca="false">(M58+L58)*(M57-L57)/2</f>
        <v>0</v>
      </c>
      <c r="M59" s="350" t="n">
        <f aca="false">(N58+M58)*(N57-M57)/2</f>
        <v>0</v>
      </c>
      <c r="N59" s="350" t="n">
        <f aca="false">(O58+N58)*(O57-N57)/2</f>
        <v>0</v>
      </c>
      <c r="O59" s="350" t="n">
        <f aca="false">(P58+O58)*(P57-O57)/2</f>
        <v>0</v>
      </c>
      <c r="P59" s="350" t="n">
        <f aca="false">(Q58+P58)*(Q57-P57)/2</f>
        <v>0</v>
      </c>
      <c r="Q59" s="350" t="n">
        <f aca="false">(R58+Q58)*(R57-Q57)/2</f>
        <v>0</v>
      </c>
      <c r="R59" s="350" t="n">
        <f aca="false">(S58+R58)*(S57-R57)/2</f>
        <v>0</v>
      </c>
      <c r="S59" s="350" t="n">
        <f aca="false">(T58+S58)*(T57-S57)/2</f>
        <v>0</v>
      </c>
      <c r="T59" s="350" t="n">
        <f aca="false">(U58+T58)*(U57-T57)/2</f>
        <v>0</v>
      </c>
      <c r="U59" s="350" t="n">
        <f aca="false">(V58+U58)*(V57-U57)/2</f>
        <v>0</v>
      </c>
      <c r="V59" s="350" t="n">
        <f aca="false">(W58+V58)*(W57-V57)/2</f>
        <v>0</v>
      </c>
      <c r="W59" s="350" t="n">
        <f aca="false">(X58+W58)*(X57-W57)/2</f>
        <v>0</v>
      </c>
      <c r="X59" s="350" t="n">
        <f aca="false">(Y58+X58)*(Y57-X57)/2</f>
        <v>0</v>
      </c>
      <c r="Y59" s="336"/>
    </row>
    <row r="60" customFormat="false" ht="12.75" hidden="false" customHeight="false" outlineLevel="0" collapsed="false">
      <c r="A60" s="337"/>
      <c r="L60" s="337"/>
      <c r="M60" s="337"/>
      <c r="N60" s="337"/>
      <c r="O60" s="337"/>
      <c r="P60" s="337"/>
      <c r="Q60" s="337"/>
      <c r="R60" s="337"/>
      <c r="S60" s="337"/>
      <c r="T60" s="337"/>
      <c r="U60" s="337"/>
      <c r="V60" s="337"/>
      <c r="W60" s="337"/>
      <c r="X60" s="337"/>
      <c r="Y60" s="337"/>
    </row>
    <row r="61" customFormat="false" ht="13.5" hidden="false" customHeight="false" outlineLevel="0" collapsed="false">
      <c r="A61" s="338" t="s">
        <v>237</v>
      </c>
      <c r="B61" s="339" t="n">
        <f aca="false">ROW(A61)</f>
        <v>61</v>
      </c>
      <c r="C61" s="322" t="s">
        <v>213</v>
      </c>
      <c r="D61" s="323" t="n">
        <f aca="false">SUM(B64:Y64)</f>
        <v>25.874</v>
      </c>
      <c r="E61" s="322" t="s">
        <v>214</v>
      </c>
      <c r="F61" s="329" t="n">
        <f aca="false">D61/g/J61</f>
        <v>2.6375127420999</v>
      </c>
      <c r="G61" s="322" t="s">
        <v>215</v>
      </c>
      <c r="H61" s="340" t="n">
        <v>1.1</v>
      </c>
      <c r="I61" s="322" t="s">
        <v>226</v>
      </c>
      <c r="J61" s="325" t="n">
        <f aca="false">H61-L61</f>
        <v>1</v>
      </c>
      <c r="K61" s="322" t="s">
        <v>227</v>
      </c>
      <c r="L61" s="340" t="n">
        <v>0.1</v>
      </c>
      <c r="M61" s="322" t="s">
        <v>218</v>
      </c>
      <c r="N61" s="341" t="n">
        <f aca="false">0.5*R61</f>
        <v>150</v>
      </c>
      <c r="O61" s="322" t="s">
        <v>219</v>
      </c>
      <c r="P61" s="341" t="n">
        <v>150</v>
      </c>
      <c r="Q61" s="322" t="s">
        <v>220</v>
      </c>
      <c r="R61" s="341" t="n">
        <v>300</v>
      </c>
      <c r="S61" s="322" t="s">
        <v>221</v>
      </c>
      <c r="T61" s="341" t="n">
        <v>98</v>
      </c>
      <c r="U61" s="322" t="s">
        <v>8</v>
      </c>
      <c r="V61" s="342" t="s">
        <v>224</v>
      </c>
      <c r="W61" s="337"/>
      <c r="X61" s="337"/>
      <c r="Y61" s="337"/>
    </row>
    <row r="62" customFormat="false" ht="12" hidden="false" customHeight="false" outlineLevel="0" collapsed="false">
      <c r="A62" s="320" t="s">
        <v>228</v>
      </c>
      <c r="B62" s="343" t="n">
        <v>0</v>
      </c>
      <c r="C62" s="344" t="n">
        <v>0.001</v>
      </c>
      <c r="D62" s="344" t="n">
        <v>0.02</v>
      </c>
      <c r="E62" s="344" t="n">
        <v>0.04</v>
      </c>
      <c r="F62" s="344" t="n">
        <v>0.06</v>
      </c>
      <c r="G62" s="344" t="n">
        <v>0.08</v>
      </c>
      <c r="H62" s="344" t="n">
        <v>0.1</v>
      </c>
      <c r="I62" s="344" t="n">
        <v>0.12</v>
      </c>
      <c r="J62" s="344" t="n">
        <v>0.14</v>
      </c>
      <c r="K62" s="344" t="n">
        <v>0.164</v>
      </c>
      <c r="L62" s="344" t="n">
        <v>0.165</v>
      </c>
      <c r="M62" s="344" t="n">
        <v>0.165</v>
      </c>
      <c r="N62" s="344" t="n">
        <v>0.165</v>
      </c>
      <c r="O62" s="344" t="n">
        <v>0.165</v>
      </c>
      <c r="P62" s="344" t="n">
        <v>0.165</v>
      </c>
      <c r="Q62" s="344" t="n">
        <v>0.165</v>
      </c>
      <c r="R62" s="344" t="n">
        <v>0.165</v>
      </c>
      <c r="S62" s="344" t="n">
        <v>0.165</v>
      </c>
      <c r="T62" s="344" t="n">
        <v>0.165</v>
      </c>
      <c r="U62" s="344" t="n">
        <v>0.165</v>
      </c>
      <c r="V62" s="344" t="n">
        <v>0.165</v>
      </c>
      <c r="W62" s="344" t="n">
        <v>0.165</v>
      </c>
      <c r="X62" s="344" t="n">
        <v>0.165</v>
      </c>
      <c r="Y62" s="332" t="n">
        <v>1000</v>
      </c>
    </row>
    <row r="63" customFormat="false" ht="12" hidden="false" customHeight="false" outlineLevel="0" collapsed="false">
      <c r="A63" s="345" t="s">
        <v>229</v>
      </c>
      <c r="B63" s="346" t="n">
        <v>0</v>
      </c>
      <c r="C63" s="347" t="n">
        <v>310</v>
      </c>
      <c r="D63" s="347" t="n">
        <v>245</v>
      </c>
      <c r="E63" s="347" t="n">
        <v>200</v>
      </c>
      <c r="F63" s="347" t="n">
        <v>165</v>
      </c>
      <c r="G63" s="347" t="n">
        <v>143</v>
      </c>
      <c r="H63" s="347" t="n">
        <v>124</v>
      </c>
      <c r="I63" s="347" t="n">
        <v>108</v>
      </c>
      <c r="J63" s="347" t="n">
        <v>97</v>
      </c>
      <c r="K63" s="347" t="n">
        <v>85</v>
      </c>
      <c r="L63" s="347" t="n">
        <v>0</v>
      </c>
      <c r="M63" s="347" t="n">
        <v>0</v>
      </c>
      <c r="N63" s="347" t="n">
        <v>0</v>
      </c>
      <c r="O63" s="347" t="n">
        <v>0</v>
      </c>
      <c r="P63" s="347" t="n">
        <v>0</v>
      </c>
      <c r="Q63" s="347" t="n">
        <v>0</v>
      </c>
      <c r="R63" s="347" t="n">
        <v>0</v>
      </c>
      <c r="S63" s="347" t="n">
        <v>0</v>
      </c>
      <c r="T63" s="347" t="n">
        <v>0</v>
      </c>
      <c r="U63" s="347" t="n">
        <v>0</v>
      </c>
      <c r="V63" s="347" t="n">
        <v>0</v>
      </c>
      <c r="W63" s="347" t="n">
        <v>0</v>
      </c>
      <c r="X63" s="347" t="n">
        <v>0</v>
      </c>
      <c r="Y63" s="348" t="n">
        <v>0</v>
      </c>
    </row>
    <row r="64" customFormat="false" ht="12.75" hidden="false" customHeight="false" outlineLevel="0" collapsed="false">
      <c r="A64" s="333" t="s">
        <v>230</v>
      </c>
      <c r="B64" s="349" t="n">
        <f aca="false">(C63+B63)*(C62-B62)/2</f>
        <v>0.155</v>
      </c>
      <c r="C64" s="350" t="n">
        <f aca="false">(D63+C63)*(D62-C62)/2</f>
        <v>5.2725</v>
      </c>
      <c r="D64" s="350" t="n">
        <f aca="false">(E63+D63)*(E62-D62)/2</f>
        <v>4.45</v>
      </c>
      <c r="E64" s="350" t="n">
        <f aca="false">(F63+E63)*(F62-E62)/2</f>
        <v>3.65</v>
      </c>
      <c r="F64" s="350" t="n">
        <f aca="false">(G63+F63)*(G62-F62)/2</f>
        <v>3.08</v>
      </c>
      <c r="G64" s="350" t="n">
        <f aca="false">(H63+G63)*(H62-G62)/2</f>
        <v>2.67</v>
      </c>
      <c r="H64" s="350" t="n">
        <f aca="false">(I63+H63)*(I62-H62)/2</f>
        <v>2.32</v>
      </c>
      <c r="I64" s="350" t="n">
        <f aca="false">(J63+I63)*(J62-I62)/2</f>
        <v>2.05</v>
      </c>
      <c r="J64" s="350" t="n">
        <f aca="false">(K63+J63)*(K62-J62)/2</f>
        <v>2.184</v>
      </c>
      <c r="K64" s="350" t="n">
        <f aca="false">(L63+K63)*(L62-K62)/2</f>
        <v>0.0425</v>
      </c>
      <c r="L64" s="350" t="n">
        <f aca="false">(M63+L63)*(M62-L62)/2</f>
        <v>0</v>
      </c>
      <c r="M64" s="350" t="n">
        <f aca="false">(N63+M63)*(N62-M62)/2</f>
        <v>0</v>
      </c>
      <c r="N64" s="350" t="n">
        <f aca="false">(O63+N63)*(O62-N62)/2</f>
        <v>0</v>
      </c>
      <c r="O64" s="350" t="n">
        <f aca="false">(P63+O63)*(P62-O62)/2</f>
        <v>0</v>
      </c>
      <c r="P64" s="350" t="n">
        <f aca="false">(Q63+P63)*(Q62-P62)/2</f>
        <v>0</v>
      </c>
      <c r="Q64" s="350" t="n">
        <f aca="false">(R63+Q63)*(R62-Q62)/2</f>
        <v>0</v>
      </c>
      <c r="R64" s="350" t="n">
        <f aca="false">(S63+R63)*(S62-R62)/2</f>
        <v>0</v>
      </c>
      <c r="S64" s="350" t="n">
        <f aca="false">(T63+S63)*(T62-S62)/2</f>
        <v>0</v>
      </c>
      <c r="T64" s="350" t="n">
        <f aca="false">(U63+T63)*(U62-T62)/2</f>
        <v>0</v>
      </c>
      <c r="U64" s="350" t="n">
        <f aca="false">(V63+U63)*(V62-U62)/2</f>
        <v>0</v>
      </c>
      <c r="V64" s="350" t="n">
        <f aca="false">(W63+V63)*(W62-V62)/2</f>
        <v>0</v>
      </c>
      <c r="W64" s="350" t="n">
        <f aca="false">(X63+W63)*(X62-W62)/2</f>
        <v>0</v>
      </c>
      <c r="X64" s="350" t="n">
        <f aca="false">(Y63+X63)*(Y62-X62)/2</f>
        <v>0</v>
      </c>
      <c r="Y64" s="336"/>
    </row>
    <row r="66" customFormat="false" ht="13.5" hidden="false" customHeight="false" outlineLevel="0" collapsed="false">
      <c r="A66" s="171" t="s">
        <v>238</v>
      </c>
    </row>
    <row r="67" customFormat="false" ht="13.5" hidden="false" customHeight="false" outlineLevel="0" collapsed="false">
      <c r="A67" s="338" t="s">
        <v>239</v>
      </c>
      <c r="B67" s="339" t="n">
        <f aca="false">ROW(A67)</f>
        <v>67</v>
      </c>
      <c r="C67" s="322" t="s">
        <v>213</v>
      </c>
      <c r="D67" s="323" t="n">
        <f aca="false">SUM(B70:Y70)</f>
        <v>2.65</v>
      </c>
      <c r="E67" s="322" t="s">
        <v>214</v>
      </c>
      <c r="F67" s="324" t="n">
        <f aca="false">D67/g/J67</f>
        <v>54.026503567788</v>
      </c>
      <c r="G67" s="322" t="s">
        <v>215</v>
      </c>
      <c r="H67" s="340" t="n">
        <v>0.015</v>
      </c>
      <c r="I67" s="322" t="s">
        <v>226</v>
      </c>
      <c r="J67" s="325" t="n">
        <f aca="false">H67-L67</f>
        <v>0.005</v>
      </c>
      <c r="K67" s="322" t="s">
        <v>227</v>
      </c>
      <c r="L67" s="340" t="n">
        <v>0.01</v>
      </c>
      <c r="M67" s="322" t="s">
        <v>218</v>
      </c>
      <c r="N67" s="341" t="n">
        <v>30</v>
      </c>
      <c r="O67" s="322" t="s">
        <v>219</v>
      </c>
      <c r="P67" s="341" t="n">
        <v>30</v>
      </c>
      <c r="Q67" s="322" t="s">
        <v>220</v>
      </c>
      <c r="R67" s="341" t="n">
        <v>70</v>
      </c>
      <c r="S67" s="322" t="s">
        <v>221</v>
      </c>
      <c r="T67" s="341" t="n">
        <v>15</v>
      </c>
      <c r="U67" s="322" t="s">
        <v>8</v>
      </c>
      <c r="V67" s="342" t="s">
        <v>240</v>
      </c>
      <c r="W67" s="328" t="s">
        <v>222</v>
      </c>
      <c r="X67" s="351" t="n">
        <v>0.32</v>
      </c>
      <c r="Y67" s="328" t="s">
        <v>223</v>
      </c>
      <c r="Z67" s="327" t="n">
        <v>3</v>
      </c>
    </row>
    <row r="68" customFormat="false" ht="12" hidden="false" customHeight="false" outlineLevel="0" collapsed="false">
      <c r="A68" s="320" t="s">
        <v>228</v>
      </c>
      <c r="B68" s="343" t="n">
        <v>0</v>
      </c>
      <c r="C68" s="344" t="n">
        <v>0.2</v>
      </c>
      <c r="D68" s="344" t="n">
        <v>0.3</v>
      </c>
      <c r="E68" s="344" t="n">
        <v>0.4</v>
      </c>
      <c r="F68" s="344" t="n">
        <v>0.5</v>
      </c>
      <c r="G68" s="344" t="n">
        <v>0.55</v>
      </c>
      <c r="H68" s="344" t="n">
        <v>0.6</v>
      </c>
      <c r="I68" s="344" t="n">
        <v>0.6</v>
      </c>
      <c r="J68" s="344" t="n">
        <v>0.6</v>
      </c>
      <c r="K68" s="344" t="n">
        <v>0.6</v>
      </c>
      <c r="L68" s="344" t="n">
        <v>0.6</v>
      </c>
      <c r="M68" s="344" t="n">
        <v>0.6</v>
      </c>
      <c r="N68" s="344" t="n">
        <v>0.6</v>
      </c>
      <c r="O68" s="344" t="n">
        <v>0.6</v>
      </c>
      <c r="P68" s="344" t="n">
        <v>0.6</v>
      </c>
      <c r="Q68" s="344" t="n">
        <v>0.6</v>
      </c>
      <c r="R68" s="344" t="n">
        <v>0.6</v>
      </c>
      <c r="S68" s="344" t="n">
        <v>0.6</v>
      </c>
      <c r="T68" s="344" t="n">
        <v>0.6</v>
      </c>
      <c r="U68" s="344" t="n">
        <v>0.6</v>
      </c>
      <c r="V68" s="344" t="n">
        <v>0.6</v>
      </c>
      <c r="W68" s="344" t="n">
        <v>0.6</v>
      </c>
      <c r="X68" s="344" t="n">
        <v>0.6</v>
      </c>
      <c r="Y68" s="332" t="n">
        <v>1000</v>
      </c>
    </row>
    <row r="69" customFormat="false" ht="12" hidden="false" customHeight="false" outlineLevel="0" collapsed="false">
      <c r="A69" s="345" t="s">
        <v>229</v>
      </c>
      <c r="B69" s="346" t="n">
        <v>0</v>
      </c>
      <c r="C69" s="347" t="n">
        <v>9</v>
      </c>
      <c r="D69" s="347" t="n">
        <v>4.5</v>
      </c>
      <c r="E69" s="347" t="n">
        <v>4</v>
      </c>
      <c r="F69" s="347" t="n">
        <v>4</v>
      </c>
      <c r="G69" s="347" t="n">
        <v>3</v>
      </c>
      <c r="H69" s="347" t="n">
        <v>0</v>
      </c>
      <c r="I69" s="347" t="n">
        <v>0</v>
      </c>
      <c r="J69" s="347" t="n">
        <v>0</v>
      </c>
      <c r="K69" s="347" t="n">
        <v>0</v>
      </c>
      <c r="L69" s="347" t="n">
        <v>0</v>
      </c>
      <c r="M69" s="347" t="n">
        <v>0</v>
      </c>
      <c r="N69" s="347" t="n">
        <v>0</v>
      </c>
      <c r="O69" s="347" t="n">
        <v>0</v>
      </c>
      <c r="P69" s="347" t="n">
        <v>0</v>
      </c>
      <c r="Q69" s="347" t="n">
        <v>0</v>
      </c>
      <c r="R69" s="347" t="n">
        <v>0</v>
      </c>
      <c r="S69" s="347" t="n">
        <v>0</v>
      </c>
      <c r="T69" s="347" t="n">
        <v>0</v>
      </c>
      <c r="U69" s="347" t="n">
        <v>0</v>
      </c>
      <c r="V69" s="347" t="n">
        <v>0</v>
      </c>
      <c r="W69" s="347" t="n">
        <v>0</v>
      </c>
      <c r="X69" s="347" t="n">
        <v>0</v>
      </c>
      <c r="Y69" s="348" t="n">
        <v>0</v>
      </c>
    </row>
    <row r="70" customFormat="false" ht="12.75" hidden="false" customHeight="false" outlineLevel="0" collapsed="false">
      <c r="A70" s="333" t="s">
        <v>230</v>
      </c>
      <c r="B70" s="349" t="n">
        <f aca="false">(C69+B69)*(C68-B68)/2</f>
        <v>0.9</v>
      </c>
      <c r="C70" s="350" t="n">
        <f aca="false">(D69+C69)*(D68-C68)/2</f>
        <v>0.675</v>
      </c>
      <c r="D70" s="350" t="n">
        <f aca="false">(E69+D69)*(E68-D68)/2</f>
        <v>0.425</v>
      </c>
      <c r="E70" s="350" t="n">
        <f aca="false">(F69+E69)*(F68-E68)/2</f>
        <v>0.4</v>
      </c>
      <c r="F70" s="350" t="n">
        <f aca="false">(G69+F69)*(G68-F68)/2</f>
        <v>0.175</v>
      </c>
      <c r="G70" s="350" t="n">
        <f aca="false">(H69+G69)*(H68-G68)/2</f>
        <v>0.0749999999999999</v>
      </c>
      <c r="H70" s="350" t="n">
        <f aca="false">(I69+H69)*(I68-H68)/2</f>
        <v>0</v>
      </c>
      <c r="I70" s="350" t="n">
        <f aca="false">(J69+I69)*(J68-I68)/2</f>
        <v>0</v>
      </c>
      <c r="J70" s="350" t="n">
        <f aca="false">(K69+J69)*(K68-J68)/2</f>
        <v>0</v>
      </c>
      <c r="K70" s="350" t="n">
        <f aca="false">(L69+K69)*(L68-K68)/2</f>
        <v>0</v>
      </c>
      <c r="L70" s="350" t="n">
        <f aca="false">(M69+L69)*(M68-L68)/2</f>
        <v>0</v>
      </c>
      <c r="M70" s="350" t="n">
        <f aca="false">(N69+M69)*(N68-M68)/2</f>
        <v>0</v>
      </c>
      <c r="N70" s="350" t="n">
        <f aca="false">(O69+N69)*(O68-N68)/2</f>
        <v>0</v>
      </c>
      <c r="O70" s="350" t="n">
        <f aca="false">(P69+O69)*(P68-O68)/2</f>
        <v>0</v>
      </c>
      <c r="P70" s="350" t="n">
        <f aca="false">(Q69+P69)*(Q68-P68)/2</f>
        <v>0</v>
      </c>
      <c r="Q70" s="350" t="n">
        <f aca="false">(R69+Q69)*(R68-Q68)/2</f>
        <v>0</v>
      </c>
      <c r="R70" s="350" t="n">
        <f aca="false">(S69+R69)*(S68-R68)/2</f>
        <v>0</v>
      </c>
      <c r="S70" s="350" t="n">
        <f aca="false">(T69+S69)*(T68-S68)/2</f>
        <v>0</v>
      </c>
      <c r="T70" s="350" t="n">
        <f aca="false">(U69+T69)*(U68-T68)/2</f>
        <v>0</v>
      </c>
      <c r="U70" s="350" t="n">
        <f aca="false">(V69+U69)*(V68-U68)/2</f>
        <v>0</v>
      </c>
      <c r="V70" s="350" t="n">
        <f aca="false">(W69+V69)*(W68-V68)/2</f>
        <v>0</v>
      </c>
      <c r="W70" s="350" t="n">
        <f aca="false">(X69+W69)*(X68-W68)/2</f>
        <v>0</v>
      </c>
      <c r="X70" s="350" t="n">
        <f aca="false">(Y69+X69)*(Y68-X68)/2</f>
        <v>0</v>
      </c>
      <c r="Y70" s="336"/>
    </row>
    <row r="71" customFormat="false" ht="12.75" hidden="false" customHeight="false" outlineLevel="0" collapsed="false">
      <c r="A71" s="337"/>
      <c r="L71" s="337"/>
      <c r="M71" s="337"/>
      <c r="N71" s="337"/>
      <c r="O71" s="337"/>
      <c r="P71" s="337"/>
      <c r="Q71" s="337"/>
      <c r="R71" s="337"/>
      <c r="S71" s="337"/>
      <c r="T71" s="337"/>
      <c r="U71" s="337"/>
      <c r="V71" s="337"/>
      <c r="W71" s="337"/>
      <c r="X71" s="337"/>
      <c r="Y71" s="337"/>
    </row>
    <row r="72" customFormat="false" ht="13.5" hidden="false" customHeight="false" outlineLevel="0" collapsed="false">
      <c r="A72" s="338" t="s">
        <v>241</v>
      </c>
      <c r="B72" s="339" t="n">
        <f aca="false">ROW(A72)</f>
        <v>72</v>
      </c>
      <c r="C72" s="322" t="s">
        <v>213</v>
      </c>
      <c r="D72" s="323" t="n">
        <f aca="false">SUM(B75:Y75)</f>
        <v>5.25</v>
      </c>
      <c r="E72" s="322" t="s">
        <v>214</v>
      </c>
      <c r="F72" s="324" t="n">
        <f aca="false">D72/g/J72</f>
        <v>89.1946992864424</v>
      </c>
      <c r="G72" s="322" t="s">
        <v>215</v>
      </c>
      <c r="H72" s="340" t="n">
        <v>0.02</v>
      </c>
      <c r="I72" s="322" t="s">
        <v>226</v>
      </c>
      <c r="J72" s="325" t="n">
        <f aca="false">H72-L72</f>
        <v>0.006</v>
      </c>
      <c r="K72" s="322" t="s">
        <v>227</v>
      </c>
      <c r="L72" s="340" t="n">
        <v>0.014</v>
      </c>
      <c r="M72" s="322" t="s">
        <v>218</v>
      </c>
      <c r="N72" s="341" t="n">
        <v>30</v>
      </c>
      <c r="O72" s="322" t="s">
        <v>219</v>
      </c>
      <c r="P72" s="341" t="n">
        <v>30</v>
      </c>
      <c r="Q72" s="322" t="s">
        <v>220</v>
      </c>
      <c r="R72" s="341" t="n">
        <v>70</v>
      </c>
      <c r="S72" s="322" t="s">
        <v>221</v>
      </c>
      <c r="T72" s="341" t="n">
        <v>15</v>
      </c>
      <c r="U72" s="322" t="s">
        <v>8</v>
      </c>
      <c r="V72" s="342" t="s">
        <v>240</v>
      </c>
      <c r="W72" s="328" t="s">
        <v>222</v>
      </c>
      <c r="X72" s="351" t="n">
        <v>1.2</v>
      </c>
      <c r="Y72" s="328" t="s">
        <v>223</v>
      </c>
      <c r="Z72" s="327" t="n">
        <v>4</v>
      </c>
    </row>
    <row r="73" customFormat="false" ht="12" hidden="false" customHeight="false" outlineLevel="0" collapsed="false">
      <c r="A73" s="320" t="s">
        <v>228</v>
      </c>
      <c r="B73" s="343" t="n">
        <v>0</v>
      </c>
      <c r="C73" s="344" t="n">
        <v>0.2</v>
      </c>
      <c r="D73" s="344" t="n">
        <v>0.3</v>
      </c>
      <c r="E73" s="344" t="n">
        <v>0.55</v>
      </c>
      <c r="F73" s="344" t="n">
        <v>1.05</v>
      </c>
      <c r="G73" s="344" t="n">
        <v>1.15</v>
      </c>
      <c r="H73" s="344" t="n">
        <v>1.15</v>
      </c>
      <c r="I73" s="344" t="n">
        <v>1.15</v>
      </c>
      <c r="J73" s="344" t="n">
        <v>1.15</v>
      </c>
      <c r="K73" s="344" t="n">
        <v>1.15</v>
      </c>
      <c r="L73" s="344" t="n">
        <v>1.15</v>
      </c>
      <c r="M73" s="344" t="n">
        <v>1.15</v>
      </c>
      <c r="N73" s="344" t="n">
        <v>1.15</v>
      </c>
      <c r="O73" s="344" t="n">
        <v>1.15</v>
      </c>
      <c r="P73" s="344" t="n">
        <v>1.15</v>
      </c>
      <c r="Q73" s="344" t="n">
        <v>1.15</v>
      </c>
      <c r="R73" s="344" t="n">
        <v>1.15</v>
      </c>
      <c r="S73" s="344" t="n">
        <v>1.15</v>
      </c>
      <c r="T73" s="344" t="n">
        <v>1.15</v>
      </c>
      <c r="U73" s="344" t="n">
        <v>1.15</v>
      </c>
      <c r="V73" s="344" t="n">
        <v>1.15</v>
      </c>
      <c r="W73" s="344" t="n">
        <v>1.15</v>
      </c>
      <c r="X73" s="344" t="n">
        <v>1.15</v>
      </c>
      <c r="Y73" s="332" t="n">
        <v>1000</v>
      </c>
    </row>
    <row r="74" customFormat="false" ht="12" hidden="false" customHeight="false" outlineLevel="0" collapsed="false">
      <c r="A74" s="345" t="s">
        <v>229</v>
      </c>
      <c r="B74" s="346" t="n">
        <v>0</v>
      </c>
      <c r="C74" s="347" t="n">
        <v>10</v>
      </c>
      <c r="D74" s="347" t="n">
        <v>6</v>
      </c>
      <c r="E74" s="347" t="n">
        <v>4</v>
      </c>
      <c r="F74" s="347" t="n">
        <v>4</v>
      </c>
      <c r="G74" s="347" t="n">
        <v>0</v>
      </c>
      <c r="H74" s="347" t="n">
        <v>0</v>
      </c>
      <c r="I74" s="347" t="n">
        <v>0</v>
      </c>
      <c r="J74" s="347" t="n">
        <v>0</v>
      </c>
      <c r="K74" s="347" t="n">
        <v>0</v>
      </c>
      <c r="L74" s="347" t="n">
        <v>0</v>
      </c>
      <c r="M74" s="347" t="n">
        <v>0</v>
      </c>
      <c r="N74" s="347" t="n">
        <v>0</v>
      </c>
      <c r="O74" s="347" t="n">
        <v>0</v>
      </c>
      <c r="P74" s="347" t="n">
        <v>0</v>
      </c>
      <c r="Q74" s="347" t="n">
        <v>0</v>
      </c>
      <c r="R74" s="347" t="n">
        <v>0</v>
      </c>
      <c r="S74" s="347" t="n">
        <v>0</v>
      </c>
      <c r="T74" s="347" t="n">
        <v>0</v>
      </c>
      <c r="U74" s="347" t="n">
        <v>0</v>
      </c>
      <c r="V74" s="347" t="n">
        <v>0</v>
      </c>
      <c r="W74" s="347" t="n">
        <v>0</v>
      </c>
      <c r="X74" s="347" t="n">
        <v>0</v>
      </c>
      <c r="Y74" s="348" t="n">
        <v>0</v>
      </c>
    </row>
    <row r="75" customFormat="false" ht="12.75" hidden="false" customHeight="false" outlineLevel="0" collapsed="false">
      <c r="A75" s="333" t="s">
        <v>230</v>
      </c>
      <c r="B75" s="349" t="n">
        <f aca="false">(C74+B74)*(C73-B73)/2</f>
        <v>1</v>
      </c>
      <c r="C75" s="350" t="n">
        <f aca="false">(D74+C74)*(D73-C73)/2</f>
        <v>0.8</v>
      </c>
      <c r="D75" s="350" t="n">
        <f aca="false">(E74+D74)*(E73-D73)/2</f>
        <v>1.25</v>
      </c>
      <c r="E75" s="350" t="n">
        <f aca="false">(F74+E74)*(F73-E73)/2</f>
        <v>2</v>
      </c>
      <c r="F75" s="350" t="n">
        <f aca="false">(G74+F74)*(G73-F73)/2</f>
        <v>0.2</v>
      </c>
      <c r="G75" s="350" t="n">
        <f aca="false">(H74+G74)*(H73-G73)/2</f>
        <v>0</v>
      </c>
      <c r="H75" s="350" t="n">
        <f aca="false">(I74+H74)*(I73-H73)/2</f>
        <v>0</v>
      </c>
      <c r="I75" s="350" t="n">
        <f aca="false">(J74+I74)*(J73-I73)/2</f>
        <v>0</v>
      </c>
      <c r="J75" s="350" t="n">
        <f aca="false">(K74+J74)*(K73-J73)/2</f>
        <v>0</v>
      </c>
      <c r="K75" s="350" t="n">
        <f aca="false">(L74+K74)*(L73-K73)/2</f>
        <v>0</v>
      </c>
      <c r="L75" s="350" t="n">
        <f aca="false">(M74+L74)*(M73-L73)/2</f>
        <v>0</v>
      </c>
      <c r="M75" s="350" t="n">
        <f aca="false">(N74+M74)*(N73-M73)/2</f>
        <v>0</v>
      </c>
      <c r="N75" s="350" t="n">
        <f aca="false">(O74+N74)*(O73-N73)/2</f>
        <v>0</v>
      </c>
      <c r="O75" s="350" t="n">
        <f aca="false">(P74+O74)*(P73-O73)/2</f>
        <v>0</v>
      </c>
      <c r="P75" s="350" t="n">
        <f aca="false">(Q74+P74)*(Q73-P73)/2</f>
        <v>0</v>
      </c>
      <c r="Q75" s="350" t="n">
        <f aca="false">(R74+Q74)*(R73-Q73)/2</f>
        <v>0</v>
      </c>
      <c r="R75" s="350" t="n">
        <f aca="false">(S74+R74)*(S73-R73)/2</f>
        <v>0</v>
      </c>
      <c r="S75" s="350" t="n">
        <f aca="false">(T74+S74)*(T73-S73)/2</f>
        <v>0</v>
      </c>
      <c r="T75" s="350" t="n">
        <f aca="false">(U74+T74)*(U73-T73)/2</f>
        <v>0</v>
      </c>
      <c r="U75" s="350" t="n">
        <f aca="false">(V74+U74)*(V73-U73)/2</f>
        <v>0</v>
      </c>
      <c r="V75" s="350" t="n">
        <f aca="false">(W74+V74)*(W73-V73)/2</f>
        <v>0</v>
      </c>
      <c r="W75" s="350" t="n">
        <f aca="false">(X74+W74)*(X73-W73)/2</f>
        <v>0</v>
      </c>
      <c r="X75" s="350" t="n">
        <f aca="false">(Y74+X74)*(Y73-X73)/2</f>
        <v>0</v>
      </c>
      <c r="Y75" s="336"/>
    </row>
    <row r="76" customFormat="false" ht="12.75" hidden="false" customHeight="false" outlineLevel="0" collapsed="false">
      <c r="B76" s="337"/>
      <c r="C76" s="337"/>
      <c r="D76" s="337"/>
      <c r="E76" s="337"/>
      <c r="F76" s="337"/>
      <c r="G76" s="337"/>
      <c r="H76" s="337"/>
      <c r="I76" s="337"/>
      <c r="J76" s="337"/>
      <c r="K76" s="337"/>
      <c r="L76" s="337"/>
      <c r="M76" s="337"/>
      <c r="N76" s="337"/>
      <c r="O76" s="337"/>
      <c r="P76" s="337"/>
      <c r="Q76" s="337"/>
      <c r="R76" s="337"/>
      <c r="S76" s="337"/>
      <c r="T76" s="337"/>
      <c r="U76" s="337"/>
      <c r="V76" s="337"/>
      <c r="W76" s="337"/>
      <c r="X76" s="337"/>
      <c r="Y76" s="337"/>
    </row>
    <row r="77" customFormat="false" ht="13.5" hidden="false" customHeight="false" outlineLevel="0" collapsed="false">
      <c r="A77" s="338" t="s">
        <v>242</v>
      </c>
      <c r="B77" s="339" t="n">
        <f aca="false">ROW(A77)</f>
        <v>77</v>
      </c>
      <c r="C77" s="322" t="s">
        <v>213</v>
      </c>
      <c r="D77" s="323" t="n">
        <f aca="false">SUM(B80:Y80)</f>
        <v>10.26</v>
      </c>
      <c r="E77" s="322" t="s">
        <v>214</v>
      </c>
      <c r="F77" s="324" t="n">
        <f aca="false">D77/g/J77</f>
        <v>80.4516584333098</v>
      </c>
      <c r="G77" s="322" t="s">
        <v>215</v>
      </c>
      <c r="H77" s="340" t="n">
        <v>0.024</v>
      </c>
      <c r="I77" s="322" t="s">
        <v>226</v>
      </c>
      <c r="J77" s="325" t="n">
        <f aca="false">H77-L77</f>
        <v>0.013</v>
      </c>
      <c r="K77" s="322" t="s">
        <v>227</v>
      </c>
      <c r="L77" s="340" t="n">
        <v>0.011</v>
      </c>
      <c r="M77" s="322" t="s">
        <v>218</v>
      </c>
      <c r="N77" s="341" t="n">
        <v>30</v>
      </c>
      <c r="O77" s="322" t="s">
        <v>219</v>
      </c>
      <c r="P77" s="341" t="n">
        <v>30</v>
      </c>
      <c r="Q77" s="322" t="s">
        <v>220</v>
      </c>
      <c r="R77" s="341" t="n">
        <v>70</v>
      </c>
      <c r="S77" s="322" t="s">
        <v>221</v>
      </c>
      <c r="T77" s="341" t="n">
        <v>15</v>
      </c>
      <c r="U77" s="322" t="s">
        <v>8</v>
      </c>
      <c r="V77" s="342" t="s">
        <v>240</v>
      </c>
      <c r="W77" s="328" t="s">
        <v>222</v>
      </c>
      <c r="X77" s="351" t="n">
        <v>1.7</v>
      </c>
      <c r="Y77" s="328" t="s">
        <v>223</v>
      </c>
      <c r="Z77" s="327" t="n">
        <v>3</v>
      </c>
    </row>
    <row r="78" customFormat="false" ht="12" hidden="false" customHeight="false" outlineLevel="0" collapsed="false">
      <c r="A78" s="320" t="s">
        <v>228</v>
      </c>
      <c r="B78" s="343" t="n">
        <v>0</v>
      </c>
      <c r="C78" s="344" t="n">
        <v>0.2</v>
      </c>
      <c r="D78" s="344" t="n">
        <v>0.3</v>
      </c>
      <c r="E78" s="344" t="n">
        <v>0.6</v>
      </c>
      <c r="F78" s="344" t="n">
        <v>0.8</v>
      </c>
      <c r="G78" s="344" t="n">
        <v>2</v>
      </c>
      <c r="H78" s="344" t="n">
        <v>2.1</v>
      </c>
      <c r="I78" s="344" t="n">
        <v>2.1</v>
      </c>
      <c r="J78" s="344" t="n">
        <v>2.1</v>
      </c>
      <c r="K78" s="344" t="n">
        <v>2.1</v>
      </c>
      <c r="L78" s="344" t="n">
        <v>2.1</v>
      </c>
      <c r="M78" s="344" t="n">
        <v>2.1</v>
      </c>
      <c r="N78" s="344" t="n">
        <v>2.1</v>
      </c>
      <c r="O78" s="344" t="n">
        <v>2.1</v>
      </c>
      <c r="P78" s="344" t="n">
        <v>2.1</v>
      </c>
      <c r="Q78" s="344" t="n">
        <v>2.1</v>
      </c>
      <c r="R78" s="344" t="n">
        <v>2.1</v>
      </c>
      <c r="S78" s="344" t="n">
        <v>2.1</v>
      </c>
      <c r="T78" s="344" t="n">
        <v>2.1</v>
      </c>
      <c r="U78" s="344" t="n">
        <v>2.1</v>
      </c>
      <c r="V78" s="344" t="n">
        <v>2.1</v>
      </c>
      <c r="W78" s="344" t="n">
        <v>2.1</v>
      </c>
      <c r="X78" s="344" t="n">
        <v>2.1</v>
      </c>
      <c r="Y78" s="332" t="n">
        <v>1000</v>
      </c>
    </row>
    <row r="79" customFormat="false" ht="12" hidden="false" customHeight="false" outlineLevel="0" collapsed="false">
      <c r="A79" s="345" t="s">
        <v>229</v>
      </c>
      <c r="B79" s="346" t="n">
        <v>0</v>
      </c>
      <c r="C79" s="347" t="n">
        <v>11</v>
      </c>
      <c r="D79" s="347" t="n">
        <v>7</v>
      </c>
      <c r="E79" s="347" t="n">
        <v>4</v>
      </c>
      <c r="F79" s="347" t="n">
        <v>4.6</v>
      </c>
      <c r="G79" s="347" t="n">
        <v>4.6</v>
      </c>
      <c r="H79" s="347" t="n">
        <v>0</v>
      </c>
      <c r="I79" s="347" t="n">
        <v>0</v>
      </c>
      <c r="J79" s="347" t="n">
        <v>0</v>
      </c>
      <c r="K79" s="347" t="n">
        <v>0</v>
      </c>
      <c r="L79" s="347" t="n">
        <v>0</v>
      </c>
      <c r="M79" s="347" t="n">
        <v>0</v>
      </c>
      <c r="N79" s="347" t="n">
        <v>0</v>
      </c>
      <c r="O79" s="347" t="n">
        <v>0</v>
      </c>
      <c r="P79" s="347" t="n">
        <v>0</v>
      </c>
      <c r="Q79" s="347" t="n">
        <v>0</v>
      </c>
      <c r="R79" s="347" t="n">
        <v>0</v>
      </c>
      <c r="S79" s="347" t="n">
        <v>0</v>
      </c>
      <c r="T79" s="347" t="n">
        <v>0</v>
      </c>
      <c r="U79" s="347" t="n">
        <v>0</v>
      </c>
      <c r="V79" s="347" t="n">
        <v>0</v>
      </c>
      <c r="W79" s="347" t="n">
        <v>0</v>
      </c>
      <c r="X79" s="347" t="n">
        <v>0</v>
      </c>
      <c r="Y79" s="348" t="n">
        <v>0</v>
      </c>
    </row>
    <row r="80" customFormat="false" ht="12.75" hidden="false" customHeight="false" outlineLevel="0" collapsed="false">
      <c r="A80" s="333" t="s">
        <v>230</v>
      </c>
      <c r="B80" s="349" t="n">
        <f aca="false">(C79+B79)*(C78-B78)/2</f>
        <v>1.1</v>
      </c>
      <c r="C80" s="350" t="n">
        <f aca="false">(D79+C79)*(D78-C78)/2</f>
        <v>0.9</v>
      </c>
      <c r="D80" s="350" t="n">
        <f aca="false">(E79+D79)*(E78-D78)/2</f>
        <v>1.65</v>
      </c>
      <c r="E80" s="350" t="n">
        <f aca="false">(F79+E79)*(F78-E78)/2</f>
        <v>0.86</v>
      </c>
      <c r="F80" s="350" t="n">
        <f aca="false">(G79+F79)*(G78-F78)/2</f>
        <v>5.52</v>
      </c>
      <c r="G80" s="350" t="n">
        <f aca="false">(H79+G79)*(H78-G78)/2</f>
        <v>0.23</v>
      </c>
      <c r="H80" s="350" t="n">
        <f aca="false">(I79+H79)*(I78-H78)/2</f>
        <v>0</v>
      </c>
      <c r="I80" s="350" t="n">
        <f aca="false">(J79+I79)*(J78-I78)/2</f>
        <v>0</v>
      </c>
      <c r="J80" s="350" t="n">
        <f aca="false">(K79+J79)*(K78-J78)/2</f>
        <v>0</v>
      </c>
      <c r="K80" s="350" t="n">
        <f aca="false">(L79+K79)*(L78-K78)/2</f>
        <v>0</v>
      </c>
      <c r="L80" s="350" t="n">
        <f aca="false">(M79+L79)*(M78-L78)/2</f>
        <v>0</v>
      </c>
      <c r="M80" s="350" t="n">
        <f aca="false">(N79+M79)*(N78-M78)/2</f>
        <v>0</v>
      </c>
      <c r="N80" s="350" t="n">
        <f aca="false">(O79+N79)*(O78-N78)/2</f>
        <v>0</v>
      </c>
      <c r="O80" s="350" t="n">
        <f aca="false">(P79+O79)*(P78-O78)/2</f>
        <v>0</v>
      </c>
      <c r="P80" s="350" t="n">
        <f aca="false">(Q79+P79)*(Q78-P78)/2</f>
        <v>0</v>
      </c>
      <c r="Q80" s="350" t="n">
        <f aca="false">(R79+Q79)*(R78-Q78)/2</f>
        <v>0</v>
      </c>
      <c r="R80" s="350" t="n">
        <f aca="false">(S79+R79)*(S78-R78)/2</f>
        <v>0</v>
      </c>
      <c r="S80" s="350" t="n">
        <f aca="false">(T79+S79)*(T78-S78)/2</f>
        <v>0</v>
      </c>
      <c r="T80" s="350" t="n">
        <f aca="false">(U79+T79)*(U78-T78)/2</f>
        <v>0</v>
      </c>
      <c r="U80" s="350" t="n">
        <f aca="false">(V79+U79)*(V78-U78)/2</f>
        <v>0</v>
      </c>
      <c r="V80" s="350" t="n">
        <f aca="false">(W79+V79)*(W78-V78)/2</f>
        <v>0</v>
      </c>
      <c r="W80" s="350" t="n">
        <f aca="false">(X79+W79)*(X78-W78)/2</f>
        <v>0</v>
      </c>
      <c r="X80" s="350" t="n">
        <f aca="false">(Y79+X79)*(Y78-X78)/2</f>
        <v>0</v>
      </c>
      <c r="Y80" s="336"/>
    </row>
    <row r="81" customFormat="false" ht="12.75" hidden="false" customHeight="false" outlineLevel="0" collapsed="false">
      <c r="A81" s="337"/>
      <c r="L81" s="337"/>
      <c r="M81" s="337"/>
      <c r="N81" s="337"/>
      <c r="O81" s="337"/>
      <c r="P81" s="337"/>
      <c r="Q81" s="337"/>
      <c r="R81" s="337"/>
      <c r="S81" s="337"/>
      <c r="T81" s="337"/>
      <c r="U81" s="337"/>
      <c r="V81" s="337"/>
      <c r="W81" s="337"/>
      <c r="X81" s="337"/>
      <c r="Y81" s="337"/>
    </row>
    <row r="82" customFormat="false" ht="13.5" hidden="false" customHeight="false" outlineLevel="0" collapsed="false">
      <c r="A82" s="338" t="s">
        <v>243</v>
      </c>
      <c r="B82" s="339" t="n">
        <f aca="false">ROW(A82)</f>
        <v>82</v>
      </c>
      <c r="C82" s="322" t="s">
        <v>213</v>
      </c>
      <c r="D82" s="323" t="n">
        <f aca="false">SUM(B85:Y85)</f>
        <v>20.52</v>
      </c>
      <c r="E82" s="322" t="s">
        <v>214</v>
      </c>
      <c r="F82" s="324" t="n">
        <f aca="false">D82/g/J82</f>
        <v>80.4516584333098</v>
      </c>
      <c r="G82" s="322" t="s">
        <v>215</v>
      </c>
      <c r="H82" s="340" t="n">
        <f aca="false">H77*2</f>
        <v>0.048</v>
      </c>
      <c r="I82" s="322" t="s">
        <v>226</v>
      </c>
      <c r="J82" s="325" t="n">
        <f aca="false">H82-L82</f>
        <v>0.026</v>
      </c>
      <c r="K82" s="322" t="s">
        <v>227</v>
      </c>
      <c r="L82" s="340" t="n">
        <f aca="false">L77*2</f>
        <v>0.022</v>
      </c>
      <c r="M82" s="322" t="s">
        <v>218</v>
      </c>
      <c r="N82" s="341" t="n">
        <v>30</v>
      </c>
      <c r="O82" s="322" t="s">
        <v>219</v>
      </c>
      <c r="P82" s="341" t="n">
        <v>30</v>
      </c>
      <c r="Q82" s="322" t="s">
        <v>220</v>
      </c>
      <c r="R82" s="341" t="n">
        <v>70</v>
      </c>
      <c r="S82" s="322" t="s">
        <v>221</v>
      </c>
      <c r="T82" s="341" t="n">
        <v>30</v>
      </c>
      <c r="U82" s="322" t="s">
        <v>8</v>
      </c>
      <c r="V82" s="342" t="s">
        <v>240</v>
      </c>
      <c r="W82" s="328" t="s">
        <v>222</v>
      </c>
      <c r="X82" s="351" t="n">
        <v>1.7</v>
      </c>
      <c r="Y82" s="328" t="s">
        <v>223</v>
      </c>
      <c r="Z82" s="327" t="n">
        <v>3</v>
      </c>
    </row>
    <row r="83" customFormat="false" ht="12" hidden="false" customHeight="false" outlineLevel="0" collapsed="false">
      <c r="A83" s="320" t="s">
        <v>228</v>
      </c>
      <c r="B83" s="343" t="n">
        <v>0</v>
      </c>
      <c r="C83" s="344" t="n">
        <v>0.2</v>
      </c>
      <c r="D83" s="344" t="n">
        <v>0.3</v>
      </c>
      <c r="E83" s="344" t="n">
        <v>0.6</v>
      </c>
      <c r="F83" s="344" t="n">
        <v>0.8</v>
      </c>
      <c r="G83" s="344" t="n">
        <v>2</v>
      </c>
      <c r="H83" s="344" t="n">
        <v>2.1</v>
      </c>
      <c r="I83" s="344" t="n">
        <v>2.1</v>
      </c>
      <c r="J83" s="344" t="n">
        <v>2.1</v>
      </c>
      <c r="K83" s="344" t="n">
        <v>2.1</v>
      </c>
      <c r="L83" s="344" t="n">
        <v>2.1</v>
      </c>
      <c r="M83" s="344" t="n">
        <v>2.1</v>
      </c>
      <c r="N83" s="344" t="n">
        <v>2.1</v>
      </c>
      <c r="O83" s="344" t="n">
        <v>2.1</v>
      </c>
      <c r="P83" s="344" t="n">
        <v>2.1</v>
      </c>
      <c r="Q83" s="344" t="n">
        <v>2.1</v>
      </c>
      <c r="R83" s="344" t="n">
        <v>2.1</v>
      </c>
      <c r="S83" s="344" t="n">
        <v>2.1</v>
      </c>
      <c r="T83" s="344" t="n">
        <v>2.1</v>
      </c>
      <c r="U83" s="344" t="n">
        <v>2.1</v>
      </c>
      <c r="V83" s="344" t="n">
        <v>2.1</v>
      </c>
      <c r="W83" s="344" t="n">
        <v>2.1</v>
      </c>
      <c r="X83" s="344" t="n">
        <v>2.1</v>
      </c>
      <c r="Y83" s="332" t="n">
        <v>1000</v>
      </c>
    </row>
    <row r="84" customFormat="false" ht="12" hidden="false" customHeight="false" outlineLevel="0" collapsed="false">
      <c r="A84" s="345" t="s">
        <v>229</v>
      </c>
      <c r="B84" s="346" t="n">
        <f aca="false">B79*2</f>
        <v>0</v>
      </c>
      <c r="C84" s="347" t="n">
        <f aca="false">C79*2</f>
        <v>22</v>
      </c>
      <c r="D84" s="347" t="n">
        <f aca="false">D79*2</f>
        <v>14</v>
      </c>
      <c r="E84" s="347" t="n">
        <f aca="false">E79*2</f>
        <v>8</v>
      </c>
      <c r="F84" s="347" t="n">
        <f aca="false">F79*2</f>
        <v>9.2</v>
      </c>
      <c r="G84" s="347" t="n">
        <f aca="false">G79*2</f>
        <v>9.2</v>
      </c>
      <c r="H84" s="347" t="n">
        <f aca="false">H79*2</f>
        <v>0</v>
      </c>
      <c r="I84" s="347" t="n">
        <f aca="false">I79*2</f>
        <v>0</v>
      </c>
      <c r="J84" s="347" t="n">
        <f aca="false">J79*2</f>
        <v>0</v>
      </c>
      <c r="K84" s="347" t="n">
        <f aca="false">K79*2</f>
        <v>0</v>
      </c>
      <c r="L84" s="347" t="n">
        <f aca="false">L79*2</f>
        <v>0</v>
      </c>
      <c r="M84" s="347" t="n">
        <f aca="false">M79*2</f>
        <v>0</v>
      </c>
      <c r="N84" s="347" t="n">
        <f aca="false">N79*2</f>
        <v>0</v>
      </c>
      <c r="O84" s="347" t="n">
        <f aca="false">O79*2</f>
        <v>0</v>
      </c>
      <c r="P84" s="347" t="n">
        <f aca="false">P79*2</f>
        <v>0</v>
      </c>
      <c r="Q84" s="347" t="n">
        <f aca="false">Q79*2</f>
        <v>0</v>
      </c>
      <c r="R84" s="347" t="n">
        <f aca="false">R79*2</f>
        <v>0</v>
      </c>
      <c r="S84" s="347" t="n">
        <f aca="false">S79*2</f>
        <v>0</v>
      </c>
      <c r="T84" s="347" t="n">
        <f aca="false">T79*2</f>
        <v>0</v>
      </c>
      <c r="U84" s="347" t="n">
        <f aca="false">U79*2</f>
        <v>0</v>
      </c>
      <c r="V84" s="347" t="n">
        <f aca="false">V79*2</f>
        <v>0</v>
      </c>
      <c r="W84" s="347" t="n">
        <f aca="false">W79*2</f>
        <v>0</v>
      </c>
      <c r="X84" s="347" t="n">
        <f aca="false">X79*2</f>
        <v>0</v>
      </c>
      <c r="Y84" s="348" t="n">
        <v>0</v>
      </c>
    </row>
    <row r="85" customFormat="false" ht="12.75" hidden="false" customHeight="false" outlineLevel="0" collapsed="false">
      <c r="A85" s="333" t="s">
        <v>230</v>
      </c>
      <c r="B85" s="349" t="n">
        <f aca="false">(C84+B84)*(C83-B83)/2</f>
        <v>2.2</v>
      </c>
      <c r="C85" s="350" t="n">
        <f aca="false">(D84+C84)*(D83-C83)/2</f>
        <v>1.8</v>
      </c>
      <c r="D85" s="350" t="n">
        <f aca="false">(E84+D84)*(E83-D83)/2</f>
        <v>3.3</v>
      </c>
      <c r="E85" s="350" t="n">
        <f aca="false">(F84+E84)*(F83-E83)/2</f>
        <v>1.72</v>
      </c>
      <c r="F85" s="350" t="n">
        <f aca="false">(G84+F84)*(G83-F83)/2</f>
        <v>11.04</v>
      </c>
      <c r="G85" s="350" t="n">
        <f aca="false">(H84+G84)*(H83-G83)/2</f>
        <v>0.46</v>
      </c>
      <c r="H85" s="350" t="n">
        <f aca="false">(I84+H84)*(I83-H83)/2</f>
        <v>0</v>
      </c>
      <c r="I85" s="350" t="n">
        <f aca="false">(J84+I84)*(J83-I83)/2</f>
        <v>0</v>
      </c>
      <c r="J85" s="350" t="n">
        <f aca="false">(K84+J84)*(K83-J83)/2</f>
        <v>0</v>
      </c>
      <c r="K85" s="350" t="n">
        <f aca="false">(L84+K84)*(L83-K83)/2</f>
        <v>0</v>
      </c>
      <c r="L85" s="350" t="n">
        <f aca="false">(M84+L84)*(M83-L83)/2</f>
        <v>0</v>
      </c>
      <c r="M85" s="350" t="n">
        <f aca="false">(N84+M84)*(N83-M83)/2</f>
        <v>0</v>
      </c>
      <c r="N85" s="350" t="n">
        <f aca="false">(O84+N84)*(O83-N83)/2</f>
        <v>0</v>
      </c>
      <c r="O85" s="350" t="n">
        <f aca="false">(P84+O84)*(P83-O83)/2</f>
        <v>0</v>
      </c>
      <c r="P85" s="350" t="n">
        <f aca="false">(Q84+P84)*(Q83-P83)/2</f>
        <v>0</v>
      </c>
      <c r="Q85" s="350" t="n">
        <f aca="false">(R84+Q84)*(R83-Q83)/2</f>
        <v>0</v>
      </c>
      <c r="R85" s="350" t="n">
        <f aca="false">(S84+R84)*(S83-R83)/2</f>
        <v>0</v>
      </c>
      <c r="S85" s="350" t="n">
        <f aca="false">(T84+S84)*(T83-S83)/2</f>
        <v>0</v>
      </c>
      <c r="T85" s="350" t="n">
        <f aca="false">(U84+T84)*(U83-T83)/2</f>
        <v>0</v>
      </c>
      <c r="U85" s="350" t="n">
        <f aca="false">(V84+U84)*(V83-U83)/2</f>
        <v>0</v>
      </c>
      <c r="V85" s="350" t="n">
        <f aca="false">(W84+V84)*(W83-V83)/2</f>
        <v>0</v>
      </c>
      <c r="W85" s="350" t="n">
        <f aca="false">(X84+W84)*(X83-W83)/2</f>
        <v>0</v>
      </c>
      <c r="X85" s="350" t="n">
        <f aca="false">(Y84+X84)*(Y83-X83)/2</f>
        <v>0</v>
      </c>
      <c r="Y85" s="336"/>
    </row>
    <row r="86" customFormat="false" ht="12.75" hidden="false" customHeight="false" outlineLevel="0" collapsed="false">
      <c r="B86" s="337"/>
      <c r="C86" s="337"/>
      <c r="D86" s="337"/>
      <c r="E86" s="337"/>
      <c r="F86" s="337"/>
      <c r="G86" s="337"/>
      <c r="H86" s="337"/>
      <c r="I86" s="337"/>
      <c r="J86" s="337"/>
      <c r="K86" s="337"/>
      <c r="L86" s="337"/>
      <c r="M86" s="337"/>
      <c r="N86" s="337"/>
      <c r="O86" s="337"/>
      <c r="P86" s="337"/>
      <c r="Q86" s="337"/>
      <c r="R86" s="337"/>
      <c r="S86" s="337"/>
      <c r="T86" s="337"/>
      <c r="U86" s="337"/>
      <c r="V86" s="337"/>
      <c r="W86" s="337"/>
      <c r="X86" s="337"/>
      <c r="Y86" s="337"/>
    </row>
    <row r="87" customFormat="false" ht="13.5" hidden="false" customHeight="false" outlineLevel="0" collapsed="false">
      <c r="A87" s="338" t="s">
        <v>244</v>
      </c>
      <c r="B87" s="339" t="n">
        <f aca="false">ROW(A87)</f>
        <v>87</v>
      </c>
      <c r="C87" s="322" t="s">
        <v>213</v>
      </c>
      <c r="D87" s="323" t="n">
        <f aca="false">SUM(B90:Y90)</f>
        <v>30.78</v>
      </c>
      <c r="E87" s="322" t="s">
        <v>214</v>
      </c>
      <c r="F87" s="324" t="n">
        <f aca="false">D87/g/J87</f>
        <v>80.4516584333098</v>
      </c>
      <c r="G87" s="322" t="s">
        <v>215</v>
      </c>
      <c r="H87" s="340" t="n">
        <f aca="false">H77*3</f>
        <v>0.072</v>
      </c>
      <c r="I87" s="322" t="s">
        <v>226</v>
      </c>
      <c r="J87" s="325" t="n">
        <f aca="false">H87-L87</f>
        <v>0.039</v>
      </c>
      <c r="K87" s="322" t="s">
        <v>227</v>
      </c>
      <c r="L87" s="340" t="n">
        <f aca="false">L77*3</f>
        <v>0.033</v>
      </c>
      <c r="M87" s="322" t="s">
        <v>218</v>
      </c>
      <c r="N87" s="341" t="n">
        <v>30</v>
      </c>
      <c r="O87" s="322" t="s">
        <v>219</v>
      </c>
      <c r="P87" s="341" t="n">
        <v>30</v>
      </c>
      <c r="Q87" s="322" t="s">
        <v>220</v>
      </c>
      <c r="R87" s="341" t="n">
        <v>70</v>
      </c>
      <c r="S87" s="322" t="s">
        <v>221</v>
      </c>
      <c r="T87" s="341" t="n">
        <v>40</v>
      </c>
      <c r="U87" s="322" t="s">
        <v>8</v>
      </c>
      <c r="V87" s="342" t="s">
        <v>240</v>
      </c>
      <c r="W87" s="328" t="s">
        <v>222</v>
      </c>
      <c r="X87" s="351" t="n">
        <v>1.7</v>
      </c>
      <c r="Y87" s="328" t="s">
        <v>223</v>
      </c>
      <c r="Z87" s="327" t="n">
        <v>3</v>
      </c>
    </row>
    <row r="88" customFormat="false" ht="12" hidden="false" customHeight="false" outlineLevel="0" collapsed="false">
      <c r="A88" s="320" t="s">
        <v>228</v>
      </c>
      <c r="B88" s="343" t="n">
        <v>0</v>
      </c>
      <c r="C88" s="344" t="n">
        <v>0.2</v>
      </c>
      <c r="D88" s="344" t="n">
        <v>0.3</v>
      </c>
      <c r="E88" s="344" t="n">
        <v>0.6</v>
      </c>
      <c r="F88" s="344" t="n">
        <v>0.8</v>
      </c>
      <c r="G88" s="344" t="n">
        <v>2</v>
      </c>
      <c r="H88" s="344" t="n">
        <v>2.1</v>
      </c>
      <c r="I88" s="344" t="n">
        <v>2.1</v>
      </c>
      <c r="J88" s="344" t="n">
        <v>2.1</v>
      </c>
      <c r="K88" s="344" t="n">
        <v>2.1</v>
      </c>
      <c r="L88" s="344" t="n">
        <v>2.1</v>
      </c>
      <c r="M88" s="344" t="n">
        <v>2.1</v>
      </c>
      <c r="N88" s="344" t="n">
        <v>2.1</v>
      </c>
      <c r="O88" s="344" t="n">
        <v>2.1</v>
      </c>
      <c r="P88" s="344" t="n">
        <v>2.1</v>
      </c>
      <c r="Q88" s="344" t="n">
        <v>2.1</v>
      </c>
      <c r="R88" s="344" t="n">
        <v>2.1</v>
      </c>
      <c r="S88" s="344" t="n">
        <v>2.1</v>
      </c>
      <c r="T88" s="344" t="n">
        <v>2.1</v>
      </c>
      <c r="U88" s="344" t="n">
        <v>2.1</v>
      </c>
      <c r="V88" s="344" t="n">
        <v>2.1</v>
      </c>
      <c r="W88" s="344" t="n">
        <v>2.1</v>
      </c>
      <c r="X88" s="344" t="n">
        <v>2.1</v>
      </c>
      <c r="Y88" s="332" t="n">
        <v>1000</v>
      </c>
    </row>
    <row r="89" customFormat="false" ht="12" hidden="false" customHeight="false" outlineLevel="0" collapsed="false">
      <c r="A89" s="345" t="s">
        <v>229</v>
      </c>
      <c r="B89" s="346" t="n">
        <f aca="false">B79*3</f>
        <v>0</v>
      </c>
      <c r="C89" s="347" t="n">
        <f aca="false">C79*3</f>
        <v>33</v>
      </c>
      <c r="D89" s="347" t="n">
        <f aca="false">D79*3</f>
        <v>21</v>
      </c>
      <c r="E89" s="347" t="n">
        <f aca="false">E79*3</f>
        <v>12</v>
      </c>
      <c r="F89" s="347" t="n">
        <f aca="false">F79*3</f>
        <v>13.8</v>
      </c>
      <c r="G89" s="347" t="n">
        <f aca="false">G79*3</f>
        <v>13.8</v>
      </c>
      <c r="H89" s="347" t="n">
        <f aca="false">H79*3</f>
        <v>0</v>
      </c>
      <c r="I89" s="347" t="n">
        <f aca="false">I79*3</f>
        <v>0</v>
      </c>
      <c r="J89" s="347" t="n">
        <f aca="false">J79*3</f>
        <v>0</v>
      </c>
      <c r="K89" s="347" t="n">
        <f aca="false">K79*3</f>
        <v>0</v>
      </c>
      <c r="L89" s="347" t="n">
        <f aca="false">L79*3</f>
        <v>0</v>
      </c>
      <c r="M89" s="347" t="n">
        <f aca="false">M79*3</f>
        <v>0</v>
      </c>
      <c r="N89" s="347" t="n">
        <f aca="false">N79*3</f>
        <v>0</v>
      </c>
      <c r="O89" s="347" t="n">
        <f aca="false">O79*3</f>
        <v>0</v>
      </c>
      <c r="P89" s="347" t="n">
        <f aca="false">P79*3</f>
        <v>0</v>
      </c>
      <c r="Q89" s="347" t="n">
        <f aca="false">Q79*3</f>
        <v>0</v>
      </c>
      <c r="R89" s="347" t="n">
        <f aca="false">R79*3</f>
        <v>0</v>
      </c>
      <c r="S89" s="347" t="n">
        <f aca="false">S79*3</f>
        <v>0</v>
      </c>
      <c r="T89" s="347" t="n">
        <f aca="false">T79*3</f>
        <v>0</v>
      </c>
      <c r="U89" s="347" t="n">
        <f aca="false">U79*3</f>
        <v>0</v>
      </c>
      <c r="V89" s="347" t="n">
        <f aca="false">V79*3</f>
        <v>0</v>
      </c>
      <c r="W89" s="347" t="n">
        <f aca="false">W79*3</f>
        <v>0</v>
      </c>
      <c r="X89" s="347" t="n">
        <f aca="false">X79*3</f>
        <v>0</v>
      </c>
      <c r="Y89" s="348" t="n">
        <v>0</v>
      </c>
    </row>
    <row r="90" customFormat="false" ht="12.75" hidden="false" customHeight="false" outlineLevel="0" collapsed="false">
      <c r="A90" s="333" t="s">
        <v>230</v>
      </c>
      <c r="B90" s="349" t="n">
        <f aca="false">(C89+B89)*(C88-B88)/2</f>
        <v>3.3</v>
      </c>
      <c r="C90" s="350" t="n">
        <f aca="false">(D89+C89)*(D88-C88)/2</f>
        <v>2.7</v>
      </c>
      <c r="D90" s="350" t="n">
        <f aca="false">(E89+D89)*(E88-D88)/2</f>
        <v>4.95</v>
      </c>
      <c r="E90" s="350" t="n">
        <f aca="false">(F89+E89)*(F88-E88)/2</f>
        <v>2.58</v>
      </c>
      <c r="F90" s="350" t="n">
        <f aca="false">(G89+F89)*(G88-F88)/2</f>
        <v>16.56</v>
      </c>
      <c r="G90" s="350" t="n">
        <f aca="false">(H89+G89)*(H88-G88)/2</f>
        <v>0.690000000000001</v>
      </c>
      <c r="H90" s="350" t="n">
        <f aca="false">(I89+H89)*(I88-H88)/2</f>
        <v>0</v>
      </c>
      <c r="I90" s="350" t="n">
        <f aca="false">(J89+I89)*(J88-I88)/2</f>
        <v>0</v>
      </c>
      <c r="J90" s="350" t="n">
        <f aca="false">(K89+J89)*(K88-J88)/2</f>
        <v>0</v>
      </c>
      <c r="K90" s="350" t="n">
        <f aca="false">(L89+K89)*(L88-K88)/2</f>
        <v>0</v>
      </c>
      <c r="L90" s="350" t="n">
        <f aca="false">(M89+L89)*(M88-L88)/2</f>
        <v>0</v>
      </c>
      <c r="M90" s="350" t="n">
        <f aca="false">(N89+M89)*(N88-M88)/2</f>
        <v>0</v>
      </c>
      <c r="N90" s="350" t="n">
        <f aca="false">(O89+N89)*(O88-N88)/2</f>
        <v>0</v>
      </c>
      <c r="O90" s="350" t="n">
        <f aca="false">(P89+O89)*(P88-O88)/2</f>
        <v>0</v>
      </c>
      <c r="P90" s="350" t="n">
        <f aca="false">(Q89+P89)*(Q88-P88)/2</f>
        <v>0</v>
      </c>
      <c r="Q90" s="350" t="n">
        <f aca="false">(R89+Q89)*(R88-Q88)/2</f>
        <v>0</v>
      </c>
      <c r="R90" s="350" t="n">
        <f aca="false">(S89+R89)*(S88-R88)/2</f>
        <v>0</v>
      </c>
      <c r="S90" s="350" t="n">
        <f aca="false">(T89+S89)*(T88-S88)/2</f>
        <v>0</v>
      </c>
      <c r="T90" s="350" t="n">
        <f aca="false">(U89+T89)*(U88-T88)/2</f>
        <v>0</v>
      </c>
      <c r="U90" s="350" t="n">
        <f aca="false">(V89+U89)*(V88-U88)/2</f>
        <v>0</v>
      </c>
      <c r="V90" s="350" t="n">
        <f aca="false">(W89+V89)*(W88-V88)/2</f>
        <v>0</v>
      </c>
      <c r="W90" s="350" t="n">
        <f aca="false">(X89+W89)*(X88-W88)/2</f>
        <v>0</v>
      </c>
      <c r="X90" s="350" t="n">
        <f aca="false">(Y89+X89)*(Y88-X88)/2</f>
        <v>0</v>
      </c>
      <c r="Y90" s="336"/>
    </row>
    <row r="91" customFormat="false" ht="12.75" hidden="false" customHeight="false" outlineLevel="0" collapsed="false">
      <c r="B91" s="337"/>
      <c r="C91" s="337"/>
      <c r="D91" s="337"/>
      <c r="E91" s="337"/>
      <c r="F91" s="337"/>
      <c r="G91" s="337"/>
      <c r="H91" s="337"/>
      <c r="I91" s="337"/>
      <c r="J91" s="337"/>
      <c r="K91" s="337"/>
      <c r="L91" s="337"/>
      <c r="M91" s="337"/>
      <c r="N91" s="337"/>
      <c r="O91" s="337"/>
      <c r="P91" s="337"/>
      <c r="Q91" s="337"/>
      <c r="R91" s="337"/>
      <c r="S91" s="337"/>
      <c r="T91" s="337"/>
      <c r="U91" s="337"/>
      <c r="V91" s="337"/>
      <c r="W91" s="337"/>
      <c r="X91" s="337"/>
      <c r="Y91" s="337"/>
    </row>
    <row r="92" customFormat="false" ht="13.5" hidden="false" customHeight="false" outlineLevel="0" collapsed="false">
      <c r="A92" s="338" t="s">
        <v>245</v>
      </c>
      <c r="B92" s="339" t="n">
        <f aca="false">ROW(A92)</f>
        <v>92</v>
      </c>
      <c r="C92" s="322" t="s">
        <v>213</v>
      </c>
      <c r="D92" s="323" t="n">
        <f aca="false">SUM(B95:Y95)</f>
        <v>19.961989</v>
      </c>
      <c r="E92" s="322" t="s">
        <v>214</v>
      </c>
      <c r="F92" s="324" t="n">
        <f aca="false">D92/g/J92</f>
        <v>118.305887442809</v>
      </c>
      <c r="G92" s="322" t="s">
        <v>215</v>
      </c>
      <c r="H92" s="340" t="n">
        <v>0.0282</v>
      </c>
      <c r="I92" s="322" t="s">
        <v>226</v>
      </c>
      <c r="J92" s="325" t="n">
        <f aca="false">H92-L92</f>
        <v>0.0172</v>
      </c>
      <c r="K92" s="322" t="s">
        <v>227</v>
      </c>
      <c r="L92" s="340" t="n">
        <v>0.011</v>
      </c>
      <c r="M92" s="322" t="s">
        <v>218</v>
      </c>
      <c r="N92" s="341" t="n">
        <v>30</v>
      </c>
      <c r="O92" s="322" t="s">
        <v>219</v>
      </c>
      <c r="P92" s="341" t="n">
        <v>30</v>
      </c>
      <c r="Q92" s="322" t="s">
        <v>220</v>
      </c>
      <c r="R92" s="341" t="n">
        <v>70</v>
      </c>
      <c r="S92" s="322" t="s">
        <v>221</v>
      </c>
      <c r="T92" s="341" t="n">
        <v>18</v>
      </c>
      <c r="U92" s="322" t="s">
        <v>8</v>
      </c>
      <c r="V92" s="342" t="s">
        <v>246</v>
      </c>
      <c r="W92" s="328" t="s">
        <v>222</v>
      </c>
      <c r="X92" s="351" t="n">
        <v>2.1</v>
      </c>
      <c r="Y92" s="328" t="s">
        <v>223</v>
      </c>
      <c r="Z92" s="327" t="n">
        <v>7</v>
      </c>
    </row>
    <row r="93" customFormat="false" ht="12" hidden="false" customHeight="false" outlineLevel="0" collapsed="false">
      <c r="A93" s="320" t="s">
        <v>228</v>
      </c>
      <c r="B93" s="343" t="n">
        <v>0</v>
      </c>
      <c r="C93" s="352" t="n">
        <v>0.04</v>
      </c>
      <c r="D93" s="352" t="n">
        <v>0.116</v>
      </c>
      <c r="E93" s="352" t="n">
        <v>0.213</v>
      </c>
      <c r="F93" s="352" t="n">
        <v>0.286</v>
      </c>
      <c r="G93" s="352" t="n">
        <v>0.329</v>
      </c>
      <c r="H93" s="352" t="n">
        <v>0.369</v>
      </c>
      <c r="I93" s="352" t="n">
        <v>0.42</v>
      </c>
      <c r="J93" s="352" t="n">
        <v>0.495</v>
      </c>
      <c r="K93" s="352" t="n">
        <v>0.597</v>
      </c>
      <c r="L93" s="352" t="n">
        <v>1.711</v>
      </c>
      <c r="M93" s="352" t="n">
        <v>1.826</v>
      </c>
      <c r="N93" s="352" t="n">
        <v>1.917</v>
      </c>
      <c r="O93" s="352" t="n">
        <v>1.975</v>
      </c>
      <c r="P93" s="352" t="n">
        <v>2.206</v>
      </c>
      <c r="Q93" s="352" t="n">
        <v>2.242</v>
      </c>
      <c r="R93" s="344" t="n">
        <v>2.5</v>
      </c>
      <c r="S93" s="344" t="n">
        <v>2.5</v>
      </c>
      <c r="T93" s="344" t="n">
        <v>2.5</v>
      </c>
      <c r="U93" s="344" t="n">
        <v>2.5</v>
      </c>
      <c r="V93" s="344" t="n">
        <v>2.5</v>
      </c>
      <c r="W93" s="344" t="n">
        <v>2.5</v>
      </c>
      <c r="X93" s="344" t="n">
        <v>2.5</v>
      </c>
      <c r="Y93" s="332" t="n">
        <v>1000</v>
      </c>
    </row>
    <row r="94" customFormat="false" ht="12" hidden="false" customHeight="false" outlineLevel="0" collapsed="false">
      <c r="A94" s="345" t="s">
        <v>229</v>
      </c>
      <c r="B94" s="346" t="n">
        <v>0</v>
      </c>
      <c r="C94" s="352" t="n">
        <v>2.111</v>
      </c>
      <c r="D94" s="352" t="n">
        <v>9.685</v>
      </c>
      <c r="E94" s="352" t="n">
        <v>25</v>
      </c>
      <c r="F94" s="352" t="n">
        <v>15.738</v>
      </c>
      <c r="G94" s="352" t="n">
        <v>12.472</v>
      </c>
      <c r="H94" s="352" t="n">
        <v>10.67</v>
      </c>
      <c r="I94" s="352" t="n">
        <v>9.713</v>
      </c>
      <c r="J94" s="352" t="n">
        <v>9.178</v>
      </c>
      <c r="K94" s="352" t="n">
        <v>8.896</v>
      </c>
      <c r="L94" s="352" t="n">
        <v>8.925</v>
      </c>
      <c r="M94" s="352" t="n">
        <v>8.699</v>
      </c>
      <c r="N94" s="352" t="n">
        <v>8.052</v>
      </c>
      <c r="O94" s="352" t="n">
        <v>6.954</v>
      </c>
      <c r="P94" s="352" t="n">
        <v>1.07</v>
      </c>
      <c r="Q94" s="352" t="n">
        <v>0</v>
      </c>
      <c r="R94" s="347" t="n">
        <v>0</v>
      </c>
      <c r="S94" s="347" t="n">
        <v>0</v>
      </c>
      <c r="T94" s="347" t="n">
        <v>0</v>
      </c>
      <c r="U94" s="347" t="n">
        <v>0</v>
      </c>
      <c r="V94" s="347" t="n">
        <v>0</v>
      </c>
      <c r="W94" s="347" t="n">
        <v>0</v>
      </c>
      <c r="X94" s="347" t="n">
        <v>0</v>
      </c>
      <c r="Y94" s="348" t="n">
        <v>0</v>
      </c>
    </row>
    <row r="95" customFormat="false" ht="12.75" hidden="false" customHeight="false" outlineLevel="0" collapsed="false">
      <c r="A95" s="333" t="s">
        <v>230</v>
      </c>
      <c r="B95" s="349" t="n">
        <f aca="false">(C94+B94)*(C93-B93)/2</f>
        <v>0.04222</v>
      </c>
      <c r="C95" s="350" t="n">
        <f aca="false">(D94+C94)*(D93-C93)/2</f>
        <v>0.448248</v>
      </c>
      <c r="D95" s="350" t="n">
        <f aca="false">(E94+D94)*(E93-D93)/2</f>
        <v>1.6822225</v>
      </c>
      <c r="E95" s="350" t="n">
        <f aca="false">(F94+E94)*(F93-E93)/2</f>
        <v>1.486937</v>
      </c>
      <c r="F95" s="350" t="n">
        <f aca="false">(G94+F94)*(G93-F93)/2</f>
        <v>0.606515000000001</v>
      </c>
      <c r="G95" s="350" t="n">
        <f aca="false">(H94+G94)*(H93-G93)/2</f>
        <v>0.46284</v>
      </c>
      <c r="H95" s="350" t="n">
        <f aca="false">(I94+H94)*(I93-H93)/2</f>
        <v>0.5197665</v>
      </c>
      <c r="I95" s="350" t="n">
        <f aca="false">(J94+I94)*(J93-I93)/2</f>
        <v>0.7084125</v>
      </c>
      <c r="J95" s="350" t="n">
        <f aca="false">(K94+J94)*(K93-J93)/2</f>
        <v>0.921774</v>
      </c>
      <c r="K95" s="350" t="n">
        <f aca="false">(L94+K94)*(L93-K93)/2</f>
        <v>9.926297</v>
      </c>
      <c r="L95" s="350" t="n">
        <f aca="false">(M94+L94)*(M93-L93)/2</f>
        <v>1.01338</v>
      </c>
      <c r="M95" s="350" t="n">
        <f aca="false">(N94+M94)*(N93-M93)/2</f>
        <v>0.7621705</v>
      </c>
      <c r="N95" s="350" t="n">
        <f aca="false">(O94+N94)*(O93-N93)/2</f>
        <v>0.435174</v>
      </c>
      <c r="O95" s="350" t="n">
        <f aca="false">(P94+O94)*(P93-O93)/2</f>
        <v>0.926771999999999</v>
      </c>
      <c r="P95" s="350" t="n">
        <f aca="false">(Q94+P94)*(Q93-P93)/2</f>
        <v>0.01926</v>
      </c>
      <c r="Q95" s="350" t="n">
        <f aca="false">(R94+Q94)*(R93-Q93)/2</f>
        <v>0</v>
      </c>
      <c r="R95" s="350" t="n">
        <f aca="false">(S94+R94)*(S93-R93)/2</f>
        <v>0</v>
      </c>
      <c r="S95" s="350" t="n">
        <f aca="false">(T94+S94)*(T93-S93)/2</f>
        <v>0</v>
      </c>
      <c r="T95" s="350" t="n">
        <f aca="false">(U94+T94)*(U93-T93)/2</f>
        <v>0</v>
      </c>
      <c r="U95" s="350" t="n">
        <f aca="false">(V94+U94)*(V93-U93)/2</f>
        <v>0</v>
      </c>
      <c r="V95" s="350" t="n">
        <f aca="false">(W94+V94)*(W93-V93)/2</f>
        <v>0</v>
      </c>
      <c r="W95" s="350" t="n">
        <f aca="false">(X94+W94)*(X93-W93)/2</f>
        <v>0</v>
      </c>
      <c r="X95" s="350" t="n">
        <f aca="false">(Y94+X94)*(Y93-X93)/2</f>
        <v>0</v>
      </c>
      <c r="Y95" s="336"/>
    </row>
    <row r="96" customFormat="false" ht="12.75" hidden="false" customHeight="false" outlineLevel="0" collapsed="false">
      <c r="A96" s="337"/>
      <c r="L96" s="337"/>
      <c r="M96" s="337"/>
      <c r="N96" s="337"/>
      <c r="O96" s="337"/>
      <c r="P96" s="337"/>
      <c r="Q96" s="337"/>
      <c r="R96" s="337"/>
      <c r="S96" s="337"/>
      <c r="T96" s="337"/>
      <c r="U96" s="337"/>
      <c r="V96" s="337"/>
      <c r="W96" s="337"/>
      <c r="X96" s="337"/>
      <c r="Y96" s="337"/>
    </row>
    <row r="97" customFormat="false" ht="13.5" hidden="false" customHeight="false" outlineLevel="0" collapsed="false">
      <c r="A97" s="338" t="s">
        <v>247</v>
      </c>
      <c r="B97" s="339" t="n">
        <f aca="false">ROW(A97)</f>
        <v>97</v>
      </c>
      <c r="C97" s="322" t="s">
        <v>213</v>
      </c>
      <c r="D97" s="323" t="n">
        <f aca="false">SUM(B100:Y100)</f>
        <v>39.923978</v>
      </c>
      <c r="E97" s="322" t="s">
        <v>214</v>
      </c>
      <c r="F97" s="324" t="n">
        <f aca="false">D97/g/J97</f>
        <v>118.305887442809</v>
      </c>
      <c r="G97" s="322" t="s">
        <v>215</v>
      </c>
      <c r="H97" s="340" t="n">
        <f aca="false">H92*2</f>
        <v>0.0564</v>
      </c>
      <c r="I97" s="322" t="s">
        <v>226</v>
      </c>
      <c r="J97" s="325" t="n">
        <f aca="false">H97-L97</f>
        <v>0.0344</v>
      </c>
      <c r="K97" s="322" t="s">
        <v>227</v>
      </c>
      <c r="L97" s="340" t="n">
        <f aca="false">L92*2</f>
        <v>0.022</v>
      </c>
      <c r="M97" s="322" t="s">
        <v>218</v>
      </c>
      <c r="N97" s="341" t="n">
        <v>30</v>
      </c>
      <c r="O97" s="322" t="s">
        <v>219</v>
      </c>
      <c r="P97" s="341" t="n">
        <v>30</v>
      </c>
      <c r="Q97" s="322" t="s">
        <v>220</v>
      </c>
      <c r="R97" s="341" t="n">
        <v>70</v>
      </c>
      <c r="S97" s="322" t="s">
        <v>221</v>
      </c>
      <c r="T97" s="341" t="n">
        <v>30</v>
      </c>
      <c r="U97" s="322" t="s">
        <v>8</v>
      </c>
      <c r="V97" s="342" t="s">
        <v>246</v>
      </c>
      <c r="W97" s="328" t="s">
        <v>222</v>
      </c>
      <c r="X97" s="351" t="n">
        <v>2.1</v>
      </c>
      <c r="Y97" s="328" t="s">
        <v>223</v>
      </c>
      <c r="Z97" s="327" t="n">
        <v>7</v>
      </c>
    </row>
    <row r="98" customFormat="false" ht="12" hidden="false" customHeight="false" outlineLevel="0" collapsed="false">
      <c r="A98" s="320" t="s">
        <v>228</v>
      </c>
      <c r="B98" s="343" t="n">
        <v>0</v>
      </c>
      <c r="C98" s="344" t="n">
        <f aca="false">C93</f>
        <v>0.04</v>
      </c>
      <c r="D98" s="344" t="n">
        <f aca="false">D93</f>
        <v>0.116</v>
      </c>
      <c r="E98" s="344" t="n">
        <f aca="false">E93</f>
        <v>0.213</v>
      </c>
      <c r="F98" s="344" t="n">
        <f aca="false">F93</f>
        <v>0.286</v>
      </c>
      <c r="G98" s="344" t="n">
        <f aca="false">G93</f>
        <v>0.329</v>
      </c>
      <c r="H98" s="344" t="n">
        <f aca="false">H93</f>
        <v>0.369</v>
      </c>
      <c r="I98" s="344" t="n">
        <f aca="false">I93</f>
        <v>0.42</v>
      </c>
      <c r="J98" s="344" t="n">
        <f aca="false">J93</f>
        <v>0.495</v>
      </c>
      <c r="K98" s="344" t="n">
        <f aca="false">K93</f>
        <v>0.597</v>
      </c>
      <c r="L98" s="344" t="n">
        <f aca="false">L93</f>
        <v>1.711</v>
      </c>
      <c r="M98" s="344" t="n">
        <f aca="false">M93</f>
        <v>1.826</v>
      </c>
      <c r="N98" s="344" t="n">
        <f aca="false">N93</f>
        <v>1.917</v>
      </c>
      <c r="O98" s="344" t="n">
        <f aca="false">O93</f>
        <v>1.975</v>
      </c>
      <c r="P98" s="344" t="n">
        <f aca="false">P93</f>
        <v>2.206</v>
      </c>
      <c r="Q98" s="344" t="n">
        <f aca="false">Q93</f>
        <v>2.242</v>
      </c>
      <c r="R98" s="344" t="n">
        <f aca="false">R93</f>
        <v>2.5</v>
      </c>
      <c r="S98" s="344" t="n">
        <f aca="false">S93</f>
        <v>2.5</v>
      </c>
      <c r="T98" s="344" t="n">
        <f aca="false">T93</f>
        <v>2.5</v>
      </c>
      <c r="U98" s="344" t="n">
        <f aca="false">U93</f>
        <v>2.5</v>
      </c>
      <c r="V98" s="344" t="n">
        <f aca="false">V93</f>
        <v>2.5</v>
      </c>
      <c r="W98" s="344" t="n">
        <f aca="false">W93</f>
        <v>2.5</v>
      </c>
      <c r="X98" s="344" t="n">
        <f aca="false">X93</f>
        <v>2.5</v>
      </c>
      <c r="Y98" s="332" t="n">
        <v>1000</v>
      </c>
    </row>
    <row r="99" customFormat="false" ht="12" hidden="false" customHeight="false" outlineLevel="0" collapsed="false">
      <c r="A99" s="345" t="s">
        <v>229</v>
      </c>
      <c r="B99" s="346" t="n">
        <f aca="false">B94*2</f>
        <v>0</v>
      </c>
      <c r="C99" s="347" t="n">
        <f aca="false">C94*2</f>
        <v>4.222</v>
      </c>
      <c r="D99" s="347" t="n">
        <f aca="false">D94*2</f>
        <v>19.37</v>
      </c>
      <c r="E99" s="347" t="n">
        <f aca="false">E94*2</f>
        <v>50</v>
      </c>
      <c r="F99" s="347" t="n">
        <f aca="false">F94*2</f>
        <v>31.476</v>
      </c>
      <c r="G99" s="347" t="n">
        <f aca="false">G94*2</f>
        <v>24.944</v>
      </c>
      <c r="H99" s="347" t="n">
        <f aca="false">H94*2</f>
        <v>21.34</v>
      </c>
      <c r="I99" s="347" t="n">
        <f aca="false">I94*2</f>
        <v>19.426</v>
      </c>
      <c r="J99" s="347" t="n">
        <f aca="false">J94*2</f>
        <v>18.356</v>
      </c>
      <c r="K99" s="347" t="n">
        <f aca="false">K94*2</f>
        <v>17.792</v>
      </c>
      <c r="L99" s="347" t="n">
        <f aca="false">L94*2</f>
        <v>17.85</v>
      </c>
      <c r="M99" s="347" t="n">
        <f aca="false">M94*2</f>
        <v>17.398</v>
      </c>
      <c r="N99" s="347" t="n">
        <f aca="false">N94*2</f>
        <v>16.104</v>
      </c>
      <c r="O99" s="347" t="n">
        <f aca="false">O94*2</f>
        <v>13.908</v>
      </c>
      <c r="P99" s="347" t="n">
        <f aca="false">P94*2</f>
        <v>2.14</v>
      </c>
      <c r="Q99" s="347" t="n">
        <f aca="false">Q94*2</f>
        <v>0</v>
      </c>
      <c r="R99" s="347" t="n">
        <f aca="false">R94*2</f>
        <v>0</v>
      </c>
      <c r="S99" s="347" t="n">
        <f aca="false">S94*2</f>
        <v>0</v>
      </c>
      <c r="T99" s="347" t="n">
        <f aca="false">T94*2</f>
        <v>0</v>
      </c>
      <c r="U99" s="347" t="n">
        <f aca="false">U94*2</f>
        <v>0</v>
      </c>
      <c r="V99" s="347" t="n">
        <f aca="false">V94*2</f>
        <v>0</v>
      </c>
      <c r="W99" s="347" t="n">
        <f aca="false">W94*2</f>
        <v>0</v>
      </c>
      <c r="X99" s="347" t="n">
        <f aca="false">X94*2</f>
        <v>0</v>
      </c>
      <c r="Y99" s="348" t="n">
        <v>0</v>
      </c>
    </row>
    <row r="100" customFormat="false" ht="12.75" hidden="false" customHeight="false" outlineLevel="0" collapsed="false">
      <c r="A100" s="333" t="s">
        <v>230</v>
      </c>
      <c r="B100" s="349" t="n">
        <f aca="false">(C99+B99)*(C98-B98)/2</f>
        <v>0.08444</v>
      </c>
      <c r="C100" s="350" t="n">
        <f aca="false">(D99+C99)*(D98-C98)/2</f>
        <v>0.896496</v>
      </c>
      <c r="D100" s="350" t="n">
        <f aca="false">(E99+D99)*(E98-D98)/2</f>
        <v>3.364445</v>
      </c>
      <c r="E100" s="350" t="n">
        <f aca="false">(F99+E99)*(F98-E98)/2</f>
        <v>2.973874</v>
      </c>
      <c r="F100" s="350" t="n">
        <f aca="false">(G99+F99)*(G98-F98)/2</f>
        <v>1.21303</v>
      </c>
      <c r="G100" s="350" t="n">
        <f aca="false">(H99+G99)*(H98-G98)/2</f>
        <v>0.92568</v>
      </c>
      <c r="H100" s="350" t="n">
        <f aca="false">(I99+H99)*(I98-H98)/2</f>
        <v>1.039533</v>
      </c>
      <c r="I100" s="350" t="n">
        <f aca="false">(J99+I99)*(J98-I98)/2</f>
        <v>1.416825</v>
      </c>
      <c r="J100" s="350" t="n">
        <f aca="false">(K99+J99)*(K98-J98)/2</f>
        <v>1.843548</v>
      </c>
      <c r="K100" s="350" t="n">
        <f aca="false">(L99+K99)*(L98-K98)/2</f>
        <v>19.852594</v>
      </c>
      <c r="L100" s="350" t="n">
        <f aca="false">(M99+L99)*(M98-L98)/2</f>
        <v>2.02676</v>
      </c>
      <c r="M100" s="350" t="n">
        <f aca="false">(N99+M99)*(N98-M98)/2</f>
        <v>1.524341</v>
      </c>
      <c r="N100" s="350" t="n">
        <f aca="false">(O99+N99)*(O98-N98)/2</f>
        <v>0.870348000000001</v>
      </c>
      <c r="O100" s="350" t="n">
        <f aca="false">(P99+O99)*(P98-O98)/2</f>
        <v>1.853544</v>
      </c>
      <c r="P100" s="350" t="n">
        <f aca="false">(Q99+P99)*(Q98-P98)/2</f>
        <v>0.03852</v>
      </c>
      <c r="Q100" s="350" t="n">
        <f aca="false">(R99+Q99)*(R98-Q98)/2</f>
        <v>0</v>
      </c>
      <c r="R100" s="350" t="n">
        <f aca="false">(S99+R99)*(S98-R98)/2</f>
        <v>0</v>
      </c>
      <c r="S100" s="350" t="n">
        <f aca="false">(T99+S99)*(T98-S98)/2</f>
        <v>0</v>
      </c>
      <c r="T100" s="350" t="n">
        <f aca="false">(U99+T99)*(U98-T98)/2</f>
        <v>0</v>
      </c>
      <c r="U100" s="350" t="n">
        <f aca="false">(V99+U99)*(V98-U98)/2</f>
        <v>0</v>
      </c>
      <c r="V100" s="350" t="n">
        <f aca="false">(W99+V99)*(W98-V98)/2</f>
        <v>0</v>
      </c>
      <c r="W100" s="350" t="n">
        <f aca="false">(X99+W99)*(X98-W98)/2</f>
        <v>0</v>
      </c>
      <c r="X100" s="350" t="n">
        <f aca="false">(Y99+X99)*(Y98-X98)/2</f>
        <v>0</v>
      </c>
      <c r="Y100" s="336"/>
    </row>
    <row r="101" customFormat="false" ht="12.75" hidden="false" customHeight="false" outlineLevel="0" collapsed="false">
      <c r="B101" s="337"/>
      <c r="C101" s="337"/>
      <c r="D101" s="337"/>
      <c r="E101" s="337"/>
      <c r="F101" s="337"/>
      <c r="G101" s="337"/>
      <c r="H101" s="337"/>
      <c r="I101" s="337"/>
      <c r="J101" s="337"/>
      <c r="K101" s="337"/>
      <c r="L101" s="337"/>
      <c r="M101" s="337"/>
      <c r="N101" s="337"/>
      <c r="O101" s="337"/>
      <c r="P101" s="337"/>
      <c r="Q101" s="337"/>
      <c r="R101" s="337"/>
      <c r="S101" s="337"/>
      <c r="T101" s="337"/>
      <c r="U101" s="337"/>
      <c r="V101" s="337"/>
      <c r="W101" s="337"/>
      <c r="X101" s="337"/>
      <c r="Y101" s="337"/>
    </row>
    <row r="102" customFormat="false" ht="13.5" hidden="false" customHeight="false" outlineLevel="0" collapsed="false">
      <c r="A102" s="338" t="s">
        <v>248</v>
      </c>
      <c r="B102" s="339" t="n">
        <f aca="false">ROW(A102)</f>
        <v>102</v>
      </c>
      <c r="C102" s="322" t="s">
        <v>213</v>
      </c>
      <c r="D102" s="323" t="n">
        <f aca="false">SUM(B105:Y105)</f>
        <v>59.885967</v>
      </c>
      <c r="E102" s="322" t="s">
        <v>214</v>
      </c>
      <c r="F102" s="324" t="n">
        <f aca="false">D102/g/J102</f>
        <v>118.305887442809</v>
      </c>
      <c r="G102" s="322" t="s">
        <v>215</v>
      </c>
      <c r="H102" s="340" t="n">
        <f aca="false">H92*3</f>
        <v>0.0846</v>
      </c>
      <c r="I102" s="322" t="s">
        <v>226</v>
      </c>
      <c r="J102" s="325" t="n">
        <f aca="false">H102-L102</f>
        <v>0.0516</v>
      </c>
      <c r="K102" s="322" t="s">
        <v>227</v>
      </c>
      <c r="L102" s="340" t="n">
        <f aca="false">L92*3</f>
        <v>0.033</v>
      </c>
      <c r="M102" s="322" t="s">
        <v>218</v>
      </c>
      <c r="N102" s="341" t="n">
        <v>30</v>
      </c>
      <c r="O102" s="322" t="s">
        <v>219</v>
      </c>
      <c r="P102" s="341" t="n">
        <v>30</v>
      </c>
      <c r="Q102" s="322" t="s">
        <v>220</v>
      </c>
      <c r="R102" s="341" t="n">
        <v>70</v>
      </c>
      <c r="S102" s="322" t="s">
        <v>221</v>
      </c>
      <c r="T102" s="341" t="n">
        <v>40</v>
      </c>
      <c r="U102" s="322" t="s">
        <v>8</v>
      </c>
      <c r="V102" s="342" t="s">
        <v>246</v>
      </c>
      <c r="W102" s="328" t="s">
        <v>222</v>
      </c>
      <c r="X102" s="351" t="n">
        <v>2.1</v>
      </c>
      <c r="Y102" s="328" t="s">
        <v>223</v>
      </c>
      <c r="Z102" s="327" t="n">
        <v>7</v>
      </c>
    </row>
    <row r="103" customFormat="false" ht="12" hidden="false" customHeight="false" outlineLevel="0" collapsed="false">
      <c r="A103" s="320" t="s">
        <v>228</v>
      </c>
      <c r="B103" s="343" t="n">
        <v>0</v>
      </c>
      <c r="C103" s="344" t="n">
        <f aca="false">C93</f>
        <v>0.04</v>
      </c>
      <c r="D103" s="344" t="n">
        <f aca="false">D93</f>
        <v>0.116</v>
      </c>
      <c r="E103" s="344" t="n">
        <f aca="false">E93</f>
        <v>0.213</v>
      </c>
      <c r="F103" s="344" t="n">
        <f aca="false">F93</f>
        <v>0.286</v>
      </c>
      <c r="G103" s="344" t="n">
        <f aca="false">G93</f>
        <v>0.329</v>
      </c>
      <c r="H103" s="344" t="n">
        <f aca="false">H93</f>
        <v>0.369</v>
      </c>
      <c r="I103" s="344" t="n">
        <f aca="false">I93</f>
        <v>0.42</v>
      </c>
      <c r="J103" s="344" t="n">
        <f aca="false">J93</f>
        <v>0.495</v>
      </c>
      <c r="K103" s="344" t="n">
        <f aca="false">K93</f>
        <v>0.597</v>
      </c>
      <c r="L103" s="344" t="n">
        <f aca="false">L93</f>
        <v>1.711</v>
      </c>
      <c r="M103" s="344" t="n">
        <f aca="false">M93</f>
        <v>1.826</v>
      </c>
      <c r="N103" s="344" t="n">
        <f aca="false">N93</f>
        <v>1.917</v>
      </c>
      <c r="O103" s="344" t="n">
        <f aca="false">O93</f>
        <v>1.975</v>
      </c>
      <c r="P103" s="344" t="n">
        <f aca="false">P93</f>
        <v>2.206</v>
      </c>
      <c r="Q103" s="344" t="n">
        <f aca="false">Q93</f>
        <v>2.242</v>
      </c>
      <c r="R103" s="344" t="n">
        <f aca="false">R93</f>
        <v>2.5</v>
      </c>
      <c r="S103" s="344" t="n">
        <f aca="false">S93</f>
        <v>2.5</v>
      </c>
      <c r="T103" s="344" t="n">
        <f aca="false">T93</f>
        <v>2.5</v>
      </c>
      <c r="U103" s="344" t="n">
        <f aca="false">U93</f>
        <v>2.5</v>
      </c>
      <c r="V103" s="344" t="n">
        <f aca="false">V93</f>
        <v>2.5</v>
      </c>
      <c r="W103" s="344" t="n">
        <f aca="false">W93</f>
        <v>2.5</v>
      </c>
      <c r="X103" s="344" t="n">
        <f aca="false">X93</f>
        <v>2.5</v>
      </c>
      <c r="Y103" s="332" t="n">
        <v>1000</v>
      </c>
    </row>
    <row r="104" customFormat="false" ht="12" hidden="false" customHeight="false" outlineLevel="0" collapsed="false">
      <c r="A104" s="345" t="s">
        <v>229</v>
      </c>
      <c r="B104" s="346" t="n">
        <f aca="false">B94*3</f>
        <v>0</v>
      </c>
      <c r="C104" s="347" t="n">
        <f aca="false">C94*3</f>
        <v>6.333</v>
      </c>
      <c r="D104" s="347" t="n">
        <f aca="false">D94*3</f>
        <v>29.055</v>
      </c>
      <c r="E104" s="347" t="n">
        <f aca="false">E94*3</f>
        <v>75</v>
      </c>
      <c r="F104" s="347" t="n">
        <f aca="false">F94*3</f>
        <v>47.214</v>
      </c>
      <c r="G104" s="347" t="n">
        <f aca="false">G94*3</f>
        <v>37.416</v>
      </c>
      <c r="H104" s="347" t="n">
        <f aca="false">H94*3</f>
        <v>32.01</v>
      </c>
      <c r="I104" s="347" t="n">
        <f aca="false">I94*3</f>
        <v>29.139</v>
      </c>
      <c r="J104" s="347" t="n">
        <f aca="false">J94*3</f>
        <v>27.534</v>
      </c>
      <c r="K104" s="347" t="n">
        <f aca="false">K94*3</f>
        <v>26.688</v>
      </c>
      <c r="L104" s="347" t="n">
        <f aca="false">L94*3</f>
        <v>26.775</v>
      </c>
      <c r="M104" s="347" t="n">
        <f aca="false">M94*3</f>
        <v>26.097</v>
      </c>
      <c r="N104" s="347" t="n">
        <f aca="false">N94*3</f>
        <v>24.156</v>
      </c>
      <c r="O104" s="347" t="n">
        <f aca="false">O94*3</f>
        <v>20.862</v>
      </c>
      <c r="P104" s="347" t="n">
        <f aca="false">P94*3</f>
        <v>3.21</v>
      </c>
      <c r="Q104" s="347" t="n">
        <f aca="false">Q94*3</f>
        <v>0</v>
      </c>
      <c r="R104" s="347" t="n">
        <f aca="false">R94*3</f>
        <v>0</v>
      </c>
      <c r="S104" s="347" t="n">
        <f aca="false">S94*3</f>
        <v>0</v>
      </c>
      <c r="T104" s="347" t="n">
        <f aca="false">T94*3</f>
        <v>0</v>
      </c>
      <c r="U104" s="347" t="n">
        <f aca="false">U94*3</f>
        <v>0</v>
      </c>
      <c r="V104" s="347" t="n">
        <f aca="false">V94*3</f>
        <v>0</v>
      </c>
      <c r="W104" s="347" t="n">
        <f aca="false">W94*3</f>
        <v>0</v>
      </c>
      <c r="X104" s="347" t="n">
        <f aca="false">X94*3</f>
        <v>0</v>
      </c>
      <c r="Y104" s="348" t="n">
        <v>0</v>
      </c>
    </row>
    <row r="105" customFormat="false" ht="12.75" hidden="false" customHeight="false" outlineLevel="0" collapsed="false">
      <c r="A105" s="333" t="s">
        <v>230</v>
      </c>
      <c r="B105" s="349" t="n">
        <f aca="false">(C104+B104)*(C103-B103)/2</f>
        <v>0.12666</v>
      </c>
      <c r="C105" s="350" t="n">
        <f aca="false">(D104+C104)*(D103-C103)/2</f>
        <v>1.344744</v>
      </c>
      <c r="D105" s="350" t="n">
        <f aca="false">(E104+D104)*(E103-D103)/2</f>
        <v>5.0466675</v>
      </c>
      <c r="E105" s="350" t="n">
        <f aca="false">(F104+E104)*(F103-E103)/2</f>
        <v>4.460811</v>
      </c>
      <c r="F105" s="350" t="n">
        <f aca="false">(G104+F104)*(G103-F103)/2</f>
        <v>1.819545</v>
      </c>
      <c r="G105" s="350" t="n">
        <f aca="false">(H104+G104)*(H103-G103)/2</f>
        <v>1.38852</v>
      </c>
      <c r="H105" s="350" t="n">
        <f aca="false">(I104+H104)*(I103-H103)/2</f>
        <v>1.5592995</v>
      </c>
      <c r="I105" s="350" t="n">
        <f aca="false">(J104+I104)*(J103-I103)/2</f>
        <v>2.1252375</v>
      </c>
      <c r="J105" s="350" t="n">
        <f aca="false">(K104+J104)*(K103-J103)/2</f>
        <v>2.765322</v>
      </c>
      <c r="K105" s="350" t="n">
        <f aca="false">(L104+K104)*(L103-K103)/2</f>
        <v>29.778891</v>
      </c>
      <c r="L105" s="350" t="n">
        <f aca="false">(M104+L104)*(M103-L103)/2</f>
        <v>3.04014</v>
      </c>
      <c r="M105" s="350" t="n">
        <f aca="false">(N104+M104)*(N103-M103)/2</f>
        <v>2.2865115</v>
      </c>
      <c r="N105" s="350" t="n">
        <f aca="false">(O104+N104)*(O103-N103)/2</f>
        <v>1.305522</v>
      </c>
      <c r="O105" s="350" t="n">
        <f aca="false">(P104+O104)*(P103-O103)/2</f>
        <v>2.780316</v>
      </c>
      <c r="P105" s="350" t="n">
        <f aca="false">(Q104+P104)*(Q103-P103)/2</f>
        <v>0.0577800000000001</v>
      </c>
      <c r="Q105" s="350" t="n">
        <f aca="false">(R104+Q104)*(R103-Q103)/2</f>
        <v>0</v>
      </c>
      <c r="R105" s="350" t="n">
        <f aca="false">(S104+R104)*(S103-R103)/2</f>
        <v>0</v>
      </c>
      <c r="S105" s="350" t="n">
        <f aca="false">(T104+S104)*(T103-S103)/2</f>
        <v>0</v>
      </c>
      <c r="T105" s="350" t="n">
        <f aca="false">(U104+T104)*(U103-T103)/2</f>
        <v>0</v>
      </c>
      <c r="U105" s="350" t="n">
        <f aca="false">(V104+U104)*(V103-U103)/2</f>
        <v>0</v>
      </c>
      <c r="V105" s="350" t="n">
        <f aca="false">(W104+V104)*(W103-V103)/2</f>
        <v>0</v>
      </c>
      <c r="W105" s="350" t="n">
        <f aca="false">(X104+W104)*(X103-W103)/2</f>
        <v>0</v>
      </c>
      <c r="X105" s="350" t="n">
        <f aca="false">(Y104+X104)*(Y103-X103)/2</f>
        <v>0</v>
      </c>
      <c r="Y105" s="336"/>
    </row>
    <row r="107" customFormat="false" ht="13.5" hidden="false" customHeight="false" outlineLevel="0" collapsed="false">
      <c r="A107" s="171" t="s">
        <v>249</v>
      </c>
    </row>
    <row r="108" customFormat="false" ht="13.5" hidden="false" customHeight="false" outlineLevel="0" collapsed="false">
      <c r="A108" s="338" t="s">
        <v>250</v>
      </c>
      <c r="B108" s="339" t="n">
        <f aca="false">ROW(A108)</f>
        <v>108</v>
      </c>
      <c r="C108" s="322" t="s">
        <v>213</v>
      </c>
      <c r="D108" s="323" t="n">
        <f aca="false">SUM(B111:Y111)</f>
        <v>24.269519</v>
      </c>
      <c r="E108" s="322" t="s">
        <v>214</v>
      </c>
      <c r="F108" s="324" t="n">
        <f aca="false">D108/g/J108</f>
        <v>154.622317787971</v>
      </c>
      <c r="G108" s="322" t="s">
        <v>215</v>
      </c>
      <c r="H108" s="340" t="n">
        <v>0.052</v>
      </c>
      <c r="I108" s="322" t="s">
        <v>226</v>
      </c>
      <c r="J108" s="325" t="n">
        <f aca="false">H108-L108</f>
        <v>0.016</v>
      </c>
      <c r="K108" s="322" t="s">
        <v>227</v>
      </c>
      <c r="L108" s="340" t="n">
        <v>0.036</v>
      </c>
      <c r="M108" s="322" t="s">
        <v>218</v>
      </c>
      <c r="N108" s="353" t="n">
        <v>35</v>
      </c>
      <c r="O108" s="322" t="s">
        <v>219</v>
      </c>
      <c r="P108" s="353" t="n">
        <v>35</v>
      </c>
      <c r="Q108" s="322" t="s">
        <v>220</v>
      </c>
      <c r="R108" s="341" t="n">
        <v>69</v>
      </c>
      <c r="S108" s="322" t="s">
        <v>221</v>
      </c>
      <c r="T108" s="341" t="n">
        <v>24</v>
      </c>
      <c r="U108" s="322" t="s">
        <v>8</v>
      </c>
      <c r="V108" s="342" t="s">
        <v>251</v>
      </c>
      <c r="W108" s="328" t="s">
        <v>222</v>
      </c>
      <c r="X108" s="351" t="n">
        <v>1</v>
      </c>
      <c r="Y108" s="328" t="s">
        <v>223</v>
      </c>
      <c r="Z108" s="327" t="n">
        <v>13</v>
      </c>
    </row>
    <row r="109" customFormat="false" ht="12" hidden="false" customHeight="false" outlineLevel="0" collapsed="false">
      <c r="A109" s="320" t="s">
        <v>228</v>
      </c>
      <c r="B109" s="343" t="n">
        <v>0</v>
      </c>
      <c r="C109" s="344" t="n">
        <v>0.008</v>
      </c>
      <c r="D109" s="344" t="n">
        <v>0.026</v>
      </c>
      <c r="E109" s="344" t="n">
        <v>0.038</v>
      </c>
      <c r="F109" s="344" t="n">
        <v>0.067</v>
      </c>
      <c r="G109" s="344" t="n">
        <v>0.101</v>
      </c>
      <c r="H109" s="344" t="n">
        <v>0.33</v>
      </c>
      <c r="I109" s="344" t="n">
        <v>0.528</v>
      </c>
      <c r="J109" s="344" t="n">
        <v>0.716</v>
      </c>
      <c r="K109" s="344" t="n">
        <v>0.841</v>
      </c>
      <c r="L109" s="344" t="n">
        <v>0.912</v>
      </c>
      <c r="M109" s="344" t="n">
        <v>0.987</v>
      </c>
      <c r="N109" s="344" t="n">
        <v>1.016</v>
      </c>
      <c r="O109" s="344" t="n">
        <v>1.065</v>
      </c>
      <c r="P109" s="344" t="n">
        <v>1.087</v>
      </c>
      <c r="Q109" s="344" t="n">
        <v>2</v>
      </c>
      <c r="R109" s="344" t="n">
        <v>2</v>
      </c>
      <c r="S109" s="344" t="n">
        <v>2</v>
      </c>
      <c r="T109" s="344" t="n">
        <v>2</v>
      </c>
      <c r="U109" s="344" t="n">
        <v>2</v>
      </c>
      <c r="V109" s="344" t="n">
        <v>2</v>
      </c>
      <c r="W109" s="344" t="n">
        <v>2</v>
      </c>
      <c r="X109" s="344" t="n">
        <v>2</v>
      </c>
      <c r="Y109" s="332" t="n">
        <v>1000</v>
      </c>
    </row>
    <row r="110" customFormat="false" ht="12" hidden="false" customHeight="false" outlineLevel="0" collapsed="false">
      <c r="A110" s="345" t="s">
        <v>229</v>
      </c>
      <c r="B110" s="346" t="n">
        <v>0</v>
      </c>
      <c r="C110" s="347" t="n">
        <v>18.292</v>
      </c>
      <c r="D110" s="347" t="n">
        <v>30</v>
      </c>
      <c r="E110" s="347" t="n">
        <v>30.792</v>
      </c>
      <c r="F110" s="347" t="n">
        <v>18.708</v>
      </c>
      <c r="G110" s="347" t="n">
        <v>21.875</v>
      </c>
      <c r="H110" s="347" t="n">
        <v>26.083</v>
      </c>
      <c r="I110" s="347" t="n">
        <v>28.042</v>
      </c>
      <c r="J110" s="347" t="n">
        <v>27.875</v>
      </c>
      <c r="K110" s="347" t="n">
        <v>23.542</v>
      </c>
      <c r="L110" s="347" t="n">
        <v>17.833</v>
      </c>
      <c r="M110" s="347" t="n">
        <v>7</v>
      </c>
      <c r="N110" s="347" t="n">
        <v>3.333</v>
      </c>
      <c r="O110" s="347" t="n">
        <v>1.083</v>
      </c>
      <c r="P110" s="347" t="n">
        <v>0</v>
      </c>
      <c r="Q110" s="347" t="n">
        <v>0</v>
      </c>
      <c r="R110" s="347" t="n">
        <v>0</v>
      </c>
      <c r="S110" s="347" t="n">
        <v>0</v>
      </c>
      <c r="T110" s="347" t="n">
        <f aca="false">S110</f>
        <v>0</v>
      </c>
      <c r="U110" s="347" t="n">
        <f aca="false">T110</f>
        <v>0</v>
      </c>
      <c r="V110" s="347" t="n">
        <f aca="false">U110</f>
        <v>0</v>
      </c>
      <c r="W110" s="347" t="n">
        <f aca="false">V110</f>
        <v>0</v>
      </c>
      <c r="X110" s="347" t="n">
        <f aca="false">W110</f>
        <v>0</v>
      </c>
      <c r="Y110" s="348" t="n">
        <v>0</v>
      </c>
    </row>
    <row r="111" customFormat="false" ht="12.75" hidden="false" customHeight="false" outlineLevel="0" collapsed="false">
      <c r="A111" s="333" t="s">
        <v>230</v>
      </c>
      <c r="B111" s="349" t="n">
        <f aca="false">(C110+B110)*(C109-B109)/2</f>
        <v>0.073168</v>
      </c>
      <c r="C111" s="350" t="n">
        <f aca="false">(D110+C110)*(D109-C109)/2</f>
        <v>0.434628</v>
      </c>
      <c r="D111" s="350" t="n">
        <f aca="false">(E110+D110)*(E109-D109)/2</f>
        <v>0.364752</v>
      </c>
      <c r="E111" s="350" t="n">
        <f aca="false">(F110+E110)*(F109-E109)/2</f>
        <v>0.71775</v>
      </c>
      <c r="F111" s="350" t="n">
        <f aca="false">(G110+F110)*(G109-F109)/2</f>
        <v>0.689911</v>
      </c>
      <c r="G111" s="350" t="n">
        <f aca="false">(H110+G110)*(H109-G109)/2</f>
        <v>5.491191</v>
      </c>
      <c r="H111" s="350" t="n">
        <f aca="false">(I110+H110)*(I109-H109)/2</f>
        <v>5.358375</v>
      </c>
      <c r="I111" s="350" t="n">
        <f aca="false">(J110+I110)*(J109-I109)/2</f>
        <v>5.256198</v>
      </c>
      <c r="J111" s="350" t="n">
        <f aca="false">(K110+J110)*(K109-J109)/2</f>
        <v>3.2135625</v>
      </c>
      <c r="K111" s="350" t="n">
        <f aca="false">(L110+K110)*(L109-K109)/2</f>
        <v>1.4688125</v>
      </c>
      <c r="L111" s="350" t="n">
        <f aca="false">(M110+L110)*(M109-L109)/2</f>
        <v>0.931237499999999</v>
      </c>
      <c r="M111" s="350" t="n">
        <f aca="false">(N110+M110)*(N109-M109)/2</f>
        <v>0.1498285</v>
      </c>
      <c r="N111" s="350" t="n">
        <f aca="false">(O110+N110)*(O109-N109)/2</f>
        <v>0.108192</v>
      </c>
      <c r="O111" s="350" t="n">
        <f aca="false">(P110+O110)*(P109-O109)/2</f>
        <v>0.011913</v>
      </c>
      <c r="P111" s="350" t="n">
        <f aca="false">(Q110+P110)*(Q109-P109)/2</f>
        <v>0</v>
      </c>
      <c r="Q111" s="350" t="n">
        <f aca="false">(R110+Q110)*(R109-Q109)/2</f>
        <v>0</v>
      </c>
      <c r="R111" s="350" t="n">
        <f aca="false">(S110+R110)*(S109-R109)/2</f>
        <v>0</v>
      </c>
      <c r="S111" s="350" t="n">
        <f aca="false">(T110+S110)*(T109-S109)/2</f>
        <v>0</v>
      </c>
      <c r="T111" s="350" t="n">
        <f aca="false">(U110+T110)*(U109-T109)/2</f>
        <v>0</v>
      </c>
      <c r="U111" s="350" t="n">
        <f aca="false">(V110+U110)*(V109-U109)/2</f>
        <v>0</v>
      </c>
      <c r="V111" s="350" t="n">
        <f aca="false">(W110+V110)*(W109-V109)/2</f>
        <v>0</v>
      </c>
      <c r="W111" s="350" t="n">
        <f aca="false">(X110+W110)*(X109-W109)/2</f>
        <v>0</v>
      </c>
      <c r="X111" s="350" t="n">
        <f aca="false">(Y110+X110)*(Y109-X109)/2</f>
        <v>0</v>
      </c>
      <c r="Y111" s="336"/>
    </row>
    <row r="112" customFormat="false" ht="12.75" hidden="false" customHeight="false" outlineLevel="0" collapsed="false"/>
    <row r="113" customFormat="false" ht="13.5" hidden="false" customHeight="false" outlineLevel="0" collapsed="false">
      <c r="A113" s="338" t="s">
        <v>252</v>
      </c>
      <c r="B113" s="339" t="n">
        <f aca="false">ROW(A113)</f>
        <v>113</v>
      </c>
      <c r="C113" s="322" t="s">
        <v>213</v>
      </c>
      <c r="D113" s="323" t="n">
        <f aca="false">SUM(B116:Y116)</f>
        <v>24.488898</v>
      </c>
      <c r="E113" s="322" t="s">
        <v>214</v>
      </c>
      <c r="F113" s="324" t="n">
        <f aca="false">D113/g/J113</f>
        <v>121.771701350041</v>
      </c>
      <c r="G113" s="322" t="s">
        <v>215</v>
      </c>
      <c r="H113" s="340" t="n">
        <v>0.0565</v>
      </c>
      <c r="I113" s="322" t="s">
        <v>226</v>
      </c>
      <c r="J113" s="325" t="n">
        <f aca="false">H113-L113</f>
        <v>0.0205</v>
      </c>
      <c r="K113" s="322" t="s">
        <v>227</v>
      </c>
      <c r="L113" s="340" t="n">
        <v>0.036</v>
      </c>
      <c r="M113" s="322" t="s">
        <v>218</v>
      </c>
      <c r="N113" s="353" t="n">
        <v>35</v>
      </c>
      <c r="O113" s="322" t="s">
        <v>219</v>
      </c>
      <c r="P113" s="353" t="n">
        <v>35</v>
      </c>
      <c r="Q113" s="322" t="s">
        <v>220</v>
      </c>
      <c r="R113" s="341" t="n">
        <v>69</v>
      </c>
      <c r="S113" s="322" t="s">
        <v>221</v>
      </c>
      <c r="T113" s="341" t="n">
        <v>24</v>
      </c>
      <c r="U113" s="322" t="s">
        <v>8</v>
      </c>
      <c r="V113" s="342" t="s">
        <v>253</v>
      </c>
      <c r="W113" s="328" t="s">
        <v>222</v>
      </c>
      <c r="X113" s="351" t="n">
        <v>0.33</v>
      </c>
      <c r="Y113" s="328" t="s">
        <v>223</v>
      </c>
      <c r="Z113" s="327" t="n">
        <v>17</v>
      </c>
    </row>
    <row r="114" customFormat="false" ht="12" hidden="false" customHeight="false" outlineLevel="0" collapsed="false">
      <c r="A114" s="320" t="s">
        <v>228</v>
      </c>
      <c r="B114" s="343" t="n">
        <v>0</v>
      </c>
      <c r="C114" s="344" t="n">
        <v>0.009</v>
      </c>
      <c r="D114" s="344" t="n">
        <v>0.012</v>
      </c>
      <c r="E114" s="344" t="n">
        <v>0.023</v>
      </c>
      <c r="F114" s="344" t="n">
        <v>0.027</v>
      </c>
      <c r="G114" s="344" t="n">
        <v>0.047</v>
      </c>
      <c r="H114" s="344" t="n">
        <v>0.092</v>
      </c>
      <c r="I114" s="344" t="n">
        <v>0.118</v>
      </c>
      <c r="J114" s="344" t="n">
        <v>0.141</v>
      </c>
      <c r="K114" s="344" t="n">
        <v>0.192</v>
      </c>
      <c r="L114" s="344" t="n">
        <v>0.222</v>
      </c>
      <c r="M114" s="344" t="n">
        <v>0.25</v>
      </c>
      <c r="N114" s="344" t="n">
        <v>0.26</v>
      </c>
      <c r="O114" s="344" t="n">
        <v>0.281</v>
      </c>
      <c r="P114" s="344" t="n">
        <v>0.287</v>
      </c>
      <c r="Q114" s="344" t="n">
        <v>0.306</v>
      </c>
      <c r="R114" s="344" t="n">
        <v>0.314</v>
      </c>
      <c r="S114" s="344" t="n">
        <v>0.326</v>
      </c>
      <c r="T114" s="344" t="n">
        <v>0.329</v>
      </c>
      <c r="U114" s="344" t="n">
        <v>0.5</v>
      </c>
      <c r="V114" s="344" t="n">
        <v>1</v>
      </c>
      <c r="W114" s="344" t="n">
        <v>2</v>
      </c>
      <c r="X114" s="344" t="n">
        <v>2</v>
      </c>
      <c r="Y114" s="332" t="n">
        <v>1000</v>
      </c>
    </row>
    <row r="115" customFormat="false" ht="12" hidden="false" customHeight="false" outlineLevel="0" collapsed="false">
      <c r="A115" s="345" t="s">
        <v>229</v>
      </c>
      <c r="B115" s="346" t="n">
        <v>0</v>
      </c>
      <c r="C115" s="347" t="n">
        <v>84.213</v>
      </c>
      <c r="D115" s="347" t="n">
        <v>95.099</v>
      </c>
      <c r="E115" s="347" t="n">
        <v>77.08</v>
      </c>
      <c r="F115" s="347" t="n">
        <v>68.697</v>
      </c>
      <c r="G115" s="347" t="n">
        <v>73.452</v>
      </c>
      <c r="H115" s="347" t="n">
        <v>81.835</v>
      </c>
      <c r="I115" s="347" t="n">
        <v>83.837</v>
      </c>
      <c r="J115" s="347" t="n">
        <v>86.465</v>
      </c>
      <c r="K115" s="347" t="n">
        <v>86.966</v>
      </c>
      <c r="L115" s="347" t="n">
        <v>85.339</v>
      </c>
      <c r="M115" s="347" t="n">
        <v>80.083</v>
      </c>
      <c r="N115" s="347" t="n">
        <v>78.332</v>
      </c>
      <c r="O115" s="347" t="n">
        <v>82.961</v>
      </c>
      <c r="P115" s="347" t="n">
        <v>78.206</v>
      </c>
      <c r="Q115" s="347" t="n">
        <v>24.776</v>
      </c>
      <c r="R115" s="347" t="n">
        <v>14.14</v>
      </c>
      <c r="S115" s="347" t="n">
        <v>8.509</v>
      </c>
      <c r="T115" s="347" t="n">
        <v>0</v>
      </c>
      <c r="U115" s="347" t="n">
        <f aca="false">T115</f>
        <v>0</v>
      </c>
      <c r="V115" s="347" t="n">
        <f aca="false">U115</f>
        <v>0</v>
      </c>
      <c r="W115" s="347" t="n">
        <f aca="false">V115</f>
        <v>0</v>
      </c>
      <c r="X115" s="347" t="n">
        <f aca="false">W115</f>
        <v>0</v>
      </c>
      <c r="Y115" s="348" t="n">
        <v>0</v>
      </c>
    </row>
    <row r="116" customFormat="false" ht="12.75" hidden="false" customHeight="false" outlineLevel="0" collapsed="false">
      <c r="A116" s="333" t="s">
        <v>230</v>
      </c>
      <c r="B116" s="349" t="n">
        <f aca="false">(C115+B115)*(C114-B114)/2</f>
        <v>0.3789585</v>
      </c>
      <c r="C116" s="350" t="n">
        <f aca="false">(D115+C115)*(D114-C114)/2</f>
        <v>0.268968</v>
      </c>
      <c r="D116" s="350" t="n">
        <f aca="false">(E115+D115)*(E114-D114)/2</f>
        <v>0.9469845</v>
      </c>
      <c r="E116" s="350" t="n">
        <f aca="false">(F115+E115)*(F114-E114)/2</f>
        <v>0.291554</v>
      </c>
      <c r="F116" s="350" t="n">
        <f aca="false">(G115+F115)*(G114-F114)/2</f>
        <v>1.42149</v>
      </c>
      <c r="G116" s="350" t="n">
        <f aca="false">(H115+G115)*(H114-G114)/2</f>
        <v>3.4939575</v>
      </c>
      <c r="H116" s="350" t="n">
        <f aca="false">(I115+H115)*(I114-H114)/2</f>
        <v>2.153736</v>
      </c>
      <c r="I116" s="350" t="n">
        <f aca="false">(J115+I115)*(J114-I114)/2</f>
        <v>1.958473</v>
      </c>
      <c r="J116" s="350" t="n">
        <f aca="false">(K115+J115)*(K114-J114)/2</f>
        <v>4.4224905</v>
      </c>
      <c r="K116" s="350" t="n">
        <f aca="false">(L115+K115)*(L114-K114)/2</f>
        <v>2.584575</v>
      </c>
      <c r="L116" s="350" t="n">
        <f aca="false">(M115+L115)*(M114-L114)/2</f>
        <v>2.315908</v>
      </c>
      <c r="M116" s="350" t="n">
        <f aca="false">(N115+M115)*(N114-M114)/2</f>
        <v>0.792075000000001</v>
      </c>
      <c r="N116" s="350" t="n">
        <f aca="false">(O115+N115)*(O114-N114)/2</f>
        <v>1.6935765</v>
      </c>
      <c r="O116" s="350" t="n">
        <f aca="false">(P115+O115)*(P114-O114)/2</f>
        <v>0.483500999999996</v>
      </c>
      <c r="P116" s="350" t="n">
        <f aca="false">(Q115+P115)*(Q114-P114)/2</f>
        <v>0.978329000000001</v>
      </c>
      <c r="Q116" s="350" t="n">
        <f aca="false">(R115+Q115)*(R114-Q114)/2</f>
        <v>0.155664</v>
      </c>
      <c r="R116" s="350" t="n">
        <f aca="false">(S115+R115)*(S114-R114)/2</f>
        <v>0.135894</v>
      </c>
      <c r="S116" s="350" t="n">
        <f aca="false">(T115+S115)*(T114-S114)/2</f>
        <v>0.0127635</v>
      </c>
      <c r="T116" s="350" t="n">
        <f aca="false">(U115+T115)*(U114-T114)/2</f>
        <v>0</v>
      </c>
      <c r="U116" s="350" t="n">
        <f aca="false">(V115+U115)*(V114-U114)/2</f>
        <v>0</v>
      </c>
      <c r="V116" s="350" t="n">
        <f aca="false">(W115+V115)*(W114-V114)/2</f>
        <v>0</v>
      </c>
      <c r="W116" s="350" t="n">
        <f aca="false">(X115+W115)*(X114-W114)/2</f>
        <v>0</v>
      </c>
      <c r="X116" s="350" t="n">
        <f aca="false">(Y115+X115)*(Y114-X114)/2</f>
        <v>0</v>
      </c>
      <c r="Y116" s="336"/>
    </row>
    <row r="117" customFormat="false" ht="12.75" hidden="false" customHeight="false" outlineLevel="0" collapsed="false"/>
    <row r="118" customFormat="false" ht="13.5" hidden="false" customHeight="false" outlineLevel="0" collapsed="false">
      <c r="A118" s="338" t="s">
        <v>254</v>
      </c>
      <c r="B118" s="339" t="n">
        <f aca="false">ROW(A118)</f>
        <v>118</v>
      </c>
      <c r="C118" s="322" t="s">
        <v>213</v>
      </c>
      <c r="D118" s="323" t="n">
        <f aca="false">SUM(B121:Y121)</f>
        <v>26.0839825</v>
      </c>
      <c r="E118" s="322" t="s">
        <v>214</v>
      </c>
      <c r="F118" s="324" t="n">
        <f aca="false">D118/g/J118</f>
        <v>166.182355377166</v>
      </c>
      <c r="G118" s="322" t="s">
        <v>215</v>
      </c>
      <c r="H118" s="340" t="n">
        <v>0.052</v>
      </c>
      <c r="I118" s="322" t="s">
        <v>226</v>
      </c>
      <c r="J118" s="325" t="n">
        <f aca="false">H118-L118</f>
        <v>0.016</v>
      </c>
      <c r="K118" s="322" t="s">
        <v>227</v>
      </c>
      <c r="L118" s="340" t="n">
        <v>0.036</v>
      </c>
      <c r="M118" s="322" t="s">
        <v>218</v>
      </c>
      <c r="N118" s="353" t="n">
        <v>35</v>
      </c>
      <c r="O118" s="322" t="s">
        <v>219</v>
      </c>
      <c r="P118" s="353" t="n">
        <v>35</v>
      </c>
      <c r="Q118" s="322" t="s">
        <v>220</v>
      </c>
      <c r="R118" s="341" t="n">
        <v>69</v>
      </c>
      <c r="S118" s="322" t="s">
        <v>221</v>
      </c>
      <c r="T118" s="341" t="n">
        <v>24</v>
      </c>
      <c r="U118" s="322" t="s">
        <v>8</v>
      </c>
      <c r="V118" s="342" t="s">
        <v>251</v>
      </c>
      <c r="W118" s="328" t="s">
        <v>222</v>
      </c>
      <c r="X118" s="351" t="n">
        <v>0.85</v>
      </c>
      <c r="Y118" s="328" t="s">
        <v>223</v>
      </c>
      <c r="Z118" s="327" t="n">
        <v>15</v>
      </c>
    </row>
    <row r="119" customFormat="false" ht="12" hidden="false" customHeight="false" outlineLevel="0" collapsed="false">
      <c r="A119" s="320" t="s">
        <v>228</v>
      </c>
      <c r="B119" s="343" t="n">
        <v>0</v>
      </c>
      <c r="C119" s="344" t="n">
        <v>0.02</v>
      </c>
      <c r="D119" s="344" t="n">
        <v>0.027</v>
      </c>
      <c r="E119" s="344" t="n">
        <v>0.049</v>
      </c>
      <c r="F119" s="344" t="n">
        <v>0.113</v>
      </c>
      <c r="G119" s="344" t="n">
        <v>0.193</v>
      </c>
      <c r="H119" s="344" t="n">
        <v>0.282</v>
      </c>
      <c r="I119" s="344" t="n">
        <v>0.5</v>
      </c>
      <c r="J119" s="344" t="n">
        <v>0.727</v>
      </c>
      <c r="K119" s="344" t="n">
        <v>0.771</v>
      </c>
      <c r="L119" s="344" t="n">
        <v>0.807</v>
      </c>
      <c r="M119" s="344" t="n">
        <v>0.84</v>
      </c>
      <c r="N119" s="344" t="n">
        <v>0.87</v>
      </c>
      <c r="O119" s="344" t="n">
        <v>1</v>
      </c>
      <c r="P119" s="344" t="n">
        <v>1</v>
      </c>
      <c r="Q119" s="344" t="n">
        <v>1</v>
      </c>
      <c r="R119" s="344" t="n">
        <v>1</v>
      </c>
      <c r="S119" s="344" t="n">
        <v>1</v>
      </c>
      <c r="T119" s="344" t="n">
        <v>1</v>
      </c>
      <c r="U119" s="344" t="n">
        <v>1</v>
      </c>
      <c r="V119" s="344" t="n">
        <v>1</v>
      </c>
      <c r="W119" s="344" t="n">
        <v>1</v>
      </c>
      <c r="X119" s="344" t="n">
        <v>2</v>
      </c>
      <c r="Y119" s="332" t="n">
        <v>1000</v>
      </c>
    </row>
    <row r="120" customFormat="false" ht="12" hidden="false" customHeight="false" outlineLevel="0" collapsed="false">
      <c r="A120" s="345" t="s">
        <v>229</v>
      </c>
      <c r="B120" s="346" t="n">
        <v>0</v>
      </c>
      <c r="C120" s="347" t="n">
        <v>43.824</v>
      </c>
      <c r="D120" s="347" t="n">
        <v>39.964</v>
      </c>
      <c r="E120" s="347" t="n">
        <v>26.781</v>
      </c>
      <c r="F120" s="347" t="n">
        <v>32.601</v>
      </c>
      <c r="G120" s="347" t="n">
        <v>34.739</v>
      </c>
      <c r="H120" s="347" t="n">
        <v>35.808</v>
      </c>
      <c r="I120" s="347" t="n">
        <v>34.442</v>
      </c>
      <c r="J120" s="347" t="n">
        <v>29.276</v>
      </c>
      <c r="K120" s="347" t="n">
        <v>22.743</v>
      </c>
      <c r="L120" s="347" t="n">
        <v>9.561</v>
      </c>
      <c r="M120" s="347" t="n">
        <v>3.563</v>
      </c>
      <c r="N120" s="347" t="n">
        <v>0</v>
      </c>
      <c r="O120" s="347" t="n">
        <v>0</v>
      </c>
      <c r="P120" s="347" t="n">
        <v>0</v>
      </c>
      <c r="Q120" s="347" t="n">
        <v>0</v>
      </c>
      <c r="R120" s="347" t="n">
        <v>0</v>
      </c>
      <c r="S120" s="347" t="n">
        <v>0</v>
      </c>
      <c r="T120" s="347" t="n">
        <f aca="false">S120</f>
        <v>0</v>
      </c>
      <c r="U120" s="347" t="n">
        <f aca="false">T120</f>
        <v>0</v>
      </c>
      <c r="V120" s="347" t="n">
        <f aca="false">U120</f>
        <v>0</v>
      </c>
      <c r="W120" s="347" t="n">
        <f aca="false">V120</f>
        <v>0</v>
      </c>
      <c r="X120" s="347" t="n">
        <f aca="false">W120</f>
        <v>0</v>
      </c>
      <c r="Y120" s="348" t="n">
        <v>0</v>
      </c>
    </row>
    <row r="121" customFormat="false" ht="12.75" hidden="false" customHeight="false" outlineLevel="0" collapsed="false">
      <c r="A121" s="333" t="s">
        <v>230</v>
      </c>
      <c r="B121" s="349" t="n">
        <f aca="false">(C120+B120)*(C119-B119)/2</f>
        <v>0.43824</v>
      </c>
      <c r="C121" s="350" t="n">
        <f aca="false">(D120+C120)*(D119-C119)/2</f>
        <v>0.293258</v>
      </c>
      <c r="D121" s="350" t="n">
        <f aca="false">(E120+D120)*(E119-D119)/2</f>
        <v>0.734195</v>
      </c>
      <c r="E121" s="350" t="n">
        <f aca="false">(F120+E120)*(F119-E119)/2</f>
        <v>1.900224</v>
      </c>
      <c r="F121" s="350" t="n">
        <f aca="false">(G120+F120)*(G119-F119)/2</f>
        <v>2.6936</v>
      </c>
      <c r="G121" s="350" t="n">
        <f aca="false">(H120+G120)*(H119-G119)/2</f>
        <v>3.1393415</v>
      </c>
      <c r="H121" s="350" t="n">
        <f aca="false">(I120+H120)*(I119-H119)/2</f>
        <v>7.65725</v>
      </c>
      <c r="I121" s="350" t="n">
        <f aca="false">(J120+I120)*(J119-I119)/2</f>
        <v>7.231993</v>
      </c>
      <c r="J121" s="350" t="n">
        <f aca="false">(K120+J120)*(K119-J119)/2</f>
        <v>1.144418</v>
      </c>
      <c r="K121" s="350" t="n">
        <f aca="false">(L120+K120)*(L119-K119)/2</f>
        <v>0.581472000000001</v>
      </c>
      <c r="L121" s="350" t="n">
        <f aca="false">(M120+L120)*(M119-L119)/2</f>
        <v>0.216545999999999</v>
      </c>
      <c r="M121" s="350" t="n">
        <f aca="false">(N120+M120)*(N119-M119)/2</f>
        <v>0.0534450000000001</v>
      </c>
      <c r="N121" s="350" t="n">
        <f aca="false">(O120+N120)*(O119-N119)/2</f>
        <v>0</v>
      </c>
      <c r="O121" s="350" t="n">
        <f aca="false">(P120+O120)*(P119-O119)/2</f>
        <v>0</v>
      </c>
      <c r="P121" s="350" t="n">
        <f aca="false">(Q120+P120)*(Q119-P119)/2</f>
        <v>0</v>
      </c>
      <c r="Q121" s="350" t="n">
        <f aca="false">(R120+Q120)*(R119-Q119)/2</f>
        <v>0</v>
      </c>
      <c r="R121" s="350" t="n">
        <f aca="false">(S120+R120)*(S119-R119)/2</f>
        <v>0</v>
      </c>
      <c r="S121" s="350" t="n">
        <f aca="false">(T120+S120)*(T119-S119)/2</f>
        <v>0</v>
      </c>
      <c r="T121" s="350" t="n">
        <f aca="false">(U120+T120)*(U119-T119)/2</f>
        <v>0</v>
      </c>
      <c r="U121" s="350" t="n">
        <f aca="false">(V120+U120)*(V119-U119)/2</f>
        <v>0</v>
      </c>
      <c r="V121" s="350" t="n">
        <f aca="false">(W120+V120)*(W119-V119)/2</f>
        <v>0</v>
      </c>
      <c r="W121" s="350" t="n">
        <f aca="false">(X120+W120)*(X119-W119)/2</f>
        <v>0</v>
      </c>
      <c r="X121" s="350" t="n">
        <f aca="false">(Y120+X120)*(Y119-X119)/2</f>
        <v>0</v>
      </c>
      <c r="Y121" s="336"/>
    </row>
    <row r="122" customFormat="false" ht="13.5" hidden="false" customHeight="false" outlineLevel="0" collapsed="false">
      <c r="A122" s="171" t="s">
        <v>255</v>
      </c>
    </row>
    <row r="123" customFormat="false" ht="13.5" hidden="false" customHeight="false" outlineLevel="0" collapsed="false">
      <c r="A123" s="338" t="s">
        <v>256</v>
      </c>
      <c r="B123" s="339" t="n">
        <f aca="false">ROW(A123)</f>
        <v>123</v>
      </c>
      <c r="C123" s="322" t="s">
        <v>213</v>
      </c>
      <c r="D123" s="323" t="n">
        <f aca="false">SUM(B126:Y126)</f>
        <v>49.7887655</v>
      </c>
      <c r="E123" s="322" t="s">
        <v>214</v>
      </c>
      <c r="F123" s="324" t="n">
        <v>231</v>
      </c>
      <c r="G123" s="322" t="s">
        <v>215</v>
      </c>
      <c r="H123" s="340" t="n">
        <v>0.073</v>
      </c>
      <c r="I123" s="322" t="s">
        <v>226</v>
      </c>
      <c r="J123" s="325" t="n">
        <f aca="false">H123-L123</f>
        <v>0.028</v>
      </c>
      <c r="K123" s="322" t="s">
        <v>227</v>
      </c>
      <c r="L123" s="340" t="n">
        <v>0.045</v>
      </c>
      <c r="M123" s="322" t="s">
        <v>218</v>
      </c>
      <c r="N123" s="353" t="n">
        <v>50</v>
      </c>
      <c r="O123" s="322" t="s">
        <v>219</v>
      </c>
      <c r="P123" s="353" t="n">
        <v>50</v>
      </c>
      <c r="Q123" s="322" t="s">
        <v>220</v>
      </c>
      <c r="R123" s="341" t="n">
        <v>101</v>
      </c>
      <c r="S123" s="322" t="s">
        <v>221</v>
      </c>
      <c r="T123" s="341" t="n">
        <v>24</v>
      </c>
      <c r="U123" s="322" t="s">
        <v>8</v>
      </c>
      <c r="V123" s="342" t="s">
        <v>257</v>
      </c>
      <c r="W123" s="328" t="s">
        <v>222</v>
      </c>
      <c r="X123" s="351" t="n">
        <v>1</v>
      </c>
      <c r="Y123" s="328" t="s">
        <v>223</v>
      </c>
      <c r="Z123" s="327" t="n">
        <v>13</v>
      </c>
    </row>
    <row r="124" customFormat="false" ht="12" hidden="false" customHeight="false" outlineLevel="0" collapsed="false">
      <c r="A124" s="320" t="s">
        <v>228</v>
      </c>
      <c r="B124" s="354" t="n">
        <v>0</v>
      </c>
      <c r="C124" s="354" t="n">
        <v>0.001</v>
      </c>
      <c r="D124" s="354" t="n">
        <v>0.027</v>
      </c>
      <c r="E124" s="354" t="n">
        <v>0.051</v>
      </c>
      <c r="F124" s="354" t="n">
        <v>0.06</v>
      </c>
      <c r="G124" s="354" t="n">
        <v>0.092</v>
      </c>
      <c r="H124" s="354" t="n">
        <v>0.119</v>
      </c>
      <c r="I124" s="354" t="n">
        <v>0.17</v>
      </c>
      <c r="J124" s="354" t="n">
        <v>0.3</v>
      </c>
      <c r="K124" s="354" t="n">
        <v>0.462</v>
      </c>
      <c r="L124" s="354" t="n">
        <v>0.569</v>
      </c>
      <c r="M124" s="354" t="n">
        <v>0.675</v>
      </c>
      <c r="N124" s="354" t="n">
        <v>0.778</v>
      </c>
      <c r="O124" s="354" t="n">
        <v>0.846</v>
      </c>
      <c r="P124" s="354" t="n">
        <v>0.917</v>
      </c>
      <c r="Q124" s="354" t="n">
        <v>1.009</v>
      </c>
      <c r="R124" s="354" t="n">
        <v>1.032</v>
      </c>
      <c r="S124" s="354" t="n">
        <v>1.045</v>
      </c>
      <c r="T124" s="344" t="n">
        <v>2</v>
      </c>
      <c r="U124" s="344" t="n">
        <v>2</v>
      </c>
      <c r="V124" s="344" t="n">
        <v>2</v>
      </c>
      <c r="W124" s="344" t="n">
        <v>2</v>
      </c>
      <c r="X124" s="344" t="n">
        <v>2</v>
      </c>
      <c r="Y124" s="332" t="n">
        <v>1000</v>
      </c>
    </row>
    <row r="125" customFormat="false" ht="12" hidden="false" customHeight="false" outlineLevel="0" collapsed="false">
      <c r="A125" s="345" t="s">
        <v>229</v>
      </c>
      <c r="B125" s="354" t="n">
        <v>0</v>
      </c>
      <c r="C125" s="354" t="n">
        <v>5.145</v>
      </c>
      <c r="D125" s="354" t="n">
        <v>67.976</v>
      </c>
      <c r="E125" s="354" t="n">
        <v>53.807</v>
      </c>
      <c r="F125" s="354" t="n">
        <v>52.88</v>
      </c>
      <c r="G125" s="354" t="n">
        <v>55.916</v>
      </c>
      <c r="H125" s="354" t="n">
        <v>57.94</v>
      </c>
      <c r="I125" s="354" t="n">
        <v>59.711</v>
      </c>
      <c r="J125" s="354" t="n">
        <v>61.145</v>
      </c>
      <c r="K125" s="354" t="n">
        <v>58.952</v>
      </c>
      <c r="L125" s="354" t="n">
        <v>55.578</v>
      </c>
      <c r="M125" s="354" t="n">
        <v>52.205</v>
      </c>
      <c r="N125" s="354" t="n">
        <v>46.386</v>
      </c>
      <c r="O125" s="354" t="n">
        <v>38.12</v>
      </c>
      <c r="P125" s="354" t="n">
        <v>20.325</v>
      </c>
      <c r="Q125" s="354" t="n">
        <v>3.542</v>
      </c>
      <c r="R125" s="354" t="n">
        <v>1.602</v>
      </c>
      <c r="S125" s="354" t="n">
        <v>0</v>
      </c>
      <c r="T125" s="347" t="n">
        <f aca="false">S125</f>
        <v>0</v>
      </c>
      <c r="U125" s="347" t="n">
        <f aca="false">T125</f>
        <v>0</v>
      </c>
      <c r="V125" s="347" t="n">
        <f aca="false">U125</f>
        <v>0</v>
      </c>
      <c r="W125" s="347" t="n">
        <f aca="false">V125</f>
        <v>0</v>
      </c>
      <c r="X125" s="347" t="n">
        <f aca="false">W125</f>
        <v>0</v>
      </c>
      <c r="Y125" s="348" t="n">
        <v>0</v>
      </c>
    </row>
    <row r="126" customFormat="false" ht="12.75" hidden="false" customHeight="false" outlineLevel="0" collapsed="false">
      <c r="A126" s="333" t="s">
        <v>230</v>
      </c>
      <c r="B126" s="349" t="n">
        <f aca="false">(C125+B125)*(C124-B124)/2</f>
        <v>0.0025725</v>
      </c>
      <c r="C126" s="350" t="n">
        <f aca="false">(D125+C125)*(D124-C124)/2</f>
        <v>0.950573</v>
      </c>
      <c r="D126" s="350" t="n">
        <f aca="false">(E125+D125)*(E124-D124)/2</f>
        <v>1.461396</v>
      </c>
      <c r="E126" s="350" t="n">
        <f aca="false">(F125+E125)*(F124-E124)/2</f>
        <v>0.4800915</v>
      </c>
      <c r="F126" s="350" t="n">
        <f aca="false">(G125+F125)*(G124-F124)/2</f>
        <v>1.740736</v>
      </c>
      <c r="G126" s="350" t="n">
        <f aca="false">(H125+G125)*(H124-G124)/2</f>
        <v>1.537056</v>
      </c>
      <c r="H126" s="350" t="n">
        <f aca="false">(I125+H125)*(I124-H124)/2</f>
        <v>3.0001005</v>
      </c>
      <c r="I126" s="350" t="n">
        <f aca="false">(J125+I125)*(J124-I124)/2</f>
        <v>7.85564</v>
      </c>
      <c r="J126" s="350" t="n">
        <f aca="false">(K125+J125)*(K124-J124)/2</f>
        <v>9.727857</v>
      </c>
      <c r="K126" s="350" t="n">
        <f aca="false">(L125+K125)*(L124-K124)/2</f>
        <v>6.127355</v>
      </c>
      <c r="L126" s="350" t="n">
        <f aca="false">(M125+L125)*(M124-L124)/2</f>
        <v>5.71249900000001</v>
      </c>
      <c r="M126" s="350" t="n">
        <f aca="false">(N125+M125)*(N124-M124)/2</f>
        <v>5.0774365</v>
      </c>
      <c r="N126" s="350" t="n">
        <f aca="false">(O125+N125)*(O124-N124)/2</f>
        <v>2.873204</v>
      </c>
      <c r="O126" s="350" t="n">
        <f aca="false">(P125+O125)*(P124-O124)/2</f>
        <v>2.0747975</v>
      </c>
      <c r="P126" s="350" t="n">
        <f aca="false">(Q125+P125)*(Q124-P124)/2</f>
        <v>1.097882</v>
      </c>
      <c r="Q126" s="350" t="n">
        <f aca="false">(R125+Q125)*(R124-Q124)/2</f>
        <v>0.0591560000000003</v>
      </c>
      <c r="R126" s="350" t="n">
        <f aca="false">(S125+R125)*(S124-R124)/2</f>
        <v>0.0104129999999999</v>
      </c>
      <c r="S126" s="350" t="n">
        <f aca="false">(T125+S125)*(T124-S124)/2</f>
        <v>0</v>
      </c>
      <c r="T126" s="350" t="n">
        <f aca="false">(U125+T125)*(U124-T124)/2</f>
        <v>0</v>
      </c>
      <c r="U126" s="350" t="n">
        <f aca="false">(V125+U125)*(V124-U124)/2</f>
        <v>0</v>
      </c>
      <c r="V126" s="350" t="n">
        <f aca="false">(W125+V125)*(W124-V124)/2</f>
        <v>0</v>
      </c>
      <c r="W126" s="350" t="n">
        <f aca="false">(X125+W125)*(X124-W124)/2</f>
        <v>0</v>
      </c>
      <c r="X126" s="350" t="n">
        <f aca="false">(Y125+X125)*(Y124-X124)/2</f>
        <v>0</v>
      </c>
      <c r="Y126" s="336"/>
    </row>
    <row r="127" customFormat="false" ht="12.75" hidden="false" customHeight="false" outlineLevel="0" collapsed="false"/>
    <row r="128" customFormat="false" ht="13.5" hidden="false" customHeight="false" outlineLevel="0" collapsed="false">
      <c r="A128" s="338" t="s">
        <v>258</v>
      </c>
      <c r="B128" s="339" t="n">
        <f aca="false">ROW(A128)</f>
        <v>128</v>
      </c>
      <c r="C128" s="322" t="s">
        <v>213</v>
      </c>
      <c r="D128" s="323" t="n">
        <f aca="false">SUM(B131:Y131)</f>
        <v>52.815674</v>
      </c>
      <c r="E128" s="322" t="s">
        <v>214</v>
      </c>
      <c r="F128" s="324" t="n">
        <v>239</v>
      </c>
      <c r="G128" s="322" t="s">
        <v>215</v>
      </c>
      <c r="H128" s="340" t="n">
        <v>0.073</v>
      </c>
      <c r="I128" s="322" t="s">
        <v>226</v>
      </c>
      <c r="J128" s="325" t="n">
        <f aca="false">H128-L128</f>
        <v>0.029</v>
      </c>
      <c r="K128" s="322" t="s">
        <v>227</v>
      </c>
      <c r="L128" s="340" t="n">
        <v>0.044</v>
      </c>
      <c r="M128" s="322" t="s">
        <v>218</v>
      </c>
      <c r="N128" s="353" t="n">
        <v>50</v>
      </c>
      <c r="O128" s="322" t="s">
        <v>219</v>
      </c>
      <c r="P128" s="353" t="n">
        <v>50</v>
      </c>
      <c r="Q128" s="322" t="s">
        <v>220</v>
      </c>
      <c r="R128" s="341" t="n">
        <v>101</v>
      </c>
      <c r="S128" s="322" t="s">
        <v>221</v>
      </c>
      <c r="T128" s="341" t="n">
        <v>24</v>
      </c>
      <c r="U128" s="322" t="s">
        <v>8</v>
      </c>
      <c r="V128" s="342" t="s">
        <v>257</v>
      </c>
      <c r="W128" s="328" t="s">
        <v>222</v>
      </c>
      <c r="X128" s="351" t="n">
        <v>0.77</v>
      </c>
      <c r="Y128" s="328" t="s">
        <v>223</v>
      </c>
      <c r="Z128" s="327" t="n">
        <v>14</v>
      </c>
    </row>
    <row r="129" customFormat="false" ht="12" hidden="false" customHeight="false" outlineLevel="0" collapsed="false">
      <c r="A129" s="320" t="s">
        <v>228</v>
      </c>
      <c r="B129" s="354" t="n">
        <v>0</v>
      </c>
      <c r="C129" s="354" t="n">
        <v>0.001</v>
      </c>
      <c r="D129" s="354" t="n">
        <v>0.013</v>
      </c>
      <c r="E129" s="354" t="n">
        <v>0.023</v>
      </c>
      <c r="F129" s="354" t="n">
        <v>0.052</v>
      </c>
      <c r="G129" s="354" t="n">
        <v>0.1</v>
      </c>
      <c r="H129" s="354" t="n">
        <v>0.379</v>
      </c>
      <c r="I129" s="354" t="n">
        <v>0.641</v>
      </c>
      <c r="J129" s="354" t="n">
        <v>0.665</v>
      </c>
      <c r="K129" s="354" t="n">
        <v>0.706</v>
      </c>
      <c r="L129" s="354" t="n">
        <v>0.744</v>
      </c>
      <c r="M129" s="354" t="n">
        <v>0.787</v>
      </c>
      <c r="N129" s="354" t="n">
        <v>0.816</v>
      </c>
      <c r="O129" s="344" t="n">
        <v>1</v>
      </c>
      <c r="P129" s="344" t="n">
        <v>1</v>
      </c>
      <c r="Q129" s="344" t="n">
        <v>1</v>
      </c>
      <c r="R129" s="344" t="n">
        <v>1</v>
      </c>
      <c r="S129" s="344" t="n">
        <v>1</v>
      </c>
      <c r="T129" s="344" t="n">
        <v>1</v>
      </c>
      <c r="U129" s="344" t="n">
        <v>1</v>
      </c>
      <c r="V129" s="344" t="n">
        <v>1</v>
      </c>
      <c r="W129" s="344" t="n">
        <v>2</v>
      </c>
      <c r="X129" s="344" t="n">
        <v>2</v>
      </c>
      <c r="Y129" s="332" t="n">
        <v>1000</v>
      </c>
    </row>
    <row r="130" customFormat="false" ht="12" hidden="false" customHeight="false" outlineLevel="0" collapsed="false">
      <c r="A130" s="345" t="s">
        <v>229</v>
      </c>
      <c r="B130" s="354" t="n">
        <v>0</v>
      </c>
      <c r="C130" s="354" t="n">
        <v>8.303</v>
      </c>
      <c r="D130" s="354" t="n">
        <v>85.68</v>
      </c>
      <c r="E130" s="354" t="n">
        <v>96.149</v>
      </c>
      <c r="F130" s="354" t="n">
        <v>78.821</v>
      </c>
      <c r="G130" s="354" t="n">
        <v>83.634</v>
      </c>
      <c r="H130" s="354" t="n">
        <v>77.858</v>
      </c>
      <c r="I130" s="354" t="n">
        <v>62.575</v>
      </c>
      <c r="J130" s="354" t="n">
        <v>55.716</v>
      </c>
      <c r="K130" s="354" t="n">
        <v>23.947</v>
      </c>
      <c r="L130" s="354" t="n">
        <v>9.146</v>
      </c>
      <c r="M130" s="354" t="n">
        <v>2.768</v>
      </c>
      <c r="N130" s="354" t="n">
        <v>0</v>
      </c>
      <c r="O130" s="347" t="n">
        <v>0</v>
      </c>
      <c r="P130" s="347" t="n">
        <v>0</v>
      </c>
      <c r="Q130" s="347" t="n">
        <v>0</v>
      </c>
      <c r="R130" s="347" t="n">
        <v>0</v>
      </c>
      <c r="S130" s="347" t="n">
        <v>0</v>
      </c>
      <c r="T130" s="347" t="n">
        <v>0</v>
      </c>
      <c r="U130" s="347" t="n">
        <v>0</v>
      </c>
      <c r="V130" s="347" t="n">
        <f aca="false">U130</f>
        <v>0</v>
      </c>
      <c r="W130" s="347" t="n">
        <f aca="false">V130</f>
        <v>0</v>
      </c>
      <c r="X130" s="347" t="n">
        <f aca="false">W130</f>
        <v>0</v>
      </c>
      <c r="Y130" s="348" t="n">
        <v>0</v>
      </c>
    </row>
    <row r="131" customFormat="false" ht="12.75" hidden="false" customHeight="false" outlineLevel="0" collapsed="false">
      <c r="A131" s="333" t="s">
        <v>230</v>
      </c>
      <c r="B131" s="349" t="n">
        <f aca="false">(C130+B130)*(C129-B129)/2</f>
        <v>0.0041515</v>
      </c>
      <c r="C131" s="350" t="n">
        <f aca="false">(D130+C130)*(D129-C129)/2</f>
        <v>0.563898</v>
      </c>
      <c r="D131" s="350" t="n">
        <f aca="false">(E130+D130)*(E129-D129)/2</f>
        <v>0.909145</v>
      </c>
      <c r="E131" s="350" t="n">
        <f aca="false">(F130+E130)*(F129-E129)/2</f>
        <v>2.537065</v>
      </c>
      <c r="F131" s="350" t="n">
        <f aca="false">(G130+F130)*(G129-F129)/2</f>
        <v>3.89892</v>
      </c>
      <c r="G131" s="350" t="n">
        <f aca="false">(H130+G130)*(H129-G129)/2</f>
        <v>22.528134</v>
      </c>
      <c r="H131" s="350" t="n">
        <f aca="false">(I130+H130)*(I129-H129)/2</f>
        <v>18.396723</v>
      </c>
      <c r="I131" s="350" t="n">
        <f aca="false">(J130+I130)*(J129-I129)/2</f>
        <v>1.419492</v>
      </c>
      <c r="J131" s="350" t="n">
        <f aca="false">(K130+J130)*(K129-J129)/2</f>
        <v>1.6330915</v>
      </c>
      <c r="K131" s="350" t="n">
        <f aca="false">(L130+K130)*(L129-K129)/2</f>
        <v>0.628767000000001</v>
      </c>
      <c r="L131" s="350" t="n">
        <f aca="false">(M130+L130)*(M129-L129)/2</f>
        <v>0.256151</v>
      </c>
      <c r="M131" s="350" t="n">
        <f aca="false">(N130+M130)*(N129-M129)/2</f>
        <v>0.0401359999999999</v>
      </c>
      <c r="N131" s="350" t="n">
        <f aca="false">(O130+N130)*(O129-N129)/2</f>
        <v>0</v>
      </c>
      <c r="O131" s="350" t="n">
        <f aca="false">(P130+O130)*(P129-O129)/2</f>
        <v>0</v>
      </c>
      <c r="P131" s="350" t="n">
        <f aca="false">(Q130+P130)*(Q129-P129)/2</f>
        <v>0</v>
      </c>
      <c r="Q131" s="350" t="n">
        <f aca="false">(R130+Q130)*(R129-Q129)/2</f>
        <v>0</v>
      </c>
      <c r="R131" s="350" t="n">
        <f aca="false">(S130+R130)*(S129-R129)/2</f>
        <v>0</v>
      </c>
      <c r="S131" s="350" t="n">
        <f aca="false">(T130+S130)*(T129-S129)/2</f>
        <v>0</v>
      </c>
      <c r="T131" s="350" t="n">
        <f aca="false">(U130+T130)*(U129-T129)/2</f>
        <v>0</v>
      </c>
      <c r="U131" s="350" t="n">
        <f aca="false">(V130+U130)*(V129-U129)/2</f>
        <v>0</v>
      </c>
      <c r="V131" s="350" t="n">
        <f aca="false">(W130+V130)*(W129-V129)/2</f>
        <v>0</v>
      </c>
      <c r="W131" s="350" t="n">
        <f aca="false">(X130+W130)*(X129-W129)/2</f>
        <v>0</v>
      </c>
      <c r="X131" s="350" t="n">
        <f aca="false">(Y130+X130)*(Y129-X129)/2</f>
        <v>0</v>
      </c>
      <c r="Y131" s="336"/>
    </row>
    <row r="132" customFormat="false" ht="13.5" hidden="false" customHeight="false" outlineLevel="0" collapsed="false">
      <c r="A132" s="171" t="s">
        <v>259</v>
      </c>
    </row>
    <row r="133" customFormat="false" ht="13.5" hidden="false" customHeight="false" outlineLevel="0" collapsed="false">
      <c r="A133" s="338" t="s">
        <v>260</v>
      </c>
      <c r="B133" s="339" t="n">
        <f aca="false">ROW(A133)</f>
        <v>133</v>
      </c>
      <c r="C133" s="322" t="s">
        <v>213</v>
      </c>
      <c r="D133" s="323" t="n">
        <f aca="false">SUM(B136:Y136)</f>
        <v>41.835</v>
      </c>
      <c r="E133" s="322" t="s">
        <v>214</v>
      </c>
      <c r="F133" s="324" t="n">
        <f aca="false">D133/g/J133</f>
        <v>121.843599825251</v>
      </c>
      <c r="G133" s="322" t="s">
        <v>215</v>
      </c>
      <c r="H133" s="340" t="n">
        <v>0.104</v>
      </c>
      <c r="I133" s="322" t="s">
        <v>226</v>
      </c>
      <c r="J133" s="325" t="n">
        <f aca="false">H133-L133</f>
        <v>0.035</v>
      </c>
      <c r="K133" s="322" t="s">
        <v>227</v>
      </c>
      <c r="L133" s="340" t="n">
        <v>0.069</v>
      </c>
      <c r="M133" s="322" t="s">
        <v>218</v>
      </c>
      <c r="N133" s="341" t="n">
        <v>49</v>
      </c>
      <c r="O133" s="322" t="s">
        <v>219</v>
      </c>
      <c r="P133" s="341" t="n">
        <v>49</v>
      </c>
      <c r="Q133" s="322" t="s">
        <v>220</v>
      </c>
      <c r="R133" s="341" t="n">
        <v>98</v>
      </c>
      <c r="S133" s="322" t="s">
        <v>221</v>
      </c>
      <c r="T133" s="341" t="n">
        <v>29</v>
      </c>
      <c r="U133" s="322" t="s">
        <v>8</v>
      </c>
      <c r="V133" s="342" t="s">
        <v>251</v>
      </c>
      <c r="W133" s="328" t="s">
        <v>222</v>
      </c>
      <c r="X133" s="351" t="n">
        <v>1.07</v>
      </c>
      <c r="Y133" s="328" t="s">
        <v>223</v>
      </c>
      <c r="Z133" s="327" t="n">
        <v>11</v>
      </c>
    </row>
    <row r="134" customFormat="false" ht="12" hidden="false" customHeight="false" outlineLevel="0" collapsed="false">
      <c r="A134" s="320" t="s">
        <v>228</v>
      </c>
      <c r="B134" s="343" t="n">
        <v>0</v>
      </c>
      <c r="C134" s="344" t="n">
        <v>0.01</v>
      </c>
      <c r="D134" s="344" t="n">
        <v>0.02</v>
      </c>
      <c r="E134" s="344" t="n">
        <v>0.03</v>
      </c>
      <c r="F134" s="344" t="n">
        <v>0.04</v>
      </c>
      <c r="G134" s="344" t="n">
        <v>0.06</v>
      </c>
      <c r="H134" s="344" t="n">
        <v>0.07</v>
      </c>
      <c r="I134" s="344" t="n">
        <v>0.08</v>
      </c>
      <c r="J134" s="344" t="n">
        <v>0.1</v>
      </c>
      <c r="K134" s="344" t="n">
        <v>0.2</v>
      </c>
      <c r="L134" s="344" t="n">
        <v>0.3</v>
      </c>
      <c r="M134" s="344" t="n">
        <v>0.4</v>
      </c>
      <c r="N134" s="344" t="n">
        <v>0.5</v>
      </c>
      <c r="O134" s="344" t="n">
        <v>0.6</v>
      </c>
      <c r="P134" s="344" t="n">
        <v>0.7</v>
      </c>
      <c r="Q134" s="344" t="n">
        <v>0.8</v>
      </c>
      <c r="R134" s="344" t="n">
        <v>0.85</v>
      </c>
      <c r="S134" s="344" t="n">
        <v>0.92</v>
      </c>
      <c r="T134" s="344" t="n">
        <v>0.95</v>
      </c>
      <c r="U134" s="344" t="n">
        <v>0.99</v>
      </c>
      <c r="V134" s="344" t="n">
        <v>1.05</v>
      </c>
      <c r="W134" s="344" t="n">
        <v>1.05</v>
      </c>
      <c r="X134" s="344" t="n">
        <v>2</v>
      </c>
      <c r="Y134" s="332" t="n">
        <v>1000</v>
      </c>
    </row>
    <row r="135" customFormat="false" ht="12" hidden="false" customHeight="false" outlineLevel="0" collapsed="false">
      <c r="A135" s="345" t="s">
        <v>229</v>
      </c>
      <c r="B135" s="346" t="n">
        <v>0</v>
      </c>
      <c r="C135" s="347" t="n">
        <v>12</v>
      </c>
      <c r="D135" s="347" t="n">
        <v>46</v>
      </c>
      <c r="E135" s="347" t="n">
        <v>75</v>
      </c>
      <c r="F135" s="347" t="n">
        <v>79</v>
      </c>
      <c r="G135" s="347" t="n">
        <v>77</v>
      </c>
      <c r="H135" s="347" t="n">
        <v>62</v>
      </c>
      <c r="I135" s="347" t="n">
        <v>32</v>
      </c>
      <c r="J135" s="347" t="n">
        <v>35</v>
      </c>
      <c r="K135" s="347" t="n">
        <v>38</v>
      </c>
      <c r="L135" s="347" t="n">
        <v>39</v>
      </c>
      <c r="M135" s="347" t="n">
        <v>41</v>
      </c>
      <c r="N135" s="347" t="n">
        <v>43</v>
      </c>
      <c r="O135" s="347" t="n">
        <v>43</v>
      </c>
      <c r="P135" s="347" t="n">
        <v>43</v>
      </c>
      <c r="Q135" s="347" t="n">
        <v>43</v>
      </c>
      <c r="R135" s="347" t="n">
        <v>47</v>
      </c>
      <c r="S135" s="347" t="n">
        <v>54</v>
      </c>
      <c r="T135" s="347" t="n">
        <v>32</v>
      </c>
      <c r="U135" s="347" t="n">
        <v>8</v>
      </c>
      <c r="V135" s="347" t="n">
        <v>0</v>
      </c>
      <c r="W135" s="347" t="n">
        <v>0</v>
      </c>
      <c r="X135" s="347" t="n">
        <v>0</v>
      </c>
      <c r="Y135" s="348" t="n">
        <v>0</v>
      </c>
    </row>
    <row r="136" customFormat="false" ht="12.75" hidden="false" customHeight="false" outlineLevel="0" collapsed="false">
      <c r="A136" s="333" t="s">
        <v>230</v>
      </c>
      <c r="B136" s="349" t="n">
        <f aca="false">(C135+B135)*(C134-B134)/2</f>
        <v>0.06</v>
      </c>
      <c r="C136" s="350" t="n">
        <f aca="false">(D135+C135)*(D134-C134)/2</f>
        <v>0.29</v>
      </c>
      <c r="D136" s="350" t="n">
        <f aca="false">(E135+D135)*(E134-D134)/2</f>
        <v>0.605</v>
      </c>
      <c r="E136" s="350" t="n">
        <f aca="false">(F135+E135)*(F134-E134)/2</f>
        <v>0.77</v>
      </c>
      <c r="F136" s="350" t="n">
        <f aca="false">(G135+F135)*(G134-F134)/2</f>
        <v>1.56</v>
      </c>
      <c r="G136" s="350" t="n">
        <f aca="false">(H135+G135)*(H134-G134)/2</f>
        <v>0.695000000000001</v>
      </c>
      <c r="H136" s="350" t="n">
        <f aca="false">(I135+H135)*(I134-H134)/2</f>
        <v>0.47</v>
      </c>
      <c r="I136" s="350" t="n">
        <f aca="false">(J135+I135)*(J134-I134)/2</f>
        <v>0.67</v>
      </c>
      <c r="J136" s="350" t="n">
        <f aca="false">(K135+J135)*(K134-J134)/2</f>
        <v>3.65</v>
      </c>
      <c r="K136" s="350" t="n">
        <f aca="false">(L135+K135)*(L134-K134)/2</f>
        <v>3.85</v>
      </c>
      <c r="L136" s="350" t="n">
        <f aca="false">(M135+L135)*(M134-L134)/2</f>
        <v>4</v>
      </c>
      <c r="M136" s="350" t="n">
        <f aca="false">(N135+M135)*(N134-M134)/2</f>
        <v>4.2</v>
      </c>
      <c r="N136" s="350" t="n">
        <f aca="false">(O135+N135)*(O134-N134)/2</f>
        <v>4.3</v>
      </c>
      <c r="O136" s="350" t="n">
        <f aca="false">(P135+O135)*(P134-O134)/2</f>
        <v>4.3</v>
      </c>
      <c r="P136" s="350" t="n">
        <f aca="false">(Q135+P135)*(Q134-P134)/2</f>
        <v>4.3</v>
      </c>
      <c r="Q136" s="350" t="n">
        <f aca="false">(R135+Q135)*(R134-Q134)/2</f>
        <v>2.25</v>
      </c>
      <c r="R136" s="350" t="n">
        <f aca="false">(S135+R135)*(S134-R134)/2</f>
        <v>3.535</v>
      </c>
      <c r="S136" s="350" t="n">
        <f aca="false">(T135+S135)*(T134-S134)/2</f>
        <v>1.29</v>
      </c>
      <c r="T136" s="350" t="n">
        <f aca="false">(U135+T135)*(U134-T134)/2</f>
        <v>0.800000000000001</v>
      </c>
      <c r="U136" s="350" t="n">
        <f aca="false">(V135+U135)*(V134-U134)/2</f>
        <v>0.24</v>
      </c>
      <c r="V136" s="350" t="n">
        <f aca="false">(W135+V135)*(W134-V134)/2</f>
        <v>0</v>
      </c>
      <c r="W136" s="350" t="n">
        <f aca="false">(X135+W135)*(X134-W134)/2</f>
        <v>0</v>
      </c>
      <c r="X136" s="350" t="n">
        <f aca="false">(Y135+X135)*(Y134-X134)/2</f>
        <v>0</v>
      </c>
      <c r="Y136" s="336"/>
    </row>
    <row r="137" customFormat="false" ht="12.75" hidden="false" customHeight="false" outlineLevel="0" collapsed="false">
      <c r="B137" s="337"/>
      <c r="C137" s="337"/>
      <c r="D137" s="337"/>
      <c r="E137" s="337"/>
      <c r="F137" s="337"/>
      <c r="G137" s="337"/>
      <c r="H137" s="337"/>
      <c r="I137" s="337"/>
      <c r="J137" s="337"/>
      <c r="K137" s="337"/>
      <c r="L137" s="337"/>
      <c r="M137" s="337"/>
      <c r="N137" s="337"/>
      <c r="O137" s="337"/>
      <c r="P137" s="337"/>
      <c r="Q137" s="337"/>
      <c r="R137" s="337"/>
      <c r="S137" s="337"/>
      <c r="T137" s="337"/>
      <c r="U137" s="337"/>
      <c r="V137" s="337"/>
      <c r="W137" s="337"/>
      <c r="X137" s="337"/>
      <c r="Y137" s="337"/>
    </row>
    <row r="138" customFormat="false" ht="13.5" hidden="false" customHeight="false" outlineLevel="0" collapsed="false">
      <c r="A138" s="338" t="s">
        <v>261</v>
      </c>
      <c r="B138" s="339" t="n">
        <f aca="false">ROW(A138)</f>
        <v>138</v>
      </c>
      <c r="C138" s="322" t="s">
        <v>213</v>
      </c>
      <c r="D138" s="323" t="n">
        <f aca="false">SUM(B141:Y141)</f>
        <v>52.565</v>
      </c>
      <c r="E138" s="322" t="s">
        <v>214</v>
      </c>
      <c r="F138" s="324" t="n">
        <f aca="false">D138/g/J138</f>
        <v>167.447120285423</v>
      </c>
      <c r="G138" s="322" t="s">
        <v>215</v>
      </c>
      <c r="H138" s="340" t="n">
        <v>0.101</v>
      </c>
      <c r="I138" s="322" t="s">
        <v>226</v>
      </c>
      <c r="J138" s="325" t="n">
        <f aca="false">H138-L138</f>
        <v>0.032</v>
      </c>
      <c r="K138" s="322" t="s">
        <v>227</v>
      </c>
      <c r="L138" s="340" t="n">
        <v>0.069</v>
      </c>
      <c r="M138" s="322" t="s">
        <v>218</v>
      </c>
      <c r="N138" s="341" t="n">
        <v>49</v>
      </c>
      <c r="O138" s="322" t="s">
        <v>219</v>
      </c>
      <c r="P138" s="341" t="n">
        <v>49</v>
      </c>
      <c r="Q138" s="322" t="s">
        <v>220</v>
      </c>
      <c r="R138" s="341" t="n">
        <v>98</v>
      </c>
      <c r="S138" s="322" t="s">
        <v>221</v>
      </c>
      <c r="T138" s="341" t="n">
        <v>29</v>
      </c>
      <c r="U138" s="322" t="s">
        <v>8</v>
      </c>
      <c r="V138" s="342" t="s">
        <v>253</v>
      </c>
      <c r="W138" s="328" t="s">
        <v>222</v>
      </c>
      <c r="X138" s="351" t="n">
        <v>1.8</v>
      </c>
      <c r="Y138" s="328" t="s">
        <v>223</v>
      </c>
      <c r="Z138" s="327" t="n">
        <v>12</v>
      </c>
    </row>
    <row r="139" customFormat="false" ht="12" hidden="false" customHeight="false" outlineLevel="0" collapsed="false">
      <c r="A139" s="320" t="s">
        <v>228</v>
      </c>
      <c r="B139" s="343" t="n">
        <v>0</v>
      </c>
      <c r="C139" s="344" t="n">
        <v>0.01</v>
      </c>
      <c r="D139" s="344" t="n">
        <v>0.03</v>
      </c>
      <c r="E139" s="344" t="n">
        <v>0.04</v>
      </c>
      <c r="F139" s="344" t="n">
        <v>0.05</v>
      </c>
      <c r="G139" s="344" t="n">
        <v>0.06</v>
      </c>
      <c r="H139" s="344" t="n">
        <v>0.07</v>
      </c>
      <c r="I139" s="344" t="n">
        <v>0.08</v>
      </c>
      <c r="J139" s="344" t="n">
        <v>0.09</v>
      </c>
      <c r="K139" s="344" t="n">
        <v>0.1</v>
      </c>
      <c r="L139" s="344" t="n">
        <v>0.2</v>
      </c>
      <c r="M139" s="344" t="n">
        <v>0.3</v>
      </c>
      <c r="N139" s="344" t="n">
        <v>0.4</v>
      </c>
      <c r="O139" s="344" t="n">
        <v>0.5</v>
      </c>
      <c r="P139" s="344" t="n">
        <v>0.7</v>
      </c>
      <c r="Q139" s="344" t="n">
        <v>0.8</v>
      </c>
      <c r="R139" s="344" t="n">
        <v>0.9</v>
      </c>
      <c r="S139" s="344" t="n">
        <v>1</v>
      </c>
      <c r="T139" s="344" t="n">
        <v>1.1</v>
      </c>
      <c r="U139" s="344" t="n">
        <v>1.24</v>
      </c>
      <c r="V139" s="344" t="n">
        <v>1.3</v>
      </c>
      <c r="W139" s="344" t="n">
        <v>1.5</v>
      </c>
      <c r="X139" s="344" t="n">
        <v>2</v>
      </c>
      <c r="Y139" s="332" t="n">
        <v>1000</v>
      </c>
    </row>
    <row r="140" customFormat="false" ht="12" hidden="false" customHeight="false" outlineLevel="0" collapsed="false">
      <c r="A140" s="345" t="s">
        <v>229</v>
      </c>
      <c r="B140" s="346" t="n">
        <v>0</v>
      </c>
      <c r="C140" s="347" t="n">
        <v>12</v>
      </c>
      <c r="D140" s="347" t="n">
        <v>41</v>
      </c>
      <c r="E140" s="347" t="n">
        <v>42</v>
      </c>
      <c r="F140" s="347" t="n">
        <v>42</v>
      </c>
      <c r="G140" s="347" t="n">
        <v>40</v>
      </c>
      <c r="H140" s="347" t="n">
        <v>34</v>
      </c>
      <c r="I140" s="347" t="n">
        <v>34</v>
      </c>
      <c r="J140" s="347" t="n">
        <v>35</v>
      </c>
      <c r="K140" s="347" t="n">
        <v>36</v>
      </c>
      <c r="L140" s="347" t="n">
        <v>40</v>
      </c>
      <c r="M140" s="347" t="n">
        <v>42</v>
      </c>
      <c r="N140" s="347" t="n">
        <v>43</v>
      </c>
      <c r="O140" s="347" t="n">
        <v>43</v>
      </c>
      <c r="P140" s="347" t="n">
        <v>43</v>
      </c>
      <c r="Q140" s="347" t="n">
        <v>42</v>
      </c>
      <c r="R140" s="347" t="n">
        <v>41</v>
      </c>
      <c r="S140" s="347" t="n">
        <v>40</v>
      </c>
      <c r="T140" s="347" t="n">
        <v>38</v>
      </c>
      <c r="U140" s="347" t="n">
        <v>37</v>
      </c>
      <c r="V140" s="347" t="n">
        <v>12</v>
      </c>
      <c r="W140" s="347" t="n">
        <v>0</v>
      </c>
      <c r="X140" s="347" t="n">
        <v>0</v>
      </c>
      <c r="Y140" s="348" t="n">
        <v>0</v>
      </c>
    </row>
    <row r="141" customFormat="false" ht="12.75" hidden="false" customHeight="false" outlineLevel="0" collapsed="false">
      <c r="A141" s="333" t="s">
        <v>230</v>
      </c>
      <c r="B141" s="349" t="n">
        <f aca="false">(C140+B140)*(C139-B139)/2</f>
        <v>0.06</v>
      </c>
      <c r="C141" s="350" t="n">
        <f aca="false">(D140+C140)*(D139-C139)/2</f>
        <v>0.53</v>
      </c>
      <c r="D141" s="350" t="n">
        <f aca="false">(E140+D140)*(E139-D139)/2</f>
        <v>0.415</v>
      </c>
      <c r="E141" s="350" t="n">
        <f aca="false">(F140+E140)*(F139-E139)/2</f>
        <v>0.42</v>
      </c>
      <c r="F141" s="350" t="n">
        <f aca="false">(G140+F140)*(G139-F139)/2</f>
        <v>0.41</v>
      </c>
      <c r="G141" s="350" t="n">
        <f aca="false">(H140+G140)*(H139-G139)/2</f>
        <v>0.37</v>
      </c>
      <c r="H141" s="350" t="n">
        <f aca="false">(I140+H140)*(I139-H139)/2</f>
        <v>0.34</v>
      </c>
      <c r="I141" s="350" t="n">
        <f aca="false">(J140+I140)*(J139-I139)/2</f>
        <v>0.345</v>
      </c>
      <c r="J141" s="350" t="n">
        <f aca="false">(K140+J140)*(K139-J139)/2</f>
        <v>0.355</v>
      </c>
      <c r="K141" s="350" t="n">
        <f aca="false">(L140+K140)*(L139-K139)/2</f>
        <v>3.8</v>
      </c>
      <c r="L141" s="350" t="n">
        <f aca="false">(M140+L140)*(M139-L139)/2</f>
        <v>4.1</v>
      </c>
      <c r="M141" s="350" t="n">
        <f aca="false">(N140+M140)*(N139-M139)/2</f>
        <v>4.25</v>
      </c>
      <c r="N141" s="350" t="n">
        <f aca="false">(O140+N140)*(O139-N139)/2</f>
        <v>4.3</v>
      </c>
      <c r="O141" s="350" t="n">
        <f aca="false">(P140+O140)*(P139-O139)/2</f>
        <v>8.6</v>
      </c>
      <c r="P141" s="350" t="n">
        <f aca="false">(Q140+P140)*(Q139-P139)/2</f>
        <v>4.25</v>
      </c>
      <c r="Q141" s="350" t="n">
        <f aca="false">(R140+Q140)*(R139-Q139)/2</f>
        <v>4.15</v>
      </c>
      <c r="R141" s="350" t="n">
        <f aca="false">(S140+R140)*(S139-R139)/2</f>
        <v>4.05</v>
      </c>
      <c r="S141" s="350" t="n">
        <f aca="false">(T140+S140)*(T139-S139)/2</f>
        <v>3.9</v>
      </c>
      <c r="T141" s="350" t="n">
        <f aca="false">(U140+T140)*(U139-T139)/2</f>
        <v>5.25</v>
      </c>
      <c r="U141" s="350" t="n">
        <f aca="false">(V140+U140)*(V139-U139)/2</f>
        <v>1.47</v>
      </c>
      <c r="V141" s="350" t="n">
        <f aca="false">(W140+V140)*(W139-V139)/2</f>
        <v>1.2</v>
      </c>
      <c r="W141" s="350" t="n">
        <f aca="false">(X140+W140)*(X139-W139)/2</f>
        <v>0</v>
      </c>
      <c r="X141" s="350" t="n">
        <f aca="false">(Y140+X140)*(Y139-X139)/2</f>
        <v>0</v>
      </c>
      <c r="Y141" s="336"/>
    </row>
    <row r="142" customFormat="false" ht="12.75" hidden="false" customHeight="false" outlineLevel="0" collapsed="false">
      <c r="B142" s="337"/>
      <c r="C142" s="337"/>
      <c r="D142" s="337"/>
      <c r="E142" s="337"/>
      <c r="F142" s="337"/>
      <c r="G142" s="337"/>
      <c r="H142" s="337"/>
      <c r="I142" s="337"/>
      <c r="J142" s="337"/>
      <c r="K142" s="337"/>
      <c r="L142" s="337"/>
      <c r="M142" s="337"/>
      <c r="N142" s="337"/>
      <c r="O142" s="337"/>
      <c r="P142" s="337"/>
      <c r="Q142" s="337"/>
      <c r="R142" s="337"/>
      <c r="S142" s="337"/>
      <c r="T142" s="337"/>
      <c r="U142" s="337"/>
      <c r="V142" s="337"/>
      <c r="W142" s="337"/>
      <c r="X142" s="337"/>
      <c r="Y142" s="337"/>
    </row>
    <row r="143" customFormat="false" ht="13.5" hidden="false" customHeight="false" outlineLevel="0" collapsed="false">
      <c r="A143" s="338" t="s">
        <v>262</v>
      </c>
      <c r="B143" s="339" t="n">
        <f aca="false">ROW(A143)</f>
        <v>143</v>
      </c>
      <c r="C143" s="322" t="s">
        <v>213</v>
      </c>
      <c r="D143" s="323" t="n">
        <f aca="false">SUM(B146:Y146)</f>
        <v>54.1100161221195</v>
      </c>
      <c r="E143" s="322" t="s">
        <v>214</v>
      </c>
      <c r="F143" s="324" t="n">
        <f aca="false">D143/g/J143</f>
        <v>146.696857641246</v>
      </c>
      <c r="G143" s="322" t="s">
        <v>215</v>
      </c>
      <c r="H143" s="340" t="n">
        <v>0.1058</v>
      </c>
      <c r="I143" s="322" t="s">
        <v>226</v>
      </c>
      <c r="J143" s="325" t="n">
        <f aca="false">H143-L143</f>
        <v>0.0376</v>
      </c>
      <c r="K143" s="322" t="s">
        <v>227</v>
      </c>
      <c r="L143" s="340" t="n">
        <v>0.0682</v>
      </c>
      <c r="M143" s="322" t="s">
        <v>218</v>
      </c>
      <c r="N143" s="341" t="n">
        <v>49</v>
      </c>
      <c r="O143" s="322" t="s">
        <v>219</v>
      </c>
      <c r="P143" s="341" t="n">
        <v>49</v>
      </c>
      <c r="Q143" s="322" t="s">
        <v>220</v>
      </c>
      <c r="R143" s="341" t="n">
        <v>98</v>
      </c>
      <c r="S143" s="322" t="s">
        <v>221</v>
      </c>
      <c r="T143" s="341" t="n">
        <v>29</v>
      </c>
      <c r="U143" s="322" t="s">
        <v>8</v>
      </c>
      <c r="V143" s="342" t="s">
        <v>251</v>
      </c>
      <c r="W143" s="328" t="s">
        <v>222</v>
      </c>
      <c r="X143" s="351" t="n">
        <v>1.9</v>
      </c>
      <c r="Y143" s="328" t="s">
        <v>223</v>
      </c>
      <c r="Z143" s="327" t="n">
        <v>12</v>
      </c>
    </row>
    <row r="144" customFormat="false" ht="12" hidden="false" customHeight="false" outlineLevel="0" collapsed="false">
      <c r="A144" s="320" t="s">
        <v>228</v>
      </c>
      <c r="B144" s="343" t="n">
        <v>0</v>
      </c>
      <c r="C144" s="344" t="n">
        <v>0.025</v>
      </c>
      <c r="D144" s="344" t="n">
        <v>0.05</v>
      </c>
      <c r="E144" s="344" t="n">
        <v>0.075</v>
      </c>
      <c r="F144" s="344" t="n">
        <v>0.1</v>
      </c>
      <c r="G144" s="344" t="n">
        <v>0.15</v>
      </c>
      <c r="H144" s="344" t="n">
        <v>0.175</v>
      </c>
      <c r="I144" s="344" t="n">
        <v>0.2</v>
      </c>
      <c r="J144" s="344" t="n">
        <v>0.3</v>
      </c>
      <c r="K144" s="344" t="n">
        <v>0.4</v>
      </c>
      <c r="L144" s="344" t="n">
        <v>0.5</v>
      </c>
      <c r="M144" s="344" t="n">
        <v>0.6</v>
      </c>
      <c r="N144" s="344" t="n">
        <v>0.7</v>
      </c>
      <c r="O144" s="344" t="n">
        <v>0.8</v>
      </c>
      <c r="P144" s="344" t="n">
        <v>0.9</v>
      </c>
      <c r="Q144" s="344" t="n">
        <v>1.1</v>
      </c>
      <c r="R144" s="344" t="n">
        <v>1.2</v>
      </c>
      <c r="S144" s="344" t="n">
        <v>1.6</v>
      </c>
      <c r="T144" s="344" t="n">
        <v>1.7</v>
      </c>
      <c r="U144" s="344" t="n">
        <v>1.8</v>
      </c>
      <c r="V144" s="344" t="n">
        <v>1.9</v>
      </c>
      <c r="W144" s="344" t="n">
        <v>1.9999</v>
      </c>
      <c r="X144" s="344" t="n">
        <v>2</v>
      </c>
      <c r="Y144" s="332" t="n">
        <v>1000</v>
      </c>
    </row>
    <row r="145" customFormat="false" ht="12" hidden="false" customHeight="false" outlineLevel="0" collapsed="false">
      <c r="A145" s="345" t="s">
        <v>229</v>
      </c>
      <c r="B145" s="346" t="n">
        <v>0</v>
      </c>
      <c r="C145" s="355" t="n">
        <v>15.2574001848975</v>
      </c>
      <c r="D145" s="355" t="n">
        <v>26.3779542555225</v>
      </c>
      <c r="E145" s="355" t="n">
        <v>21.4849104644475</v>
      </c>
      <c r="F145" s="355" t="n">
        <v>24.02039679255</v>
      </c>
      <c r="G145" s="355" t="n">
        <v>28.11276069054</v>
      </c>
      <c r="H145" s="355" t="n">
        <v>28.6910295022125</v>
      </c>
      <c r="I145" s="355" t="n">
        <v>29.18033388132</v>
      </c>
      <c r="J145" s="355" t="n">
        <v>31.49340912801</v>
      </c>
      <c r="K145" s="355" t="n">
        <v>32.56098231879</v>
      </c>
      <c r="L145" s="355" t="n">
        <v>32.827875616485</v>
      </c>
      <c r="M145" s="355" t="n">
        <v>32.649946751355</v>
      </c>
      <c r="N145" s="355" t="n">
        <v>32.38305345366</v>
      </c>
      <c r="O145" s="355" t="n">
        <v>32.2496068048125</v>
      </c>
      <c r="P145" s="355" t="n">
        <v>31.8047846419875</v>
      </c>
      <c r="Q145" s="355" t="n">
        <v>30.5592825860775</v>
      </c>
      <c r="R145" s="355" t="n">
        <v>30.06997820697</v>
      </c>
      <c r="S145" s="355" t="n">
        <v>26.3779542555225</v>
      </c>
      <c r="T145" s="355" t="n">
        <v>24.8655589019175</v>
      </c>
      <c r="U145" s="355" t="n">
        <v>18.4601197572375</v>
      </c>
      <c r="V145" s="355" t="n">
        <v>7.5174945517425</v>
      </c>
      <c r="W145" s="355" t="n">
        <v>1.3789487047575</v>
      </c>
      <c r="X145" s="347" t="n">
        <v>0</v>
      </c>
      <c r="Y145" s="348" t="n">
        <v>0</v>
      </c>
    </row>
    <row r="146" customFormat="false" ht="12.75" hidden="false" customHeight="false" outlineLevel="0" collapsed="false">
      <c r="A146" s="333" t="s">
        <v>230</v>
      </c>
      <c r="B146" s="349" t="n">
        <f aca="false">(C145+B145)*(C144-B144)/2</f>
        <v>0.190717502311219</v>
      </c>
      <c r="C146" s="350" t="n">
        <f aca="false">(D145+C145)*(D144-C144)/2</f>
        <v>0.52044193050525</v>
      </c>
      <c r="D146" s="350" t="n">
        <f aca="false">(E145+D145)*(E144-D144)/2</f>
        <v>0.598285808999625</v>
      </c>
      <c r="E146" s="350" t="n">
        <f aca="false">(F145+E145)*(F144-E144)/2</f>
        <v>0.568816340712469</v>
      </c>
      <c r="F146" s="350" t="n">
        <f aca="false">(G145+F145)*(G144-F144)/2</f>
        <v>1.30332893707725</v>
      </c>
      <c r="G146" s="350" t="n">
        <f aca="false">(H145+G145)*(H144-G144)/2</f>
        <v>0.710047377409406</v>
      </c>
      <c r="H146" s="350" t="n">
        <f aca="false">(I145+H145)*(I144-H144)/2</f>
        <v>0.723392042294157</v>
      </c>
      <c r="I146" s="350" t="n">
        <f aca="false">(J145+I145)*(J144-I144)/2</f>
        <v>3.0336871504665</v>
      </c>
      <c r="J146" s="350" t="n">
        <f aca="false">(K145+J145)*(K144-J144)/2</f>
        <v>3.20271957234</v>
      </c>
      <c r="K146" s="350" t="n">
        <f aca="false">(L145+K145)*(L144-K144)/2</f>
        <v>3.26944289676375</v>
      </c>
      <c r="L146" s="350" t="n">
        <f aca="false">(M145+L145)*(M144-L144)/2</f>
        <v>3.273891118392</v>
      </c>
      <c r="M146" s="350" t="n">
        <f aca="false">(N145+M145)*(N144-M144)/2</f>
        <v>3.25165001025075</v>
      </c>
      <c r="N146" s="350" t="n">
        <f aca="false">(O145+N145)*(O144-N144)/2</f>
        <v>3.23163301292363</v>
      </c>
      <c r="O146" s="350" t="n">
        <f aca="false">(P145+O145)*(P144-O144)/2</f>
        <v>3.20271957234</v>
      </c>
      <c r="P146" s="350" t="n">
        <f aca="false">(Q145+P145)*(Q144-P144)/2</f>
        <v>6.2364067228065</v>
      </c>
      <c r="Q146" s="350" t="n">
        <f aca="false">(R145+Q145)*(R144-Q144)/2</f>
        <v>3.03146303965237</v>
      </c>
      <c r="R146" s="350" t="n">
        <f aca="false">(S145+R145)*(S144-R144)/2</f>
        <v>11.2895864924985</v>
      </c>
      <c r="S146" s="350" t="n">
        <f aca="false">(T145+S145)*(T144-S144)/2</f>
        <v>2.562175657872</v>
      </c>
      <c r="T146" s="350" t="n">
        <f aca="false">(U145+T145)*(U144-T144)/2</f>
        <v>2.16628393295775</v>
      </c>
      <c r="U146" s="350" t="n">
        <f aca="false">(V145+U145)*(V144-U144)/2</f>
        <v>1.298880715449</v>
      </c>
      <c r="V146" s="350" t="n">
        <f aca="false">(W145+V145)*(W144-V144)/2</f>
        <v>0.444377340662175</v>
      </c>
      <c r="W146" s="350" t="n">
        <f aca="false">(X145+W145)*(X144-W144)/2</f>
        <v>6.89474352378674E-005</v>
      </c>
      <c r="X146" s="350" t="n">
        <f aca="false">(Y145+X145)*(Y144-X144)/2</f>
        <v>0</v>
      </c>
      <c r="Y146" s="336"/>
    </row>
    <row r="147" customFormat="false" ht="12.75" hidden="false" customHeight="false" outlineLevel="0" collapsed="false">
      <c r="B147" s="337"/>
      <c r="C147" s="337"/>
      <c r="D147" s="337"/>
      <c r="E147" s="337"/>
      <c r="F147" s="337"/>
      <c r="G147" s="337"/>
      <c r="H147" s="337"/>
      <c r="I147" s="337"/>
      <c r="J147" s="337"/>
      <c r="K147" s="337"/>
      <c r="L147" s="337"/>
      <c r="M147" s="337"/>
      <c r="N147" s="337"/>
      <c r="O147" s="337"/>
      <c r="P147" s="337"/>
      <c r="Q147" s="337"/>
      <c r="R147" s="337"/>
      <c r="S147" s="337"/>
      <c r="T147" s="337"/>
      <c r="U147" s="337"/>
      <c r="V147" s="337"/>
      <c r="W147" s="337"/>
      <c r="X147" s="337"/>
      <c r="Y147" s="337"/>
    </row>
    <row r="148" customFormat="false" ht="13.5" hidden="false" customHeight="false" outlineLevel="0" collapsed="false">
      <c r="A148" s="338" t="s">
        <v>263</v>
      </c>
      <c r="B148" s="339" t="n">
        <f aca="false">ROW(A148)</f>
        <v>148</v>
      </c>
      <c r="C148" s="322" t="s">
        <v>213</v>
      </c>
      <c r="D148" s="323" t="n">
        <f aca="false">SUM(B151:Y151)</f>
        <v>55.589492</v>
      </c>
      <c r="E148" s="322" t="s">
        <v>214</v>
      </c>
      <c r="F148" s="324" t="n">
        <f aca="false">D148/g/J148</f>
        <v>177.081715086646</v>
      </c>
      <c r="G148" s="322" t="s">
        <v>215</v>
      </c>
      <c r="H148" s="340" t="n">
        <v>0.102</v>
      </c>
      <c r="I148" s="322" t="s">
        <v>226</v>
      </c>
      <c r="J148" s="325" t="n">
        <f aca="false">H148-L148</f>
        <v>0.032</v>
      </c>
      <c r="K148" s="322" t="s">
        <v>227</v>
      </c>
      <c r="L148" s="340" t="n">
        <v>0.07</v>
      </c>
      <c r="M148" s="322" t="s">
        <v>218</v>
      </c>
      <c r="N148" s="341" t="n">
        <v>49</v>
      </c>
      <c r="O148" s="322" t="s">
        <v>219</v>
      </c>
      <c r="P148" s="341" t="n">
        <v>49</v>
      </c>
      <c r="Q148" s="322" t="s">
        <v>220</v>
      </c>
      <c r="R148" s="341" t="n">
        <v>98</v>
      </c>
      <c r="S148" s="322" t="s">
        <v>221</v>
      </c>
      <c r="T148" s="341" t="n">
        <v>29</v>
      </c>
      <c r="U148" s="322" t="s">
        <v>8</v>
      </c>
      <c r="V148" s="342" t="s">
        <v>253</v>
      </c>
      <c r="W148" s="328" t="s">
        <v>222</v>
      </c>
      <c r="X148" s="351" t="n">
        <v>0.45</v>
      </c>
      <c r="Y148" s="328" t="s">
        <v>223</v>
      </c>
      <c r="Z148" s="327" t="n">
        <v>12</v>
      </c>
    </row>
    <row r="149" customFormat="false" ht="12" hidden="false" customHeight="false" outlineLevel="0" collapsed="false">
      <c r="A149" s="320" t="s">
        <v>228</v>
      </c>
      <c r="B149" s="343" t="n">
        <v>0</v>
      </c>
      <c r="C149" s="344" t="n">
        <v>0.001</v>
      </c>
      <c r="D149" s="344" t="n">
        <v>0.023</v>
      </c>
      <c r="E149" s="344" t="n">
        <v>0.05</v>
      </c>
      <c r="F149" s="344" t="n">
        <v>0.059</v>
      </c>
      <c r="G149" s="344" t="n">
        <v>0.095</v>
      </c>
      <c r="H149" s="344" t="n">
        <v>0.212</v>
      </c>
      <c r="I149" s="344" t="n">
        <v>0.344</v>
      </c>
      <c r="J149" s="344" t="n">
        <v>1.567</v>
      </c>
      <c r="K149" s="344" t="n">
        <v>1.631</v>
      </c>
      <c r="L149" s="344" t="n">
        <v>1.663</v>
      </c>
      <c r="M149" s="344" t="n">
        <v>1.785</v>
      </c>
      <c r="N149" s="344" t="n">
        <v>1.828</v>
      </c>
      <c r="O149" s="344" t="n">
        <v>2</v>
      </c>
      <c r="P149" s="344" t="n">
        <v>2</v>
      </c>
      <c r="Q149" s="344" t="n">
        <v>2</v>
      </c>
      <c r="R149" s="344" t="n">
        <v>2</v>
      </c>
      <c r="S149" s="344" t="n">
        <v>2</v>
      </c>
      <c r="T149" s="344" t="n">
        <v>2</v>
      </c>
      <c r="U149" s="344" t="n">
        <v>2</v>
      </c>
      <c r="V149" s="344" t="n">
        <v>2</v>
      </c>
      <c r="W149" s="344" t="n">
        <v>2</v>
      </c>
      <c r="X149" s="344" t="n">
        <v>2</v>
      </c>
      <c r="Y149" s="332" t="n">
        <v>1000</v>
      </c>
    </row>
    <row r="150" customFormat="false" ht="12" hidden="false" customHeight="false" outlineLevel="0" collapsed="false">
      <c r="A150" s="345" t="s">
        <v>229</v>
      </c>
      <c r="B150" s="346" t="n">
        <v>0</v>
      </c>
      <c r="C150" s="347" t="n">
        <v>3.483</v>
      </c>
      <c r="D150" s="347" t="n">
        <v>64.053</v>
      </c>
      <c r="E150" s="347" t="n">
        <v>31.347</v>
      </c>
      <c r="F150" s="347" t="n">
        <v>28.459</v>
      </c>
      <c r="G150" s="347" t="n">
        <v>32.027</v>
      </c>
      <c r="H150" s="347" t="n">
        <v>36.189</v>
      </c>
      <c r="I150" s="347" t="n">
        <v>37.549</v>
      </c>
      <c r="J150" s="347" t="n">
        <v>26.165</v>
      </c>
      <c r="K150" s="347" t="n">
        <v>26.93</v>
      </c>
      <c r="L150" s="347" t="n">
        <v>25.316</v>
      </c>
      <c r="M150" s="347" t="n">
        <v>3.653</v>
      </c>
      <c r="N150" s="347" t="n">
        <v>0</v>
      </c>
      <c r="O150" s="347" t="n">
        <v>0</v>
      </c>
      <c r="P150" s="347" t="n">
        <v>0</v>
      </c>
      <c r="Q150" s="347" t="n">
        <v>0</v>
      </c>
      <c r="R150" s="347" t="n">
        <v>0</v>
      </c>
      <c r="S150" s="347" t="n">
        <v>0</v>
      </c>
      <c r="T150" s="347" t="n">
        <v>0</v>
      </c>
      <c r="U150" s="347" t="n">
        <v>0</v>
      </c>
      <c r="V150" s="347" t="n">
        <v>0</v>
      </c>
      <c r="W150" s="347" t="n">
        <v>0</v>
      </c>
      <c r="X150" s="347" t="n">
        <v>0</v>
      </c>
      <c r="Y150" s="348" t="n">
        <v>0</v>
      </c>
    </row>
    <row r="151" customFormat="false" ht="12.75" hidden="false" customHeight="false" outlineLevel="0" collapsed="false">
      <c r="A151" s="333" t="s">
        <v>230</v>
      </c>
      <c r="B151" s="349" t="n">
        <f aca="false">(C150+B150)*(C149-B149)/2</f>
        <v>0.0017415</v>
      </c>
      <c r="C151" s="350" t="n">
        <f aca="false">(D150+C150)*(D149-C149)/2</f>
        <v>0.742896</v>
      </c>
      <c r="D151" s="350" t="n">
        <f aca="false">(E150+D150)*(E149-D149)/2</f>
        <v>1.2879</v>
      </c>
      <c r="E151" s="350" t="n">
        <f aca="false">(F150+E150)*(F149-E149)/2</f>
        <v>0.269127</v>
      </c>
      <c r="F151" s="350" t="n">
        <f aca="false">(G150+F150)*(G149-F149)/2</f>
        <v>1.088748</v>
      </c>
      <c r="G151" s="350" t="n">
        <f aca="false">(H150+G150)*(H149-G149)/2</f>
        <v>3.990636</v>
      </c>
      <c r="H151" s="350" t="n">
        <f aca="false">(I150+H150)*(I149-H149)/2</f>
        <v>4.866708</v>
      </c>
      <c r="I151" s="350" t="n">
        <f aca="false">(J150+I150)*(J149-I149)/2</f>
        <v>38.961111</v>
      </c>
      <c r="J151" s="350" t="n">
        <f aca="false">(K150+J150)*(K149-J149)/2</f>
        <v>1.69904</v>
      </c>
      <c r="K151" s="350" t="n">
        <f aca="false">(L150+K150)*(L149-K149)/2</f>
        <v>0.835936000000001</v>
      </c>
      <c r="L151" s="350" t="n">
        <f aca="false">(M150+L150)*(M149-L149)/2</f>
        <v>1.767109</v>
      </c>
      <c r="M151" s="350" t="n">
        <f aca="false">(N150+M150)*(N149-M149)/2</f>
        <v>0.0785395000000003</v>
      </c>
      <c r="N151" s="350" t="n">
        <f aca="false">(O150+N150)*(O149-N149)/2</f>
        <v>0</v>
      </c>
      <c r="O151" s="350" t="n">
        <f aca="false">(P150+O150)*(P149-O149)/2</f>
        <v>0</v>
      </c>
      <c r="P151" s="350" t="n">
        <f aca="false">(Q150+P150)*(Q149-P149)/2</f>
        <v>0</v>
      </c>
      <c r="Q151" s="350" t="n">
        <f aca="false">(R150+Q150)*(R149-Q149)/2</f>
        <v>0</v>
      </c>
      <c r="R151" s="350" t="n">
        <f aca="false">(S150+R150)*(S149-R149)/2</f>
        <v>0</v>
      </c>
      <c r="S151" s="350" t="n">
        <f aca="false">(T150+S150)*(T149-S149)/2</f>
        <v>0</v>
      </c>
      <c r="T151" s="350" t="n">
        <f aca="false">(U150+T150)*(U149-T149)/2</f>
        <v>0</v>
      </c>
      <c r="U151" s="350" t="n">
        <f aca="false">(V150+U150)*(V149-U149)/2</f>
        <v>0</v>
      </c>
      <c r="V151" s="350" t="n">
        <f aca="false">(W150+V150)*(W149-V149)/2</f>
        <v>0</v>
      </c>
      <c r="W151" s="350" t="n">
        <f aca="false">(X150+W150)*(X149-W149)/2</f>
        <v>0</v>
      </c>
      <c r="X151" s="350" t="n">
        <f aca="false">(Y150+X150)*(Y149-X149)/2</f>
        <v>0</v>
      </c>
      <c r="Y151" s="336"/>
    </row>
    <row r="152" customFormat="false" ht="12.75" hidden="false" customHeight="false" outlineLevel="0" collapsed="false">
      <c r="B152" s="337"/>
      <c r="C152" s="337"/>
      <c r="D152" s="337"/>
      <c r="E152" s="337"/>
      <c r="F152" s="337"/>
      <c r="G152" s="337"/>
      <c r="H152" s="337"/>
      <c r="I152" s="337"/>
      <c r="J152" s="337"/>
      <c r="K152" s="337"/>
      <c r="L152" s="337"/>
      <c r="M152" s="337"/>
      <c r="N152" s="337"/>
      <c r="O152" s="337"/>
      <c r="P152" s="337"/>
      <c r="Q152" s="337"/>
      <c r="R152" s="337"/>
      <c r="S152" s="337"/>
      <c r="T152" s="337"/>
      <c r="U152" s="337"/>
      <c r="V152" s="337"/>
      <c r="W152" s="337"/>
      <c r="X152" s="337"/>
      <c r="Y152" s="337"/>
    </row>
    <row r="153" customFormat="false" ht="13.5" hidden="false" customHeight="false" outlineLevel="0" collapsed="false">
      <c r="A153" s="338" t="s">
        <v>264</v>
      </c>
      <c r="B153" s="339" t="n">
        <f aca="false">ROW(A153)</f>
        <v>153</v>
      </c>
      <c r="C153" s="322" t="s">
        <v>213</v>
      </c>
      <c r="D153" s="323" t="n">
        <f aca="false">SUM(B156:Y156)</f>
        <v>55.7058845</v>
      </c>
      <c r="E153" s="322" t="s">
        <v>214</v>
      </c>
      <c r="F153" s="324" t="n">
        <f aca="false">D153/g/J153</f>
        <v>180.843298142413</v>
      </c>
      <c r="G153" s="322" t="s">
        <v>215</v>
      </c>
      <c r="H153" s="340" t="n">
        <v>0.1062</v>
      </c>
      <c r="I153" s="322" t="s">
        <v>226</v>
      </c>
      <c r="J153" s="325" t="n">
        <f aca="false">H153-L153</f>
        <v>0.0314</v>
      </c>
      <c r="K153" s="322" t="s">
        <v>227</v>
      </c>
      <c r="L153" s="340" t="n">
        <v>0.0748</v>
      </c>
      <c r="M153" s="322" t="s">
        <v>218</v>
      </c>
      <c r="N153" s="341" t="n">
        <v>49</v>
      </c>
      <c r="O153" s="322" t="s">
        <v>219</v>
      </c>
      <c r="P153" s="341" t="n">
        <v>49</v>
      </c>
      <c r="Q153" s="322" t="s">
        <v>220</v>
      </c>
      <c r="R153" s="341" t="n">
        <v>98</v>
      </c>
      <c r="S153" s="322" t="s">
        <v>221</v>
      </c>
      <c r="T153" s="341" t="n">
        <v>29</v>
      </c>
      <c r="U153" s="322" t="s">
        <v>8</v>
      </c>
      <c r="V153" s="342" t="s">
        <v>253</v>
      </c>
      <c r="W153" s="328" t="s">
        <v>222</v>
      </c>
      <c r="X153" s="351" t="n">
        <v>0.45</v>
      </c>
      <c r="Y153" s="328" t="s">
        <v>223</v>
      </c>
      <c r="Z153" s="327" t="n">
        <v>14</v>
      </c>
    </row>
    <row r="154" customFormat="false" ht="12" hidden="false" customHeight="false" outlineLevel="0" collapsed="false">
      <c r="A154" s="320" t="s">
        <v>228</v>
      </c>
      <c r="B154" s="343" t="n">
        <v>0</v>
      </c>
      <c r="C154" s="344" t="n">
        <v>0.013</v>
      </c>
      <c r="D154" s="344" t="n">
        <v>0.017</v>
      </c>
      <c r="E154" s="344" t="n">
        <v>0.04</v>
      </c>
      <c r="F154" s="344" t="n">
        <v>0.125</v>
      </c>
      <c r="G154" s="344" t="n">
        <v>0.179</v>
      </c>
      <c r="H154" s="344" t="n">
        <v>0.222</v>
      </c>
      <c r="I154" s="344" t="n">
        <v>0.289</v>
      </c>
      <c r="J154" s="344" t="n">
        <v>0.354</v>
      </c>
      <c r="K154" s="344" t="n">
        <v>0.394</v>
      </c>
      <c r="L154" s="344" t="n">
        <v>0.406</v>
      </c>
      <c r="M154" s="344" t="n">
        <v>0.416</v>
      </c>
      <c r="N154" s="344" t="n">
        <v>0.423</v>
      </c>
      <c r="O154" s="344" t="n">
        <v>0.431</v>
      </c>
      <c r="P154" s="344" t="n">
        <v>0.447</v>
      </c>
      <c r="Q154" s="344" t="n">
        <v>0.453</v>
      </c>
      <c r="R154" s="344" t="n">
        <v>0.455</v>
      </c>
      <c r="S154" s="344" t="n">
        <v>0.455</v>
      </c>
      <c r="T154" s="344" t="n">
        <v>0.455</v>
      </c>
      <c r="U154" s="344" t="n">
        <v>0.455</v>
      </c>
      <c r="V154" s="344" t="n">
        <v>0.455</v>
      </c>
      <c r="W154" s="344" t="n">
        <v>0.455</v>
      </c>
      <c r="X154" s="344" t="n">
        <v>2</v>
      </c>
      <c r="Y154" s="332" t="n">
        <v>1000</v>
      </c>
    </row>
    <row r="155" customFormat="false" ht="12" hidden="false" customHeight="false" outlineLevel="0" collapsed="false">
      <c r="A155" s="345" t="s">
        <v>229</v>
      </c>
      <c r="B155" s="346" t="n">
        <v>0</v>
      </c>
      <c r="C155" s="347" t="n">
        <v>79.242</v>
      </c>
      <c r="D155" s="347" t="n">
        <v>90.427</v>
      </c>
      <c r="E155" s="347" t="n">
        <v>101.422</v>
      </c>
      <c r="F155" s="347" t="n">
        <v>127.583</v>
      </c>
      <c r="G155" s="347" t="n">
        <v>136.114</v>
      </c>
      <c r="H155" s="347" t="n">
        <v>139.905</v>
      </c>
      <c r="I155" s="347" t="n">
        <v>143.507</v>
      </c>
      <c r="J155" s="347" t="n">
        <v>138.578</v>
      </c>
      <c r="K155" s="347" t="n">
        <v>125.498</v>
      </c>
      <c r="L155" s="347" t="n">
        <v>123.602</v>
      </c>
      <c r="M155" s="347" t="n">
        <v>125.118</v>
      </c>
      <c r="N155" s="347" t="n">
        <v>130.047</v>
      </c>
      <c r="O155" s="347" t="n">
        <v>120.569</v>
      </c>
      <c r="P155" s="347" t="n">
        <v>25.592</v>
      </c>
      <c r="Q155" s="347" t="n">
        <v>8.72</v>
      </c>
      <c r="R155" s="347" t="n">
        <v>0</v>
      </c>
      <c r="S155" s="347" t="n">
        <v>0</v>
      </c>
      <c r="T155" s="347" t="n">
        <v>0</v>
      </c>
      <c r="U155" s="347" t="n">
        <v>0</v>
      </c>
      <c r="V155" s="347" t="n">
        <v>0</v>
      </c>
      <c r="W155" s="347" t="n">
        <v>0</v>
      </c>
      <c r="X155" s="347" t="n">
        <v>0</v>
      </c>
      <c r="Y155" s="348" t="n">
        <v>0</v>
      </c>
    </row>
    <row r="156" customFormat="false" ht="12.75" hidden="false" customHeight="false" outlineLevel="0" collapsed="false">
      <c r="A156" s="333" t="s">
        <v>230</v>
      </c>
      <c r="B156" s="349" t="n">
        <f aca="false">(C155+B155)*(C154-B154)/2</f>
        <v>0.515073</v>
      </c>
      <c r="C156" s="350" t="n">
        <f aca="false">(D155+C155)*(D154-C154)/2</f>
        <v>0.339338</v>
      </c>
      <c r="D156" s="350" t="n">
        <f aca="false">(E155+D155)*(E154-D154)/2</f>
        <v>2.2062635</v>
      </c>
      <c r="E156" s="350" t="n">
        <f aca="false">(F155+E155)*(F154-E154)/2</f>
        <v>9.7327125</v>
      </c>
      <c r="F156" s="350" t="n">
        <f aca="false">(G155+F155)*(G154-F154)/2</f>
        <v>7.119819</v>
      </c>
      <c r="G156" s="350" t="n">
        <f aca="false">(H155+G155)*(H154-G154)/2</f>
        <v>5.9344085</v>
      </c>
      <c r="H156" s="350" t="n">
        <f aca="false">(I155+H155)*(I154-H154)/2</f>
        <v>9.494302</v>
      </c>
      <c r="I156" s="350" t="n">
        <f aca="false">(J155+I155)*(J154-I154)/2</f>
        <v>9.1677625</v>
      </c>
      <c r="J156" s="350" t="n">
        <f aca="false">(K155+J155)*(K154-J154)/2</f>
        <v>5.28152000000001</v>
      </c>
      <c r="K156" s="350" t="n">
        <f aca="false">(L155+K155)*(L154-K154)/2</f>
        <v>1.4946</v>
      </c>
      <c r="L156" s="350" t="n">
        <f aca="false">(M155+L155)*(M154-L154)/2</f>
        <v>1.24359999999999</v>
      </c>
      <c r="M156" s="350" t="n">
        <f aca="false">(N155+M155)*(N154-M154)/2</f>
        <v>0.893077500000001</v>
      </c>
      <c r="N156" s="350" t="n">
        <f aca="false">(O155+N155)*(O154-N154)/2</f>
        <v>1.002464</v>
      </c>
      <c r="O156" s="350" t="n">
        <f aca="false">(P155+O155)*(P154-O154)/2</f>
        <v>1.169288</v>
      </c>
      <c r="P156" s="350" t="n">
        <f aca="false">(Q155+P155)*(Q154-P154)/2</f>
        <v>0.102936</v>
      </c>
      <c r="Q156" s="350" t="n">
        <f aca="false">(R155+Q155)*(R154-Q154)/2</f>
        <v>0.00872000000000001</v>
      </c>
      <c r="R156" s="350" t="n">
        <f aca="false">(S155+R155)*(S154-R154)/2</f>
        <v>0</v>
      </c>
      <c r="S156" s="350" t="n">
        <f aca="false">(T155+S155)*(T154-S154)/2</f>
        <v>0</v>
      </c>
      <c r="T156" s="350" t="n">
        <f aca="false">(U155+T155)*(U154-T154)/2</f>
        <v>0</v>
      </c>
      <c r="U156" s="350" t="n">
        <f aca="false">(V155+U155)*(V154-U154)/2</f>
        <v>0</v>
      </c>
      <c r="V156" s="350" t="n">
        <f aca="false">(W155+V155)*(W154-V154)/2</f>
        <v>0</v>
      </c>
      <c r="W156" s="350" t="n">
        <f aca="false">(X155+W155)*(X154-W154)/2</f>
        <v>0</v>
      </c>
      <c r="X156" s="350" t="n">
        <f aca="false">(Y155+X155)*(Y154-X154)/2</f>
        <v>0</v>
      </c>
      <c r="Y156" s="336"/>
    </row>
    <row r="157" customFormat="false" ht="12.75" hidden="false" customHeight="false" outlineLevel="0" collapsed="false">
      <c r="B157" s="337"/>
      <c r="C157" s="337"/>
      <c r="D157" s="337"/>
      <c r="E157" s="337"/>
      <c r="F157" s="337"/>
      <c r="G157" s="337"/>
      <c r="H157" s="337"/>
      <c r="I157" s="337"/>
      <c r="J157" s="337"/>
      <c r="K157" s="337"/>
      <c r="L157" s="337"/>
      <c r="M157" s="337"/>
      <c r="N157" s="337"/>
      <c r="O157" s="337"/>
      <c r="P157" s="337"/>
      <c r="Q157" s="337"/>
      <c r="R157" s="337"/>
      <c r="S157" s="337"/>
      <c r="T157" s="337"/>
      <c r="U157" s="337"/>
      <c r="V157" s="337"/>
      <c r="W157" s="337"/>
      <c r="X157" s="337"/>
      <c r="Y157" s="337"/>
    </row>
    <row r="158" customFormat="false" ht="13.5" hidden="false" customHeight="false" outlineLevel="0" collapsed="false">
      <c r="A158" s="338" t="s">
        <v>265</v>
      </c>
      <c r="B158" s="339" t="n">
        <f aca="false">ROW(A158)</f>
        <v>158</v>
      </c>
      <c r="C158" s="322" t="s">
        <v>213</v>
      </c>
      <c r="D158" s="323" t="n">
        <f aca="false">SUM(B161:Y161)</f>
        <v>57.19</v>
      </c>
      <c r="E158" s="322" t="s">
        <v>214</v>
      </c>
      <c r="F158" s="324" t="n">
        <f aca="false">D158/g/J158</f>
        <v>188.05695307619</v>
      </c>
      <c r="G158" s="322" t="s">
        <v>215</v>
      </c>
      <c r="H158" s="340" t="n">
        <v>0.099</v>
      </c>
      <c r="I158" s="322" t="s">
        <v>226</v>
      </c>
      <c r="J158" s="325" t="n">
        <f aca="false">H158-L158</f>
        <v>0.031</v>
      </c>
      <c r="K158" s="322" t="s">
        <v>227</v>
      </c>
      <c r="L158" s="340" t="n">
        <v>0.068</v>
      </c>
      <c r="M158" s="322" t="s">
        <v>218</v>
      </c>
      <c r="N158" s="341" t="n">
        <v>49</v>
      </c>
      <c r="O158" s="322" t="s">
        <v>219</v>
      </c>
      <c r="P158" s="341" t="n">
        <v>49</v>
      </c>
      <c r="Q158" s="322" t="s">
        <v>220</v>
      </c>
      <c r="R158" s="341" t="n">
        <v>98</v>
      </c>
      <c r="S158" s="322" t="s">
        <v>221</v>
      </c>
      <c r="T158" s="341" t="n">
        <v>29</v>
      </c>
      <c r="U158" s="322" t="s">
        <v>8</v>
      </c>
      <c r="V158" s="342" t="s">
        <v>253</v>
      </c>
      <c r="W158" s="328" t="s">
        <v>222</v>
      </c>
      <c r="X158" s="351" t="n">
        <v>0.96</v>
      </c>
      <c r="Y158" s="328" t="s">
        <v>223</v>
      </c>
      <c r="Z158" s="327" t="n">
        <v>12</v>
      </c>
    </row>
    <row r="159" customFormat="false" ht="12" hidden="false" customHeight="false" outlineLevel="0" collapsed="false">
      <c r="A159" s="320" t="s">
        <v>228</v>
      </c>
      <c r="B159" s="343" t="n">
        <v>0</v>
      </c>
      <c r="C159" s="344" t="n">
        <v>0.01</v>
      </c>
      <c r="D159" s="344" t="n">
        <v>0.02</v>
      </c>
      <c r="E159" s="344" t="n">
        <v>0.03</v>
      </c>
      <c r="F159" s="344" t="n">
        <v>0.04</v>
      </c>
      <c r="G159" s="344" t="n">
        <v>0.07</v>
      </c>
      <c r="H159" s="344" t="n">
        <v>0.1</v>
      </c>
      <c r="I159" s="344" t="n">
        <v>0.2</v>
      </c>
      <c r="J159" s="344" t="n">
        <v>0.3</v>
      </c>
      <c r="K159" s="344" t="n">
        <v>0.4</v>
      </c>
      <c r="L159" s="344" t="n">
        <v>0.5</v>
      </c>
      <c r="M159" s="344" t="n">
        <v>0.6</v>
      </c>
      <c r="N159" s="344" t="n">
        <v>0.7</v>
      </c>
      <c r="O159" s="344" t="n">
        <v>0.87</v>
      </c>
      <c r="P159" s="344" t="n">
        <v>0.9</v>
      </c>
      <c r="Q159" s="344" t="n">
        <v>0.97</v>
      </c>
      <c r="R159" s="344" t="n">
        <v>0.97</v>
      </c>
      <c r="S159" s="344" t="n">
        <v>0.97</v>
      </c>
      <c r="T159" s="344" t="n">
        <v>0.97</v>
      </c>
      <c r="U159" s="344" t="n">
        <v>0.97</v>
      </c>
      <c r="V159" s="344" t="n">
        <v>0.97</v>
      </c>
      <c r="W159" s="344" t="n">
        <v>0.97</v>
      </c>
      <c r="X159" s="344" t="n">
        <v>2</v>
      </c>
      <c r="Y159" s="332" t="n">
        <v>1000</v>
      </c>
    </row>
    <row r="160" customFormat="false" ht="12" hidden="false" customHeight="false" outlineLevel="0" collapsed="false">
      <c r="A160" s="345" t="s">
        <v>229</v>
      </c>
      <c r="B160" s="346" t="n">
        <v>0</v>
      </c>
      <c r="C160" s="347" t="n">
        <v>16</v>
      </c>
      <c r="D160" s="347" t="n">
        <v>62</v>
      </c>
      <c r="E160" s="347" t="n">
        <v>67</v>
      </c>
      <c r="F160" s="347" t="n">
        <v>71</v>
      </c>
      <c r="G160" s="347" t="n">
        <v>58</v>
      </c>
      <c r="H160" s="347" t="n">
        <v>63</v>
      </c>
      <c r="I160" s="347" t="n">
        <v>67</v>
      </c>
      <c r="J160" s="347" t="n">
        <v>69</v>
      </c>
      <c r="K160" s="347" t="n">
        <v>67</v>
      </c>
      <c r="L160" s="347" t="n">
        <v>65</v>
      </c>
      <c r="M160" s="347" t="n">
        <v>63</v>
      </c>
      <c r="N160" s="347" t="n">
        <v>61</v>
      </c>
      <c r="O160" s="347" t="n">
        <v>60</v>
      </c>
      <c r="P160" s="347" t="n">
        <v>23</v>
      </c>
      <c r="Q160" s="347" t="n">
        <v>0</v>
      </c>
      <c r="R160" s="347" t="n">
        <v>0</v>
      </c>
      <c r="S160" s="347" t="n">
        <v>0</v>
      </c>
      <c r="T160" s="347" t="n">
        <v>0</v>
      </c>
      <c r="U160" s="347" t="n">
        <v>0</v>
      </c>
      <c r="V160" s="347" t="n">
        <v>0</v>
      </c>
      <c r="W160" s="347" t="n">
        <v>0</v>
      </c>
      <c r="X160" s="347" t="n">
        <v>0</v>
      </c>
      <c r="Y160" s="348" t="n">
        <v>0</v>
      </c>
    </row>
    <row r="161" customFormat="false" ht="12.75" hidden="false" customHeight="false" outlineLevel="0" collapsed="false">
      <c r="A161" s="333" t="s">
        <v>230</v>
      </c>
      <c r="B161" s="349" t="n">
        <f aca="false">(C160+B160)*(C159-B159)/2</f>
        <v>0.08</v>
      </c>
      <c r="C161" s="350" t="n">
        <f aca="false">(D160+C160)*(D159-C159)/2</f>
        <v>0.39</v>
      </c>
      <c r="D161" s="350" t="n">
        <f aca="false">(E160+D160)*(E159-D159)/2</f>
        <v>0.645</v>
      </c>
      <c r="E161" s="350" t="n">
        <f aca="false">(F160+E160)*(F159-E159)/2</f>
        <v>0.69</v>
      </c>
      <c r="F161" s="350" t="n">
        <f aca="false">(G160+F160)*(G159-F159)/2</f>
        <v>1.935</v>
      </c>
      <c r="G161" s="350" t="n">
        <f aca="false">(H160+G160)*(H159-G159)/2</f>
        <v>1.815</v>
      </c>
      <c r="H161" s="350" t="n">
        <f aca="false">(I160+H160)*(I159-H159)/2</f>
        <v>6.5</v>
      </c>
      <c r="I161" s="350" t="n">
        <f aca="false">(J160+I160)*(J159-I159)/2</f>
        <v>6.8</v>
      </c>
      <c r="J161" s="350" t="n">
        <f aca="false">(K160+J160)*(K159-J159)/2</f>
        <v>6.8</v>
      </c>
      <c r="K161" s="350" t="n">
        <f aca="false">(L160+K160)*(L159-K159)/2</f>
        <v>6.6</v>
      </c>
      <c r="L161" s="350" t="n">
        <f aca="false">(M160+L160)*(M159-L159)/2</f>
        <v>6.4</v>
      </c>
      <c r="M161" s="350" t="n">
        <f aca="false">(N160+M160)*(N159-M159)/2</f>
        <v>6.2</v>
      </c>
      <c r="N161" s="350" t="n">
        <f aca="false">(O160+N160)*(O159-N159)/2</f>
        <v>10.285</v>
      </c>
      <c r="O161" s="350" t="n">
        <f aca="false">(P160+O160)*(P159-O159)/2</f>
        <v>1.245</v>
      </c>
      <c r="P161" s="350" t="n">
        <f aca="false">(Q160+P160)*(Q159-P159)/2</f>
        <v>0.805</v>
      </c>
      <c r="Q161" s="350" t="n">
        <f aca="false">(R160+Q160)*(R159-Q159)/2</f>
        <v>0</v>
      </c>
      <c r="R161" s="350" t="n">
        <f aca="false">(S160+R160)*(S159-R159)/2</f>
        <v>0</v>
      </c>
      <c r="S161" s="350" t="n">
        <f aca="false">(T160+S160)*(T159-S159)/2</f>
        <v>0</v>
      </c>
      <c r="T161" s="350" t="n">
        <f aca="false">(U160+T160)*(U159-T159)/2</f>
        <v>0</v>
      </c>
      <c r="U161" s="350" t="n">
        <f aca="false">(V160+U160)*(V159-U159)/2</f>
        <v>0</v>
      </c>
      <c r="V161" s="350" t="n">
        <f aca="false">(W160+V160)*(W159-V159)/2</f>
        <v>0</v>
      </c>
      <c r="W161" s="350" t="n">
        <f aca="false">(X160+W160)*(X159-W159)/2</f>
        <v>0</v>
      </c>
      <c r="X161" s="350" t="n">
        <f aca="false">(Y160+X160)*(Y159-X159)/2</f>
        <v>0</v>
      </c>
      <c r="Y161" s="336"/>
    </row>
    <row r="162" customFormat="false" ht="13.5" hidden="false" customHeight="false" outlineLevel="0" collapsed="false">
      <c r="A162" s="171" t="s">
        <v>266</v>
      </c>
      <c r="B162" s="337"/>
      <c r="C162" s="337"/>
      <c r="D162" s="337"/>
      <c r="E162" s="337"/>
      <c r="F162" s="337"/>
      <c r="G162" s="337"/>
      <c r="H162" s="337"/>
      <c r="I162" s="337"/>
      <c r="J162" s="337"/>
      <c r="K162" s="337"/>
      <c r="L162" s="337"/>
      <c r="M162" s="337"/>
      <c r="N162" s="337"/>
      <c r="O162" s="337"/>
      <c r="P162" s="337"/>
      <c r="Q162" s="337"/>
      <c r="R162" s="337"/>
      <c r="S162" s="337"/>
      <c r="T162" s="337"/>
      <c r="U162" s="337"/>
      <c r="V162" s="337"/>
      <c r="W162" s="337"/>
      <c r="X162" s="337"/>
      <c r="Y162" s="337"/>
    </row>
    <row r="163" customFormat="false" ht="13.5" hidden="false" customHeight="false" outlineLevel="0" collapsed="false">
      <c r="A163" s="338" t="s">
        <v>267</v>
      </c>
      <c r="B163" s="339" t="n">
        <f aca="false">ROW(A163)</f>
        <v>163</v>
      </c>
      <c r="C163" s="322" t="s">
        <v>213</v>
      </c>
      <c r="D163" s="323" t="n">
        <f aca="false">SUM(B166:Y166)</f>
        <v>59.702267</v>
      </c>
      <c r="E163" s="322" t="s">
        <v>214</v>
      </c>
      <c r="F163" s="324" t="n">
        <f aca="false">D163/g/J163</f>
        <v>190.779247712813</v>
      </c>
      <c r="G163" s="322" t="s">
        <v>215</v>
      </c>
      <c r="H163" s="340" t="n">
        <v>0.0939</v>
      </c>
      <c r="I163" s="322" t="s">
        <v>226</v>
      </c>
      <c r="J163" s="325" t="n">
        <f aca="false">H163-L163</f>
        <v>0.0319</v>
      </c>
      <c r="K163" s="322" t="s">
        <v>227</v>
      </c>
      <c r="L163" s="340" t="n">
        <f aca="false">0.095-0.033</f>
        <v>0.062</v>
      </c>
      <c r="M163" s="322" t="s">
        <v>218</v>
      </c>
      <c r="N163" s="353" t="n">
        <v>66.5</v>
      </c>
      <c r="O163" s="322" t="s">
        <v>219</v>
      </c>
      <c r="P163" s="353" t="n">
        <v>66.5</v>
      </c>
      <c r="Q163" s="322" t="s">
        <v>220</v>
      </c>
      <c r="R163" s="341" t="n">
        <v>133</v>
      </c>
      <c r="S163" s="322" t="s">
        <v>221</v>
      </c>
      <c r="T163" s="341" t="n">
        <v>24</v>
      </c>
      <c r="U163" s="322" t="s">
        <v>8</v>
      </c>
      <c r="V163" s="342" t="s">
        <v>251</v>
      </c>
      <c r="W163" s="328" t="s">
        <v>222</v>
      </c>
      <c r="X163" s="351" t="n">
        <v>1.2</v>
      </c>
      <c r="Y163" s="328" t="s">
        <v>223</v>
      </c>
      <c r="Z163" s="327" t="n">
        <v>13</v>
      </c>
    </row>
    <row r="164" customFormat="false" ht="12" hidden="false" customHeight="false" outlineLevel="0" collapsed="false">
      <c r="A164" s="320" t="s">
        <v>228</v>
      </c>
      <c r="B164" s="343" t="n">
        <v>0</v>
      </c>
      <c r="C164" s="344" t="n">
        <v>0.015</v>
      </c>
      <c r="D164" s="344" t="n">
        <v>0.022</v>
      </c>
      <c r="E164" s="344" t="n">
        <v>0.064</v>
      </c>
      <c r="F164" s="344" t="n">
        <v>0.118</v>
      </c>
      <c r="G164" s="344" t="n">
        <v>0.342</v>
      </c>
      <c r="H164" s="344" t="n">
        <v>0.536</v>
      </c>
      <c r="I164" s="344" t="n">
        <v>0.743</v>
      </c>
      <c r="J164" s="344" t="n">
        <v>0.884</v>
      </c>
      <c r="K164" s="344" t="n">
        <v>0.976</v>
      </c>
      <c r="L164" s="344" t="n">
        <v>1.096</v>
      </c>
      <c r="M164" s="344" t="n">
        <v>1.246</v>
      </c>
      <c r="N164" s="344" t="n">
        <v>1.298</v>
      </c>
      <c r="O164" s="344" t="n">
        <v>2</v>
      </c>
      <c r="P164" s="344" t="n">
        <v>2</v>
      </c>
      <c r="Q164" s="344" t="n">
        <v>2</v>
      </c>
      <c r="R164" s="344" t="n">
        <v>2</v>
      </c>
      <c r="S164" s="344" t="n">
        <v>2</v>
      </c>
      <c r="T164" s="344" t="n">
        <v>2</v>
      </c>
      <c r="U164" s="344" t="n">
        <v>2</v>
      </c>
      <c r="V164" s="344" t="n">
        <v>2</v>
      </c>
      <c r="W164" s="344" t="n">
        <v>2</v>
      </c>
      <c r="X164" s="344" t="n">
        <f aca="false">W164</f>
        <v>2</v>
      </c>
      <c r="Y164" s="332" t="n">
        <v>1000</v>
      </c>
    </row>
    <row r="165" customFormat="false" ht="12" hidden="false" customHeight="false" outlineLevel="0" collapsed="false">
      <c r="A165" s="345" t="s">
        <v>229</v>
      </c>
      <c r="B165" s="346" t="n">
        <v>0</v>
      </c>
      <c r="C165" s="347" t="n">
        <v>64.982</v>
      </c>
      <c r="D165" s="347" t="n">
        <v>69.516</v>
      </c>
      <c r="E165" s="347" t="n">
        <v>55.537</v>
      </c>
      <c r="F165" s="347" t="n">
        <v>62.81</v>
      </c>
      <c r="G165" s="347" t="n">
        <v>62.149</v>
      </c>
      <c r="H165" s="347" t="n">
        <v>59.41</v>
      </c>
      <c r="I165" s="347" t="n">
        <v>53.837</v>
      </c>
      <c r="J165" s="347" t="n">
        <v>46.942</v>
      </c>
      <c r="K165" s="347" t="n">
        <v>40.047</v>
      </c>
      <c r="L165" s="347" t="n">
        <v>12.562</v>
      </c>
      <c r="M165" s="347" t="n">
        <v>2.078</v>
      </c>
      <c r="N165" s="347" t="n">
        <v>0</v>
      </c>
      <c r="O165" s="347" t="n">
        <v>0</v>
      </c>
      <c r="P165" s="347" t="n">
        <v>0</v>
      </c>
      <c r="Q165" s="347" t="n">
        <v>0</v>
      </c>
      <c r="R165" s="347" t="n">
        <v>0</v>
      </c>
      <c r="S165" s="347" t="n">
        <v>0</v>
      </c>
      <c r="T165" s="347" t="n">
        <f aca="false">S165</f>
        <v>0</v>
      </c>
      <c r="U165" s="347" t="n">
        <f aca="false">T165</f>
        <v>0</v>
      </c>
      <c r="V165" s="347" t="n">
        <f aca="false">U165</f>
        <v>0</v>
      </c>
      <c r="W165" s="347" t="n">
        <f aca="false">V165</f>
        <v>0</v>
      </c>
      <c r="X165" s="347" t="n">
        <f aca="false">W165</f>
        <v>0</v>
      </c>
      <c r="Y165" s="348" t="n">
        <v>0</v>
      </c>
    </row>
    <row r="166" customFormat="false" ht="12.75" hidden="false" customHeight="false" outlineLevel="0" collapsed="false">
      <c r="A166" s="333" t="s">
        <v>230</v>
      </c>
      <c r="B166" s="349" t="n">
        <f aca="false">(C165+B165)*(C164-B164)/2</f>
        <v>0.487365</v>
      </c>
      <c r="C166" s="350" t="n">
        <f aca="false">(D165+C165)*(D164-C164)/2</f>
        <v>0.470743</v>
      </c>
      <c r="D166" s="350" t="n">
        <f aca="false">(E165+D165)*(E164-D164)/2</f>
        <v>2.626113</v>
      </c>
      <c r="E166" s="350" t="n">
        <f aca="false">(F165+E165)*(F164-E164)/2</f>
        <v>3.195369</v>
      </c>
      <c r="F166" s="350" t="n">
        <f aca="false">(G165+F165)*(G164-F164)/2</f>
        <v>13.995408</v>
      </c>
      <c r="G166" s="350" t="n">
        <f aca="false">(H165+G165)*(H164-G164)/2</f>
        <v>11.791223</v>
      </c>
      <c r="H166" s="350" t="n">
        <f aca="false">(I165+H165)*(I164-H164)/2</f>
        <v>11.7210645</v>
      </c>
      <c r="I166" s="350" t="n">
        <f aca="false">(J165+I165)*(J164-I164)/2</f>
        <v>7.1049195</v>
      </c>
      <c r="J166" s="350" t="n">
        <f aca="false">(K165+J165)*(K164-J164)/2</f>
        <v>4.001494</v>
      </c>
      <c r="K166" s="350" t="n">
        <f aca="false">(L165+K165)*(L164-K164)/2</f>
        <v>3.15654</v>
      </c>
      <c r="L166" s="350" t="n">
        <f aca="false">(M165+L165)*(M164-L164)/2</f>
        <v>1.098</v>
      </c>
      <c r="M166" s="350" t="n">
        <f aca="false">(N165+M165)*(N164-M164)/2</f>
        <v>0.054028</v>
      </c>
      <c r="N166" s="350" t="n">
        <f aca="false">(O165+N165)*(O164-N164)/2</f>
        <v>0</v>
      </c>
      <c r="O166" s="350" t="n">
        <f aca="false">(P165+O165)*(P164-O164)/2</f>
        <v>0</v>
      </c>
      <c r="P166" s="350" t="n">
        <f aca="false">(Q165+P165)*(Q164-P164)/2</f>
        <v>0</v>
      </c>
      <c r="Q166" s="350" t="n">
        <f aca="false">(R165+Q165)*(R164-Q164)/2</f>
        <v>0</v>
      </c>
      <c r="R166" s="350" t="n">
        <f aca="false">(S165+R165)*(S164-R164)/2</f>
        <v>0</v>
      </c>
      <c r="S166" s="350" t="n">
        <f aca="false">(T165+S165)*(T164-S164)/2</f>
        <v>0</v>
      </c>
      <c r="T166" s="350" t="n">
        <f aca="false">(U165+T165)*(U164-T164)/2</f>
        <v>0</v>
      </c>
      <c r="U166" s="350" t="n">
        <f aca="false">(V165+U165)*(V164-U164)/2</f>
        <v>0</v>
      </c>
      <c r="V166" s="350" t="n">
        <f aca="false">(W165+V165)*(W164-V164)/2</f>
        <v>0</v>
      </c>
      <c r="W166" s="350" t="n">
        <f aca="false">(X165+W165)*(X164-W164)/2</f>
        <v>0</v>
      </c>
      <c r="X166" s="350" t="n">
        <f aca="false">(Y165+X165)*(Y164-X164)/2</f>
        <v>0</v>
      </c>
      <c r="Y166" s="336"/>
    </row>
    <row r="167" customFormat="false" ht="12.75" hidden="false" customHeight="false" outlineLevel="0" collapsed="false"/>
    <row r="168" customFormat="false" ht="13.5" hidden="false" customHeight="false" outlineLevel="0" collapsed="false">
      <c r="A168" s="338" t="s">
        <v>268</v>
      </c>
      <c r="B168" s="339" t="n">
        <f aca="false">ROW(A168)</f>
        <v>168</v>
      </c>
      <c r="C168" s="322" t="s">
        <v>213</v>
      </c>
      <c r="D168" s="323" t="n">
        <f aca="false">SUM(B171:Y171)</f>
        <v>68.380603</v>
      </c>
      <c r="E168" s="322" t="s">
        <v>214</v>
      </c>
      <c r="F168" s="324" t="n">
        <f aca="false">D168/g/J168</f>
        <v>134.048073002431</v>
      </c>
      <c r="G168" s="322" t="s">
        <v>215</v>
      </c>
      <c r="H168" s="340" t="n">
        <v>0.1075</v>
      </c>
      <c r="I168" s="322" t="s">
        <v>226</v>
      </c>
      <c r="J168" s="325" t="n">
        <f aca="false">H168-L168</f>
        <v>0.052</v>
      </c>
      <c r="K168" s="322" t="s">
        <v>227</v>
      </c>
      <c r="L168" s="340" t="n">
        <v>0.0555</v>
      </c>
      <c r="M168" s="322" t="s">
        <v>218</v>
      </c>
      <c r="N168" s="353" t="n">
        <v>66.5</v>
      </c>
      <c r="O168" s="322" t="s">
        <v>219</v>
      </c>
      <c r="P168" s="353" t="n">
        <v>66.5</v>
      </c>
      <c r="Q168" s="322" t="s">
        <v>220</v>
      </c>
      <c r="R168" s="341" t="n">
        <v>133</v>
      </c>
      <c r="S168" s="322" t="s">
        <v>221</v>
      </c>
      <c r="T168" s="341" t="n">
        <v>24</v>
      </c>
      <c r="U168" s="322" t="s">
        <v>8</v>
      </c>
      <c r="V168" s="342" t="s">
        <v>251</v>
      </c>
      <c r="W168" s="328" t="s">
        <v>222</v>
      </c>
      <c r="X168" s="351" t="n">
        <v>0.86</v>
      </c>
      <c r="Y168" s="328" t="s">
        <v>223</v>
      </c>
      <c r="Z168" s="327" t="n">
        <v>13</v>
      </c>
    </row>
    <row r="169" customFormat="false" ht="12" hidden="false" customHeight="false" outlineLevel="0" collapsed="false">
      <c r="A169" s="320" t="s">
        <v>228</v>
      </c>
      <c r="B169" s="343" t="n">
        <v>0</v>
      </c>
      <c r="C169" s="344" t="n">
        <v>0.005</v>
      </c>
      <c r="D169" s="344" t="n">
        <v>0.013</v>
      </c>
      <c r="E169" s="344" t="n">
        <v>0.022</v>
      </c>
      <c r="F169" s="344" t="n">
        <v>0.043</v>
      </c>
      <c r="G169" s="344" t="n">
        <v>0.119</v>
      </c>
      <c r="H169" s="344" t="n">
        <v>0.198</v>
      </c>
      <c r="I169" s="344" t="n">
        <v>0.267</v>
      </c>
      <c r="J169" s="344" t="n">
        <v>0.343</v>
      </c>
      <c r="K169" s="344" t="n">
        <v>0.404</v>
      </c>
      <c r="L169" s="344" t="n">
        <v>0.498</v>
      </c>
      <c r="M169" s="344" t="n">
        <v>0.555</v>
      </c>
      <c r="N169" s="344" t="n">
        <v>0.622</v>
      </c>
      <c r="O169" s="344" t="n">
        <v>0.663</v>
      </c>
      <c r="P169" s="344" t="n">
        <v>0.704</v>
      </c>
      <c r="Q169" s="344" t="n">
        <v>0.729</v>
      </c>
      <c r="R169" s="344" t="n">
        <v>0.747</v>
      </c>
      <c r="S169" s="344" t="n">
        <v>0.768</v>
      </c>
      <c r="T169" s="344" t="n">
        <v>0.821</v>
      </c>
      <c r="U169" s="344" t="n">
        <v>0.852</v>
      </c>
      <c r="V169" s="344" t="n">
        <v>0.892</v>
      </c>
      <c r="W169" s="344" t="n">
        <v>1</v>
      </c>
      <c r="X169" s="344" t="n">
        <v>2</v>
      </c>
      <c r="Y169" s="332" t="n">
        <v>1000</v>
      </c>
    </row>
    <row r="170" customFormat="false" ht="12" hidden="false" customHeight="false" outlineLevel="0" collapsed="false">
      <c r="A170" s="345" t="s">
        <v>229</v>
      </c>
      <c r="B170" s="346" t="n">
        <v>0</v>
      </c>
      <c r="C170" s="347" t="n">
        <v>60</v>
      </c>
      <c r="D170" s="347" t="n">
        <v>89.007</v>
      </c>
      <c r="E170" s="347" t="n">
        <v>96.291</v>
      </c>
      <c r="F170" s="347" t="n">
        <v>81.722</v>
      </c>
      <c r="G170" s="347" t="n">
        <v>85.563</v>
      </c>
      <c r="H170" s="347" t="n">
        <v>87.947</v>
      </c>
      <c r="I170" s="347" t="n">
        <v>89.272</v>
      </c>
      <c r="J170" s="347" t="n">
        <v>89.934</v>
      </c>
      <c r="K170" s="347" t="n">
        <v>90.861</v>
      </c>
      <c r="L170" s="347" t="n">
        <v>91.523</v>
      </c>
      <c r="M170" s="347" t="n">
        <v>89.669</v>
      </c>
      <c r="N170" s="347" t="n">
        <v>83.974</v>
      </c>
      <c r="O170" s="347" t="n">
        <v>80.53</v>
      </c>
      <c r="P170" s="347" t="n">
        <v>78.94</v>
      </c>
      <c r="Q170" s="347" t="n">
        <v>74.172</v>
      </c>
      <c r="R170" s="347" t="n">
        <v>66.887</v>
      </c>
      <c r="S170" s="347" t="n">
        <v>53.775</v>
      </c>
      <c r="T170" s="347" t="n">
        <v>18.543</v>
      </c>
      <c r="U170" s="347" t="n">
        <v>7.815</v>
      </c>
      <c r="V170" s="347" t="n">
        <v>2.119</v>
      </c>
      <c r="W170" s="347" t="n">
        <v>0</v>
      </c>
      <c r="X170" s="347" t="n">
        <v>0</v>
      </c>
      <c r="Y170" s="348" t="n">
        <v>0</v>
      </c>
    </row>
    <row r="171" customFormat="false" ht="12.75" hidden="false" customHeight="false" outlineLevel="0" collapsed="false">
      <c r="A171" s="333" t="s">
        <v>230</v>
      </c>
      <c r="B171" s="349" t="n">
        <f aca="false">(C170+B170)*(C169-B169)/2</f>
        <v>0.15</v>
      </c>
      <c r="C171" s="350" t="n">
        <f aca="false">(D170+C170)*(D169-C169)/2</f>
        <v>0.596028</v>
      </c>
      <c r="D171" s="350" t="n">
        <f aca="false">(E170+D170)*(E169-D169)/2</f>
        <v>0.833841</v>
      </c>
      <c r="E171" s="350" t="n">
        <f aca="false">(F170+E170)*(F169-E169)/2</f>
        <v>1.8691365</v>
      </c>
      <c r="F171" s="350" t="n">
        <f aca="false">(G170+F170)*(G169-F169)/2</f>
        <v>6.35683</v>
      </c>
      <c r="G171" s="350" t="n">
        <f aca="false">(H170+G170)*(H169-G169)/2</f>
        <v>6.853645</v>
      </c>
      <c r="H171" s="350" t="n">
        <f aca="false">(I170+H170)*(I169-H169)/2</f>
        <v>6.1140555</v>
      </c>
      <c r="I171" s="350" t="n">
        <f aca="false">(J170+I170)*(J169-I169)/2</f>
        <v>6.809828</v>
      </c>
      <c r="J171" s="350" t="n">
        <f aca="false">(K170+J170)*(K169-J169)/2</f>
        <v>5.5142475</v>
      </c>
      <c r="K171" s="350" t="n">
        <f aca="false">(L170+K170)*(L169-K169)/2</f>
        <v>8.572048</v>
      </c>
      <c r="L171" s="350" t="n">
        <f aca="false">(M170+L170)*(M169-L169)/2</f>
        <v>5.16397200000001</v>
      </c>
      <c r="M171" s="350" t="n">
        <f aca="false">(N170+M170)*(N169-M169)/2</f>
        <v>5.8170405</v>
      </c>
      <c r="N171" s="350" t="n">
        <f aca="false">(O170+N170)*(O169-N169)/2</f>
        <v>3.372332</v>
      </c>
      <c r="O171" s="350" t="n">
        <f aca="false">(P170+O170)*(P169-O169)/2</f>
        <v>3.26913499999999</v>
      </c>
      <c r="P171" s="350" t="n">
        <f aca="false">(Q170+P170)*(Q169-P169)/2</f>
        <v>1.9139</v>
      </c>
      <c r="Q171" s="350" t="n">
        <f aca="false">(R170+Q170)*(R169-Q169)/2</f>
        <v>1.269531</v>
      </c>
      <c r="R171" s="350" t="n">
        <f aca="false">(S170+R170)*(S169-R169)/2</f>
        <v>1.266951</v>
      </c>
      <c r="S171" s="350" t="n">
        <f aca="false">(T170+S170)*(T169-S169)/2</f>
        <v>1.916427</v>
      </c>
      <c r="T171" s="350" t="n">
        <f aca="false">(U170+T170)*(U169-T169)/2</f>
        <v>0.408549</v>
      </c>
      <c r="U171" s="350" t="n">
        <f aca="false">(V170+U170)*(V169-U169)/2</f>
        <v>0.19868</v>
      </c>
      <c r="V171" s="350" t="n">
        <f aca="false">(W170+V170)*(W169-V169)/2</f>
        <v>0.114426</v>
      </c>
      <c r="W171" s="350" t="n">
        <f aca="false">(X170+W170)*(X169-W169)/2</f>
        <v>0</v>
      </c>
      <c r="X171" s="350" t="n">
        <f aca="false">(Y170+X170)*(Y169-X169)/2</f>
        <v>0</v>
      </c>
      <c r="Y171" s="336"/>
    </row>
    <row r="172" customFormat="false" ht="12.75" hidden="false" customHeight="false" outlineLevel="0" collapsed="false">
      <c r="B172" s="337"/>
      <c r="C172" s="337"/>
      <c r="D172" s="337"/>
      <c r="E172" s="337"/>
      <c r="F172" s="337"/>
      <c r="G172" s="337"/>
      <c r="H172" s="337"/>
      <c r="I172" s="337"/>
      <c r="J172" s="337"/>
      <c r="K172" s="337"/>
      <c r="L172" s="337"/>
      <c r="M172" s="337"/>
      <c r="N172" s="337"/>
      <c r="O172" s="337"/>
      <c r="P172" s="337"/>
      <c r="Q172" s="337"/>
      <c r="R172" s="337"/>
      <c r="S172" s="337"/>
      <c r="T172" s="337"/>
      <c r="U172" s="337"/>
      <c r="V172" s="337"/>
      <c r="W172" s="337"/>
      <c r="X172" s="337"/>
      <c r="Y172" s="337"/>
    </row>
    <row r="173" customFormat="false" ht="13.5" hidden="false" customHeight="false" outlineLevel="0" collapsed="false">
      <c r="A173" s="338" t="s">
        <v>269</v>
      </c>
      <c r="B173" s="339" t="n">
        <f aca="false">ROW(A173)</f>
        <v>173</v>
      </c>
      <c r="C173" s="322" t="s">
        <v>213</v>
      </c>
      <c r="D173" s="323" t="n">
        <f aca="false">SUM(B176:Y176)</f>
        <v>67.9854285</v>
      </c>
      <c r="E173" s="322" t="s">
        <v>214</v>
      </c>
      <c r="F173" s="324" t="n">
        <f aca="false">D173/g/J173</f>
        <v>181.895458595199</v>
      </c>
      <c r="G173" s="322" t="s">
        <v>215</v>
      </c>
      <c r="H173" s="340" t="n">
        <v>0.0918</v>
      </c>
      <c r="I173" s="322" t="s">
        <v>226</v>
      </c>
      <c r="J173" s="325" t="n">
        <f aca="false">H173-L173</f>
        <v>0.0381</v>
      </c>
      <c r="K173" s="322" t="s">
        <v>227</v>
      </c>
      <c r="L173" s="340" t="n">
        <v>0.0537</v>
      </c>
      <c r="M173" s="322" t="s">
        <v>218</v>
      </c>
      <c r="N173" s="353" t="n">
        <v>66.5</v>
      </c>
      <c r="O173" s="322" t="s">
        <v>219</v>
      </c>
      <c r="P173" s="353" t="n">
        <v>66.5</v>
      </c>
      <c r="Q173" s="322" t="s">
        <v>220</v>
      </c>
      <c r="R173" s="341" t="n">
        <v>133</v>
      </c>
      <c r="S173" s="322" t="s">
        <v>221</v>
      </c>
      <c r="T173" s="341" t="n">
        <v>24</v>
      </c>
      <c r="U173" s="322" t="s">
        <v>8</v>
      </c>
      <c r="V173" s="342" t="s">
        <v>251</v>
      </c>
      <c r="W173" s="328" t="s">
        <v>222</v>
      </c>
      <c r="X173" s="351" t="n">
        <v>0.33</v>
      </c>
      <c r="Y173" s="328" t="s">
        <v>223</v>
      </c>
      <c r="Z173" s="327" t="n">
        <v>15</v>
      </c>
    </row>
    <row r="174" customFormat="false" ht="12" hidden="false" customHeight="false" outlineLevel="0" collapsed="false">
      <c r="A174" s="320" t="s">
        <v>228</v>
      </c>
      <c r="B174" s="343" t="n">
        <v>0</v>
      </c>
      <c r="C174" s="344" t="n">
        <v>0.004</v>
      </c>
      <c r="D174" s="344" t="n">
        <v>0.007</v>
      </c>
      <c r="E174" s="344" t="n">
        <v>0.01</v>
      </c>
      <c r="F174" s="344" t="n">
        <v>0.022</v>
      </c>
      <c r="G174" s="344" t="n">
        <v>0.028</v>
      </c>
      <c r="H174" s="344" t="n">
        <v>0.041</v>
      </c>
      <c r="I174" s="344" t="n">
        <v>0.058</v>
      </c>
      <c r="J174" s="344" t="n">
        <v>0.077</v>
      </c>
      <c r="K174" s="344" t="n">
        <v>0.089</v>
      </c>
      <c r="L174" s="344" t="n">
        <v>0.097</v>
      </c>
      <c r="M174" s="344" t="n">
        <v>0.119</v>
      </c>
      <c r="N174" s="344" t="n">
        <v>0.147</v>
      </c>
      <c r="O174" s="344" t="n">
        <v>0.177</v>
      </c>
      <c r="P174" s="344" t="n">
        <v>0.207</v>
      </c>
      <c r="Q174" s="344" t="n">
        <v>0.253</v>
      </c>
      <c r="R174" s="344" t="n">
        <v>0.259</v>
      </c>
      <c r="S174" s="344" t="n">
        <v>0.272</v>
      </c>
      <c r="T174" s="344" t="n">
        <v>0.28</v>
      </c>
      <c r="U174" s="344" t="n">
        <v>0.286</v>
      </c>
      <c r="V174" s="344" t="n">
        <v>0.294</v>
      </c>
      <c r="W174" s="344" t="n">
        <v>0.328</v>
      </c>
      <c r="X174" s="344" t="n">
        <v>2</v>
      </c>
      <c r="Y174" s="332" t="n">
        <v>1000</v>
      </c>
    </row>
    <row r="175" customFormat="false" ht="12" hidden="false" customHeight="false" outlineLevel="0" collapsed="false">
      <c r="A175" s="345" t="s">
        <v>229</v>
      </c>
      <c r="B175" s="346" t="n">
        <v>0</v>
      </c>
      <c r="C175" s="355" t="n">
        <v>100.528</v>
      </c>
      <c r="D175" s="355" t="n">
        <v>197.493</v>
      </c>
      <c r="E175" s="355" t="n">
        <v>222.032</v>
      </c>
      <c r="F175" s="355" t="n">
        <v>241.425</v>
      </c>
      <c r="G175" s="355" t="n">
        <v>237.863</v>
      </c>
      <c r="H175" s="355" t="n">
        <v>239.446</v>
      </c>
      <c r="I175" s="355" t="n">
        <v>252.507</v>
      </c>
      <c r="J175" s="355" t="n">
        <v>263.984</v>
      </c>
      <c r="K175" s="355" t="n">
        <v>275.462</v>
      </c>
      <c r="L175" s="355" t="n">
        <v>271.504</v>
      </c>
      <c r="M175" s="355" t="n">
        <v>278.628</v>
      </c>
      <c r="N175" s="355" t="n">
        <v>281.398</v>
      </c>
      <c r="O175" s="355" t="n">
        <v>272.296</v>
      </c>
      <c r="P175" s="355" t="n">
        <v>258.443</v>
      </c>
      <c r="Q175" s="355" t="n">
        <v>218.47</v>
      </c>
      <c r="R175" s="355" t="n">
        <v>188.786</v>
      </c>
      <c r="S175" s="355" t="n">
        <v>74.802</v>
      </c>
      <c r="T175" s="355" t="n">
        <v>31.266</v>
      </c>
      <c r="U175" s="355" t="n">
        <v>15.831</v>
      </c>
      <c r="V175" s="355" t="n">
        <v>8.707</v>
      </c>
      <c r="W175" s="355" t="n">
        <v>0</v>
      </c>
      <c r="X175" s="347" t="n">
        <v>0</v>
      </c>
      <c r="Y175" s="348" t="n">
        <v>0</v>
      </c>
    </row>
    <row r="176" customFormat="false" ht="12.75" hidden="false" customHeight="false" outlineLevel="0" collapsed="false">
      <c r="A176" s="333" t="s">
        <v>230</v>
      </c>
      <c r="B176" s="349" t="n">
        <f aca="false">(C175+B175)*(C174-B174)/2</f>
        <v>0.201056</v>
      </c>
      <c r="C176" s="350" t="n">
        <f aca="false">(D175+C175)*(D174-C174)/2</f>
        <v>0.4470315</v>
      </c>
      <c r="D176" s="350" t="n">
        <f aca="false">(E175+D175)*(E174-D174)/2</f>
        <v>0.6292875</v>
      </c>
      <c r="E176" s="350" t="n">
        <f aca="false">(F175+E175)*(F174-E174)/2</f>
        <v>2.780742</v>
      </c>
      <c r="F176" s="350" t="n">
        <f aca="false">(G175+F175)*(G174-F174)/2</f>
        <v>1.437864</v>
      </c>
      <c r="G176" s="350" t="n">
        <f aca="false">(H175+G175)*(H174-G174)/2</f>
        <v>3.1025085</v>
      </c>
      <c r="H176" s="350" t="n">
        <f aca="false">(I175+H175)*(I174-H174)/2</f>
        <v>4.1816005</v>
      </c>
      <c r="I176" s="350" t="n">
        <f aca="false">(J175+I175)*(J174-I174)/2</f>
        <v>4.9066645</v>
      </c>
      <c r="J176" s="350" t="n">
        <f aca="false">(K175+J175)*(K174-J174)/2</f>
        <v>3.236676</v>
      </c>
      <c r="K176" s="350" t="n">
        <f aca="false">(L175+K175)*(L174-K174)/2</f>
        <v>2.187864</v>
      </c>
      <c r="L176" s="350" t="n">
        <f aca="false">(M175+L175)*(M174-L174)/2</f>
        <v>6.051452</v>
      </c>
      <c r="M176" s="350" t="n">
        <f aca="false">(N175+M175)*(N174-M174)/2</f>
        <v>7.840364</v>
      </c>
      <c r="N176" s="350" t="n">
        <f aca="false">(O175+N175)*(O174-N174)/2</f>
        <v>8.30541</v>
      </c>
      <c r="O176" s="350" t="n">
        <f aca="false">(P175+O175)*(P174-O174)/2</f>
        <v>7.961085</v>
      </c>
      <c r="P176" s="350" t="n">
        <f aca="false">(Q175+P175)*(Q174-P174)/2</f>
        <v>10.968999</v>
      </c>
      <c r="Q176" s="350" t="n">
        <f aca="false">(R175+Q175)*(R174-Q174)/2</f>
        <v>1.221768</v>
      </c>
      <c r="R176" s="350" t="n">
        <f aca="false">(S175+R175)*(S174-R174)/2</f>
        <v>1.713322</v>
      </c>
      <c r="S176" s="350" t="n">
        <f aca="false">(T175+S175)*(T174-S174)/2</f>
        <v>0.424272</v>
      </c>
      <c r="T176" s="350" t="n">
        <f aca="false">(U175+T175)*(U174-T174)/2</f>
        <v>0.141290999999999</v>
      </c>
      <c r="U176" s="350" t="n">
        <f aca="false">(V175+U175)*(V174-U174)/2</f>
        <v>0.0981520000000001</v>
      </c>
      <c r="V176" s="350" t="n">
        <f aca="false">(W175+V175)*(W174-V174)/2</f>
        <v>0.148019</v>
      </c>
      <c r="W176" s="350" t="n">
        <f aca="false">(X175+W175)*(X174-W174)/2</f>
        <v>0</v>
      </c>
      <c r="X176" s="350" t="n">
        <f aca="false">(Y175+X175)*(Y174-X174)/2</f>
        <v>0</v>
      </c>
      <c r="Y176" s="336"/>
    </row>
    <row r="177" customFormat="false" ht="12.75" hidden="false" customHeight="false" outlineLevel="0" collapsed="false">
      <c r="B177" s="337"/>
      <c r="C177" s="337"/>
      <c r="D177" s="337"/>
      <c r="E177" s="337"/>
      <c r="F177" s="337"/>
      <c r="G177" s="337"/>
      <c r="H177" s="337"/>
      <c r="I177" s="337"/>
      <c r="J177" s="337"/>
      <c r="K177" s="337"/>
      <c r="L177" s="337"/>
      <c r="M177" s="337"/>
      <c r="N177" s="337"/>
      <c r="O177" s="337"/>
      <c r="P177" s="337"/>
      <c r="Q177" s="337"/>
      <c r="R177" s="337"/>
      <c r="S177" s="337"/>
      <c r="T177" s="337"/>
      <c r="U177" s="337"/>
      <c r="V177" s="337"/>
      <c r="W177" s="337"/>
      <c r="X177" s="337"/>
      <c r="Y177" s="337"/>
    </row>
    <row r="178" customFormat="false" ht="13.5" hidden="false" customHeight="false" outlineLevel="0" collapsed="false">
      <c r="A178" s="338" t="s">
        <v>270</v>
      </c>
      <c r="B178" s="339" t="n">
        <f aca="false">ROW(A178)</f>
        <v>178</v>
      </c>
      <c r="C178" s="322" t="s">
        <v>213</v>
      </c>
      <c r="D178" s="323" t="n">
        <f aca="false">SUM(B181:Y181)</f>
        <v>73.5573815</v>
      </c>
      <c r="E178" s="322" t="s">
        <v>214</v>
      </c>
      <c r="F178" s="324" t="n">
        <f aca="false">D178/g/J178</f>
        <v>156.866193023087</v>
      </c>
      <c r="G178" s="322" t="s">
        <v>215</v>
      </c>
      <c r="H178" s="340" t="n">
        <v>0.1022</v>
      </c>
      <c r="I178" s="322" t="s">
        <v>226</v>
      </c>
      <c r="J178" s="325" t="n">
        <f aca="false">H178-L178</f>
        <v>0.0478</v>
      </c>
      <c r="K178" s="322" t="s">
        <v>227</v>
      </c>
      <c r="L178" s="340" t="n">
        <v>0.0544</v>
      </c>
      <c r="M178" s="322" t="s">
        <v>218</v>
      </c>
      <c r="N178" s="353" t="n">
        <v>66.5</v>
      </c>
      <c r="O178" s="322" t="s">
        <v>219</v>
      </c>
      <c r="P178" s="353" t="n">
        <v>66.5</v>
      </c>
      <c r="Q178" s="322" t="s">
        <v>220</v>
      </c>
      <c r="R178" s="341" t="n">
        <v>133</v>
      </c>
      <c r="S178" s="322" t="s">
        <v>221</v>
      </c>
      <c r="T178" s="341" t="n">
        <v>24</v>
      </c>
      <c r="U178" s="322" t="s">
        <v>8</v>
      </c>
      <c r="V178" s="342" t="s">
        <v>251</v>
      </c>
      <c r="W178" s="328" t="s">
        <v>222</v>
      </c>
      <c r="X178" s="351" t="n">
        <v>2.36</v>
      </c>
      <c r="Y178" s="328" t="s">
        <v>223</v>
      </c>
      <c r="Z178" s="327" t="n">
        <v>6</v>
      </c>
    </row>
    <row r="179" customFormat="false" ht="12" hidden="false" customHeight="false" outlineLevel="0" collapsed="false">
      <c r="A179" s="320" t="s">
        <v>228</v>
      </c>
      <c r="B179" s="343" t="n">
        <v>0</v>
      </c>
      <c r="C179" s="344" t="n">
        <v>0.014</v>
      </c>
      <c r="D179" s="344" t="n">
        <v>0.056</v>
      </c>
      <c r="E179" s="344" t="n">
        <v>0.092</v>
      </c>
      <c r="F179" s="344" t="n">
        <v>0.16</v>
      </c>
      <c r="G179" s="344" t="n">
        <v>0.232</v>
      </c>
      <c r="H179" s="344" t="n">
        <v>0.363</v>
      </c>
      <c r="I179" s="344" t="n">
        <v>0.499</v>
      </c>
      <c r="J179" s="344" t="n">
        <v>0.655</v>
      </c>
      <c r="K179" s="344" t="n">
        <v>0.843</v>
      </c>
      <c r="L179" s="344" t="n">
        <v>1.216</v>
      </c>
      <c r="M179" s="344" t="n">
        <v>1.368</v>
      </c>
      <c r="N179" s="344" t="n">
        <v>1.54</v>
      </c>
      <c r="O179" s="344" t="n">
        <v>1.675</v>
      </c>
      <c r="P179" s="344" t="n">
        <v>1.861</v>
      </c>
      <c r="Q179" s="344" t="n">
        <v>2.013</v>
      </c>
      <c r="R179" s="344" t="n">
        <v>2.159</v>
      </c>
      <c r="S179" s="344" t="n">
        <v>2.302</v>
      </c>
      <c r="T179" s="344" t="n">
        <v>2.462</v>
      </c>
      <c r="U179" s="344" t="n">
        <v>2.598</v>
      </c>
      <c r="V179" s="344" t="n">
        <v>2.598</v>
      </c>
      <c r="W179" s="344" t="n">
        <v>2.598</v>
      </c>
      <c r="X179" s="344" t="n">
        <v>2.598</v>
      </c>
      <c r="Y179" s="332" t="n">
        <v>1000</v>
      </c>
    </row>
    <row r="180" customFormat="false" ht="12" hidden="false" customHeight="false" outlineLevel="0" collapsed="false">
      <c r="A180" s="345" t="s">
        <v>229</v>
      </c>
      <c r="B180" s="346" t="n">
        <v>0</v>
      </c>
      <c r="C180" s="355" t="n">
        <v>54.222</v>
      </c>
      <c r="D180" s="355" t="n">
        <v>43.456</v>
      </c>
      <c r="E180" s="355" t="n">
        <v>50.185</v>
      </c>
      <c r="F180" s="355" t="n">
        <v>54.063</v>
      </c>
      <c r="G180" s="355" t="n">
        <v>48.364</v>
      </c>
      <c r="H180" s="355" t="n">
        <v>45.752</v>
      </c>
      <c r="I180" s="355" t="n">
        <v>43.14</v>
      </c>
      <c r="J180" s="355" t="n">
        <v>40.29</v>
      </c>
      <c r="K180" s="355" t="n">
        <v>37.836</v>
      </c>
      <c r="L180" s="355" t="n">
        <v>32.612</v>
      </c>
      <c r="M180" s="355" t="n">
        <v>30.317</v>
      </c>
      <c r="N180" s="355" t="n">
        <v>26.359</v>
      </c>
      <c r="O180" s="355" t="n">
        <v>23.509</v>
      </c>
      <c r="P180" s="355" t="n">
        <v>19.077</v>
      </c>
      <c r="Q180" s="355" t="n">
        <v>14.565</v>
      </c>
      <c r="R180" s="355" t="n">
        <v>10.053</v>
      </c>
      <c r="S180" s="355" t="n">
        <v>4.828</v>
      </c>
      <c r="T180" s="355" t="n">
        <v>1.504</v>
      </c>
      <c r="U180" s="347" t="n">
        <v>0</v>
      </c>
      <c r="V180" s="347" t="n">
        <v>0</v>
      </c>
      <c r="W180" s="347" t="n">
        <v>0</v>
      </c>
      <c r="X180" s="347" t="n">
        <v>0</v>
      </c>
      <c r="Y180" s="348" t="n">
        <v>0</v>
      </c>
    </row>
    <row r="181" customFormat="false" ht="12.75" hidden="false" customHeight="false" outlineLevel="0" collapsed="false">
      <c r="A181" s="333" t="s">
        <v>230</v>
      </c>
      <c r="B181" s="349" t="n">
        <f aca="false">(C180+B180)*(C179-B179)/2</f>
        <v>0.379554</v>
      </c>
      <c r="C181" s="350" t="n">
        <f aca="false">(D180+C180)*(D179-C179)/2</f>
        <v>2.051238</v>
      </c>
      <c r="D181" s="350" t="n">
        <f aca="false">(E180+D180)*(E179-D179)/2</f>
        <v>1.685538</v>
      </c>
      <c r="E181" s="350" t="n">
        <f aca="false">(F180+E180)*(F179-E179)/2</f>
        <v>3.544432</v>
      </c>
      <c r="F181" s="350" t="n">
        <f aca="false">(G180+F180)*(G179-F179)/2</f>
        <v>3.687372</v>
      </c>
      <c r="G181" s="350" t="n">
        <f aca="false">(H180+G180)*(H179-G179)/2</f>
        <v>6.164598</v>
      </c>
      <c r="H181" s="350" t="n">
        <f aca="false">(I180+H180)*(I179-H179)/2</f>
        <v>6.044656</v>
      </c>
      <c r="I181" s="350" t="n">
        <f aca="false">(J180+I180)*(J179-I179)/2</f>
        <v>6.50754</v>
      </c>
      <c r="J181" s="350" t="n">
        <f aca="false">(K180+J180)*(K179-J179)/2</f>
        <v>7.343844</v>
      </c>
      <c r="K181" s="350" t="n">
        <f aca="false">(L180+K180)*(L179-K179)/2</f>
        <v>13.138552</v>
      </c>
      <c r="L181" s="350" t="n">
        <f aca="false">(M180+L180)*(M179-L179)/2</f>
        <v>4.782604</v>
      </c>
      <c r="M181" s="350" t="n">
        <f aca="false">(N180+M180)*(N179-M179)/2</f>
        <v>4.874136</v>
      </c>
      <c r="N181" s="350" t="n">
        <f aca="false">(O180+N180)*(O179-N179)/2</f>
        <v>3.36609</v>
      </c>
      <c r="O181" s="350" t="n">
        <f aca="false">(P180+O180)*(P179-O179)/2</f>
        <v>3.960498</v>
      </c>
      <c r="P181" s="350" t="n">
        <f aca="false">(Q180+P180)*(Q179-P179)/2</f>
        <v>2.556792</v>
      </c>
      <c r="Q181" s="350" t="n">
        <f aca="false">(R180+Q180)*(R179-Q179)/2</f>
        <v>1.797114</v>
      </c>
      <c r="R181" s="350" t="n">
        <f aca="false">(S180+R180)*(S179-R179)/2</f>
        <v>1.0639915</v>
      </c>
      <c r="S181" s="350" t="n">
        <f aca="false">(T180+S180)*(T179-S179)/2</f>
        <v>0.506560000000001</v>
      </c>
      <c r="T181" s="350" t="n">
        <f aca="false">(U180+T180)*(U179-T179)/2</f>
        <v>0.102272</v>
      </c>
      <c r="U181" s="350" t="n">
        <f aca="false">(V180+U180)*(V179-U179)/2</f>
        <v>0</v>
      </c>
      <c r="V181" s="350" t="n">
        <f aca="false">(W180+V180)*(W179-V179)/2</f>
        <v>0</v>
      </c>
      <c r="W181" s="350" t="n">
        <f aca="false">(X180+W180)*(X179-W179)/2</f>
        <v>0</v>
      </c>
      <c r="X181" s="350" t="n">
        <f aca="false">(Y180+X180)*(Y179-X179)/2</f>
        <v>0</v>
      </c>
      <c r="Y181" s="336"/>
    </row>
    <row r="182" customFormat="false" ht="12.75" hidden="false" customHeight="false" outlineLevel="0" collapsed="false">
      <c r="B182" s="337"/>
      <c r="C182" s="337"/>
      <c r="D182" s="337"/>
      <c r="E182" s="337"/>
      <c r="F182" s="337"/>
      <c r="G182" s="337"/>
      <c r="H182" s="337"/>
      <c r="I182" s="337"/>
      <c r="J182" s="337"/>
      <c r="K182" s="337"/>
      <c r="L182" s="337"/>
      <c r="M182" s="337"/>
      <c r="N182" s="337"/>
      <c r="O182" s="337"/>
      <c r="P182" s="337"/>
      <c r="Q182" s="337"/>
      <c r="R182" s="337"/>
      <c r="S182" s="337"/>
      <c r="T182" s="337"/>
      <c r="U182" s="337"/>
      <c r="V182" s="337"/>
      <c r="W182" s="337"/>
      <c r="X182" s="337"/>
      <c r="Y182" s="337"/>
    </row>
    <row r="183" customFormat="false" ht="13.5" hidden="false" customHeight="false" outlineLevel="0" collapsed="false">
      <c r="A183" s="338" t="s">
        <v>271</v>
      </c>
      <c r="B183" s="339" t="n">
        <f aca="false">ROW(A183)</f>
        <v>183</v>
      </c>
      <c r="C183" s="322" t="s">
        <v>213</v>
      </c>
      <c r="D183" s="323" t="n">
        <f aca="false">SUM(B186:Y186)</f>
        <v>73.169518</v>
      </c>
      <c r="E183" s="322" t="s">
        <v>214</v>
      </c>
      <c r="F183" s="324" t="n">
        <f aca="false">D183/g/J183</f>
        <v>177.587296733168</v>
      </c>
      <c r="G183" s="322" t="s">
        <v>215</v>
      </c>
      <c r="H183" s="340" t="n">
        <v>0.096</v>
      </c>
      <c r="I183" s="322" t="s">
        <v>226</v>
      </c>
      <c r="J183" s="325" t="n">
        <f aca="false">H183-L183</f>
        <v>0.042</v>
      </c>
      <c r="K183" s="322" t="s">
        <v>227</v>
      </c>
      <c r="L183" s="340" t="n">
        <v>0.054</v>
      </c>
      <c r="M183" s="322" t="s">
        <v>218</v>
      </c>
      <c r="N183" s="353" t="n">
        <v>66.5</v>
      </c>
      <c r="O183" s="322" t="s">
        <v>219</v>
      </c>
      <c r="P183" s="353" t="n">
        <v>66.5</v>
      </c>
      <c r="Q183" s="322" t="s">
        <v>220</v>
      </c>
      <c r="R183" s="341" t="n">
        <v>133</v>
      </c>
      <c r="S183" s="322" t="s">
        <v>221</v>
      </c>
      <c r="T183" s="341" t="n">
        <v>24</v>
      </c>
      <c r="U183" s="322" t="s">
        <v>8</v>
      </c>
      <c r="V183" s="342" t="s">
        <v>251</v>
      </c>
      <c r="W183" s="328" t="s">
        <v>222</v>
      </c>
      <c r="X183" s="351" t="n">
        <v>0.87</v>
      </c>
      <c r="Y183" s="328" t="s">
        <v>223</v>
      </c>
      <c r="Z183" s="327" t="n">
        <v>15</v>
      </c>
    </row>
    <row r="184" customFormat="false" ht="12" hidden="false" customHeight="false" outlineLevel="0" collapsed="false">
      <c r="A184" s="320" t="s">
        <v>228</v>
      </c>
      <c r="B184" s="343" t="n">
        <v>0</v>
      </c>
      <c r="C184" s="344" t="n">
        <v>0.01</v>
      </c>
      <c r="D184" s="344" t="n">
        <v>0.023</v>
      </c>
      <c r="E184" s="344" t="n">
        <v>0.04</v>
      </c>
      <c r="F184" s="344" t="n">
        <v>0.118</v>
      </c>
      <c r="G184" s="344" t="n">
        <v>0.283</v>
      </c>
      <c r="H184" s="344" t="n">
        <v>0.51</v>
      </c>
      <c r="I184" s="344" t="n">
        <v>0.688</v>
      </c>
      <c r="J184" s="344" t="n">
        <v>0.787</v>
      </c>
      <c r="K184" s="344" t="n">
        <v>0.852</v>
      </c>
      <c r="L184" s="344" t="n">
        <v>0.873</v>
      </c>
      <c r="M184" s="344" t="n">
        <v>0.873</v>
      </c>
      <c r="N184" s="344" t="n">
        <v>0.873</v>
      </c>
      <c r="O184" s="344" t="n">
        <v>0.873</v>
      </c>
      <c r="P184" s="344" t="n">
        <v>0.873</v>
      </c>
      <c r="Q184" s="344" t="n">
        <v>0.873</v>
      </c>
      <c r="R184" s="344" t="n">
        <v>0.873</v>
      </c>
      <c r="S184" s="344" t="n">
        <v>0.873</v>
      </c>
      <c r="T184" s="344" t="n">
        <v>0.873</v>
      </c>
      <c r="U184" s="344" t="n">
        <v>0.873</v>
      </c>
      <c r="V184" s="344" t="n">
        <v>0.873</v>
      </c>
      <c r="W184" s="344" t="n">
        <v>0.873</v>
      </c>
      <c r="X184" s="344" t="n">
        <v>2</v>
      </c>
      <c r="Y184" s="332" t="n">
        <v>1000</v>
      </c>
    </row>
    <row r="185" customFormat="false" ht="12" hidden="false" customHeight="false" outlineLevel="0" collapsed="false">
      <c r="A185" s="345" t="s">
        <v>229</v>
      </c>
      <c r="B185" s="346" t="n">
        <v>0</v>
      </c>
      <c r="C185" s="355" t="n">
        <v>76.074</v>
      </c>
      <c r="D185" s="355" t="n">
        <v>100.185</v>
      </c>
      <c r="E185" s="355" t="n">
        <v>92.425</v>
      </c>
      <c r="F185" s="355" t="n">
        <v>100.878</v>
      </c>
      <c r="G185" s="355" t="n">
        <v>102.402</v>
      </c>
      <c r="H185" s="355" t="n">
        <v>96.443</v>
      </c>
      <c r="I185" s="355" t="n">
        <v>87.436</v>
      </c>
      <c r="J185" s="355" t="n">
        <v>25.912</v>
      </c>
      <c r="K185" s="355" t="n">
        <v>7.206</v>
      </c>
      <c r="L185" s="347" t="n">
        <v>0</v>
      </c>
      <c r="M185" s="347" t="n">
        <v>0</v>
      </c>
      <c r="N185" s="347" t="n">
        <v>0</v>
      </c>
      <c r="O185" s="347" t="n">
        <v>0</v>
      </c>
      <c r="P185" s="347" t="n">
        <v>0</v>
      </c>
      <c r="Q185" s="347" t="n">
        <v>0</v>
      </c>
      <c r="R185" s="347" t="n">
        <v>0</v>
      </c>
      <c r="S185" s="347" t="n">
        <v>0</v>
      </c>
      <c r="T185" s="347" t="n">
        <v>0</v>
      </c>
      <c r="U185" s="347" t="n">
        <v>0</v>
      </c>
      <c r="V185" s="347" t="n">
        <v>0</v>
      </c>
      <c r="W185" s="347" t="n">
        <v>0</v>
      </c>
      <c r="X185" s="347" t="n">
        <v>0</v>
      </c>
      <c r="Y185" s="348" t="n">
        <v>0</v>
      </c>
    </row>
    <row r="186" customFormat="false" ht="12.75" hidden="false" customHeight="false" outlineLevel="0" collapsed="false">
      <c r="A186" s="333" t="s">
        <v>230</v>
      </c>
      <c r="B186" s="349" t="n">
        <f aca="false">(C185+B185)*(C184-B184)/2</f>
        <v>0.38037</v>
      </c>
      <c r="C186" s="350" t="n">
        <f aca="false">(D185+C185)*(D184-C184)/2</f>
        <v>1.1456835</v>
      </c>
      <c r="D186" s="350" t="n">
        <f aca="false">(E185+D185)*(E184-D184)/2</f>
        <v>1.637185</v>
      </c>
      <c r="E186" s="350" t="n">
        <f aca="false">(F185+E185)*(F184-E184)/2</f>
        <v>7.538817</v>
      </c>
      <c r="F186" s="350" t="n">
        <f aca="false">(G185+F185)*(G184-F184)/2</f>
        <v>16.7706</v>
      </c>
      <c r="G186" s="350" t="n">
        <f aca="false">(H185+G185)*(H184-G184)/2</f>
        <v>22.5689075</v>
      </c>
      <c r="H186" s="350" t="n">
        <f aca="false">(I185+H185)*(I184-H184)/2</f>
        <v>16.365231</v>
      </c>
      <c r="I186" s="350" t="n">
        <f aca="false">(J185+I185)*(J184-I184)/2</f>
        <v>5.61072600000001</v>
      </c>
      <c r="J186" s="350" t="n">
        <f aca="false">(K185+J185)*(K184-J184)/2</f>
        <v>1.076335</v>
      </c>
      <c r="K186" s="350" t="n">
        <f aca="false">(L185+K185)*(L184-K184)/2</f>
        <v>0.0756630000000001</v>
      </c>
      <c r="L186" s="350" t="n">
        <f aca="false">(M185+L185)*(M184-L184)/2</f>
        <v>0</v>
      </c>
      <c r="M186" s="350" t="n">
        <f aca="false">(N185+M185)*(N184-M184)/2</f>
        <v>0</v>
      </c>
      <c r="N186" s="350" t="n">
        <f aca="false">(O185+N185)*(O184-N184)/2</f>
        <v>0</v>
      </c>
      <c r="O186" s="350" t="n">
        <f aca="false">(P185+O185)*(P184-O184)/2</f>
        <v>0</v>
      </c>
      <c r="P186" s="350" t="n">
        <f aca="false">(Q185+P185)*(Q184-P184)/2</f>
        <v>0</v>
      </c>
      <c r="Q186" s="350" t="n">
        <f aca="false">(R185+Q185)*(R184-Q184)/2</f>
        <v>0</v>
      </c>
      <c r="R186" s="350" t="n">
        <f aca="false">(S185+R185)*(S184-R184)/2</f>
        <v>0</v>
      </c>
      <c r="S186" s="350" t="n">
        <f aca="false">(T185+S185)*(T184-S184)/2</f>
        <v>0</v>
      </c>
      <c r="T186" s="350" t="n">
        <f aca="false">(U185+T185)*(U184-T184)/2</f>
        <v>0</v>
      </c>
      <c r="U186" s="350" t="n">
        <f aca="false">(V185+U185)*(V184-U184)/2</f>
        <v>0</v>
      </c>
      <c r="V186" s="350" t="n">
        <f aca="false">(W185+V185)*(W184-V184)/2</f>
        <v>0</v>
      </c>
      <c r="W186" s="350" t="n">
        <f aca="false">(X185+W185)*(X184-W184)/2</f>
        <v>0</v>
      </c>
      <c r="X186" s="350" t="n">
        <f aca="false">(Y185+X185)*(Y184-X184)/2</f>
        <v>0</v>
      </c>
      <c r="Y186" s="336"/>
    </row>
    <row r="187" customFormat="false" ht="12.75" hidden="false" customHeight="false" outlineLevel="0" collapsed="false">
      <c r="B187" s="337"/>
      <c r="C187" s="337"/>
      <c r="D187" s="337"/>
      <c r="E187" s="337"/>
      <c r="F187" s="337"/>
      <c r="G187" s="337"/>
      <c r="H187" s="337"/>
      <c r="I187" s="337"/>
      <c r="J187" s="337"/>
      <c r="K187" s="337"/>
      <c r="L187" s="337"/>
      <c r="M187" s="337"/>
      <c r="N187" s="337"/>
      <c r="O187" s="337"/>
      <c r="P187" s="337"/>
      <c r="Q187" s="337"/>
      <c r="R187" s="337"/>
      <c r="S187" s="337"/>
      <c r="T187" s="337"/>
      <c r="U187" s="337"/>
      <c r="V187" s="337"/>
      <c r="W187" s="337"/>
      <c r="X187" s="337"/>
      <c r="Y187" s="337"/>
    </row>
    <row r="188" customFormat="false" ht="13.5" hidden="false" customHeight="false" outlineLevel="0" collapsed="false">
      <c r="A188" s="338" t="s">
        <v>272</v>
      </c>
      <c r="B188" s="339" t="n">
        <f aca="false">ROW(A188)</f>
        <v>188</v>
      </c>
      <c r="C188" s="322" t="s">
        <v>213</v>
      </c>
      <c r="D188" s="323" t="n">
        <f aca="false">SUM(B191:Y191)</f>
        <v>75.254384</v>
      </c>
      <c r="E188" s="322" t="s">
        <v>214</v>
      </c>
      <c r="F188" s="324" t="n">
        <f aca="false">D188/g/J188</f>
        <v>232.460334229142</v>
      </c>
      <c r="G188" s="322" t="s">
        <v>215</v>
      </c>
      <c r="H188" s="340" t="n">
        <v>0.095</v>
      </c>
      <c r="I188" s="322" t="s">
        <v>226</v>
      </c>
      <c r="J188" s="325" t="n">
        <f aca="false">H188-L188</f>
        <v>0.033</v>
      </c>
      <c r="K188" s="322" t="s">
        <v>227</v>
      </c>
      <c r="L188" s="340" t="n">
        <f aca="false">0.095-0.033</f>
        <v>0.062</v>
      </c>
      <c r="M188" s="322" t="s">
        <v>218</v>
      </c>
      <c r="N188" s="353" t="n">
        <v>66.5</v>
      </c>
      <c r="O188" s="322" t="s">
        <v>219</v>
      </c>
      <c r="P188" s="353" t="n">
        <v>66.5</v>
      </c>
      <c r="Q188" s="322" t="s">
        <v>220</v>
      </c>
      <c r="R188" s="341" t="n">
        <v>133</v>
      </c>
      <c r="S188" s="322" t="s">
        <v>221</v>
      </c>
      <c r="T188" s="341" t="n">
        <v>24</v>
      </c>
      <c r="U188" s="322" t="s">
        <v>8</v>
      </c>
      <c r="V188" s="342" t="s">
        <v>251</v>
      </c>
      <c r="W188" s="328" t="s">
        <v>222</v>
      </c>
      <c r="X188" s="351" t="n">
        <v>1.5</v>
      </c>
      <c r="Y188" s="328" t="s">
        <v>223</v>
      </c>
      <c r="Z188" s="327" t="n">
        <v>12</v>
      </c>
    </row>
    <row r="189" customFormat="false" ht="12" hidden="false" customHeight="false" outlineLevel="0" collapsed="false">
      <c r="A189" s="320" t="s">
        <v>228</v>
      </c>
      <c r="B189" s="343" t="n">
        <v>0</v>
      </c>
      <c r="C189" s="344" t="n">
        <v>0.02</v>
      </c>
      <c r="D189" s="344" t="n">
        <v>0.031</v>
      </c>
      <c r="E189" s="344" t="n">
        <v>0.062</v>
      </c>
      <c r="F189" s="344" t="n">
        <v>0.117</v>
      </c>
      <c r="G189" s="344" t="n">
        <v>1.211</v>
      </c>
      <c r="H189" s="344" t="n">
        <v>1.376</v>
      </c>
      <c r="I189" s="344" t="n">
        <v>1.456</v>
      </c>
      <c r="J189" s="344" t="n">
        <v>1.532</v>
      </c>
      <c r="K189" s="344" t="n">
        <v>1.577</v>
      </c>
      <c r="L189" s="344" t="n">
        <v>2</v>
      </c>
      <c r="M189" s="344" t="n">
        <v>2</v>
      </c>
      <c r="N189" s="344" t="n">
        <v>2</v>
      </c>
      <c r="O189" s="344" t="n">
        <v>2</v>
      </c>
      <c r="P189" s="344" t="n">
        <v>2</v>
      </c>
      <c r="Q189" s="344" t="n">
        <v>2</v>
      </c>
      <c r="R189" s="344" t="n">
        <v>2</v>
      </c>
      <c r="S189" s="344" t="n">
        <v>2</v>
      </c>
      <c r="T189" s="344" t="n">
        <v>2</v>
      </c>
      <c r="U189" s="344" t="n">
        <v>2</v>
      </c>
      <c r="V189" s="344" t="n">
        <v>2</v>
      </c>
      <c r="W189" s="344" t="n">
        <v>2</v>
      </c>
      <c r="X189" s="344" t="n">
        <f aca="false">W189</f>
        <v>2</v>
      </c>
      <c r="Y189" s="332" t="n">
        <v>1000</v>
      </c>
    </row>
    <row r="190" customFormat="false" ht="12" hidden="false" customHeight="false" outlineLevel="0" collapsed="false">
      <c r="A190" s="345" t="s">
        <v>229</v>
      </c>
      <c r="B190" s="346" t="n">
        <v>0</v>
      </c>
      <c r="C190" s="347" t="n">
        <v>75.924</v>
      </c>
      <c r="D190" s="347" t="n">
        <v>84.148</v>
      </c>
      <c r="E190" s="347" t="n">
        <v>70.441</v>
      </c>
      <c r="F190" s="347" t="n">
        <v>73.659</v>
      </c>
      <c r="G190" s="347" t="n">
        <v>38.737</v>
      </c>
      <c r="H190" s="347" t="n">
        <v>14.779</v>
      </c>
      <c r="I190" s="347" t="n">
        <v>7.271</v>
      </c>
      <c r="J190" s="347" t="n">
        <v>3.337</v>
      </c>
      <c r="K190" s="347" t="n">
        <v>0</v>
      </c>
      <c r="L190" s="347" t="n">
        <v>0</v>
      </c>
      <c r="M190" s="347" t="n">
        <v>0</v>
      </c>
      <c r="N190" s="347" t="n">
        <v>0</v>
      </c>
      <c r="O190" s="347" t="n">
        <v>0</v>
      </c>
      <c r="P190" s="347" t="n">
        <v>0</v>
      </c>
      <c r="Q190" s="347" t="n">
        <v>0</v>
      </c>
      <c r="R190" s="347" t="n">
        <v>0</v>
      </c>
      <c r="S190" s="347" t="n">
        <v>0</v>
      </c>
      <c r="T190" s="347" t="n">
        <f aca="false">S190</f>
        <v>0</v>
      </c>
      <c r="U190" s="347" t="n">
        <f aca="false">T190</f>
        <v>0</v>
      </c>
      <c r="V190" s="347" t="n">
        <f aca="false">U190</f>
        <v>0</v>
      </c>
      <c r="W190" s="347" t="n">
        <f aca="false">V190</f>
        <v>0</v>
      </c>
      <c r="X190" s="347" t="n">
        <f aca="false">W190</f>
        <v>0</v>
      </c>
      <c r="Y190" s="348" t="n">
        <v>0</v>
      </c>
    </row>
    <row r="191" customFormat="false" ht="12.75" hidden="false" customHeight="false" outlineLevel="0" collapsed="false">
      <c r="A191" s="333" t="s">
        <v>230</v>
      </c>
      <c r="B191" s="349" t="n">
        <f aca="false">(C190+B190)*(C189-B189)/2</f>
        <v>0.75924</v>
      </c>
      <c r="C191" s="350" t="n">
        <f aca="false">(D190+C190)*(D189-C189)/2</f>
        <v>0.880396</v>
      </c>
      <c r="D191" s="350" t="n">
        <f aca="false">(E190+D190)*(E189-D189)/2</f>
        <v>2.3961295</v>
      </c>
      <c r="E191" s="350" t="n">
        <f aca="false">(F190+E190)*(F189-E189)/2</f>
        <v>3.96275</v>
      </c>
      <c r="F191" s="350" t="n">
        <f aca="false">(G190+F190)*(G189-F189)/2</f>
        <v>61.480612</v>
      </c>
      <c r="G191" s="350" t="n">
        <f aca="false">(H190+G190)*(H189-G189)/2</f>
        <v>4.41507</v>
      </c>
      <c r="H191" s="350" t="n">
        <f aca="false">(I190+H190)*(I189-H189)/2</f>
        <v>0.882000000000001</v>
      </c>
      <c r="I191" s="350" t="n">
        <f aca="false">(J190+I190)*(J189-I189)/2</f>
        <v>0.403104</v>
      </c>
      <c r="J191" s="350" t="n">
        <f aca="false">(K190+J190)*(K189-J189)/2</f>
        <v>0.0750824999999999</v>
      </c>
      <c r="K191" s="350" t="n">
        <f aca="false">(L190+K190)*(L189-K189)/2</f>
        <v>0</v>
      </c>
      <c r="L191" s="350" t="n">
        <f aca="false">(M190+L190)*(M189-L189)/2</f>
        <v>0</v>
      </c>
      <c r="M191" s="350" t="n">
        <f aca="false">(N190+M190)*(N189-M189)/2</f>
        <v>0</v>
      </c>
      <c r="N191" s="350" t="n">
        <f aca="false">(O190+N190)*(O189-N189)/2</f>
        <v>0</v>
      </c>
      <c r="O191" s="350" t="n">
        <f aca="false">(P190+O190)*(P189-O189)/2</f>
        <v>0</v>
      </c>
      <c r="P191" s="350" t="n">
        <f aca="false">(Q190+P190)*(Q189-P189)/2</f>
        <v>0</v>
      </c>
      <c r="Q191" s="350" t="n">
        <f aca="false">(R190+Q190)*(R189-Q189)/2</f>
        <v>0</v>
      </c>
      <c r="R191" s="350" t="n">
        <f aca="false">(S190+R190)*(S189-R189)/2</f>
        <v>0</v>
      </c>
      <c r="S191" s="350" t="n">
        <f aca="false">(T190+S190)*(T189-S189)/2</f>
        <v>0</v>
      </c>
      <c r="T191" s="350" t="n">
        <f aca="false">(U190+T190)*(U189-T189)/2</f>
        <v>0</v>
      </c>
      <c r="U191" s="350" t="n">
        <f aca="false">(V190+U190)*(V189-U189)/2</f>
        <v>0</v>
      </c>
      <c r="V191" s="350" t="n">
        <f aca="false">(W190+V190)*(W189-V189)/2</f>
        <v>0</v>
      </c>
      <c r="W191" s="350" t="n">
        <f aca="false">(X190+W190)*(X189-W189)/2</f>
        <v>0</v>
      </c>
      <c r="X191" s="350" t="n">
        <f aca="false">(Y190+X190)*(Y189-X189)/2</f>
        <v>0</v>
      </c>
      <c r="Y191" s="336"/>
    </row>
    <row r="192" customFormat="false" ht="13.5" hidden="false" customHeight="false" outlineLevel="0" collapsed="false">
      <c r="A192" s="171" t="s">
        <v>273</v>
      </c>
      <c r="B192" s="337"/>
      <c r="C192" s="337"/>
      <c r="D192" s="337"/>
      <c r="E192" s="337"/>
      <c r="F192" s="337"/>
      <c r="G192" s="337"/>
      <c r="H192" s="337"/>
      <c r="I192" s="337"/>
      <c r="J192" s="337"/>
      <c r="K192" s="337"/>
      <c r="L192" s="337"/>
      <c r="M192" s="337"/>
      <c r="N192" s="337"/>
      <c r="O192" s="337"/>
      <c r="P192" s="337"/>
      <c r="Q192" s="337"/>
      <c r="R192" s="337"/>
      <c r="S192" s="337"/>
      <c r="T192" s="337"/>
      <c r="U192" s="337"/>
      <c r="V192" s="337"/>
      <c r="W192" s="337"/>
      <c r="X192" s="337"/>
      <c r="Y192" s="337"/>
    </row>
    <row r="193" customFormat="false" ht="13.5" hidden="false" customHeight="false" outlineLevel="0" collapsed="false">
      <c r="A193" s="338" t="s">
        <v>274</v>
      </c>
      <c r="B193" s="339" t="n">
        <f aca="false">ROW(A193)</f>
        <v>193</v>
      </c>
      <c r="C193" s="322" t="s">
        <v>213</v>
      </c>
      <c r="D193" s="323" t="n">
        <f aca="false">SUM(B196:Y196)</f>
        <v>141.05</v>
      </c>
      <c r="E193" s="322" t="s">
        <v>214</v>
      </c>
      <c r="F193" s="324" t="n">
        <f aca="false">D193/g/J193</f>
        <v>186.245926489307</v>
      </c>
      <c r="G193" s="322" t="s">
        <v>215</v>
      </c>
      <c r="H193" s="340" t="n">
        <v>0.1619</v>
      </c>
      <c r="I193" s="322" t="s">
        <v>226</v>
      </c>
      <c r="J193" s="325" t="n">
        <f aca="false">H193-L193</f>
        <v>0.0772</v>
      </c>
      <c r="K193" s="322" t="s">
        <v>227</v>
      </c>
      <c r="L193" s="340" t="n">
        <v>0.0847</v>
      </c>
      <c r="M193" s="322" t="s">
        <v>218</v>
      </c>
      <c r="N193" s="341" t="n">
        <v>114</v>
      </c>
      <c r="O193" s="322" t="s">
        <v>219</v>
      </c>
      <c r="P193" s="341" t="n">
        <v>114</v>
      </c>
      <c r="Q193" s="322" t="s">
        <v>220</v>
      </c>
      <c r="R193" s="341" t="n">
        <v>228</v>
      </c>
      <c r="S193" s="322" t="s">
        <v>221</v>
      </c>
      <c r="T193" s="341" t="n">
        <v>24</v>
      </c>
      <c r="U193" s="322" t="s">
        <v>8</v>
      </c>
      <c r="V193" s="342" t="s">
        <v>257</v>
      </c>
      <c r="W193" s="328" t="s">
        <v>222</v>
      </c>
      <c r="X193" s="351" t="n">
        <v>0.96</v>
      </c>
      <c r="Y193" s="328" t="s">
        <v>223</v>
      </c>
      <c r="Z193" s="327" t="n">
        <v>15</v>
      </c>
    </row>
    <row r="194" customFormat="false" ht="12" hidden="false" customHeight="false" outlineLevel="0" collapsed="false">
      <c r="A194" s="320" t="s">
        <v>228</v>
      </c>
      <c r="B194" s="343" t="n">
        <v>0</v>
      </c>
      <c r="C194" s="344" t="n">
        <v>0.02</v>
      </c>
      <c r="D194" s="344" t="n">
        <v>0.03</v>
      </c>
      <c r="E194" s="344" t="n">
        <v>0.05</v>
      </c>
      <c r="F194" s="344" t="n">
        <v>0.6</v>
      </c>
      <c r="G194" s="344" t="n">
        <v>0.67</v>
      </c>
      <c r="H194" s="344" t="n">
        <v>0.7</v>
      </c>
      <c r="I194" s="344" t="n">
        <v>0.8</v>
      </c>
      <c r="J194" s="344" t="n">
        <v>0.9</v>
      </c>
      <c r="K194" s="344" t="n">
        <v>1.05</v>
      </c>
      <c r="L194" s="344" t="n">
        <f aca="false">K194</f>
        <v>1.05</v>
      </c>
      <c r="M194" s="344" t="n">
        <f aca="false">L194</f>
        <v>1.05</v>
      </c>
      <c r="N194" s="344" t="n">
        <f aca="false">M194</f>
        <v>1.05</v>
      </c>
      <c r="O194" s="344" t="n">
        <f aca="false">N194</f>
        <v>1.05</v>
      </c>
      <c r="P194" s="344" t="n">
        <f aca="false">O194</f>
        <v>1.05</v>
      </c>
      <c r="Q194" s="344" t="n">
        <f aca="false">P194</f>
        <v>1.05</v>
      </c>
      <c r="R194" s="344" t="n">
        <f aca="false">Q194</f>
        <v>1.05</v>
      </c>
      <c r="S194" s="344" t="n">
        <f aca="false">R194</f>
        <v>1.05</v>
      </c>
      <c r="T194" s="344" t="n">
        <f aca="false">S194</f>
        <v>1.05</v>
      </c>
      <c r="U194" s="344" t="n">
        <f aca="false">T194</f>
        <v>1.05</v>
      </c>
      <c r="V194" s="344" t="n">
        <f aca="false">U194</f>
        <v>1.05</v>
      </c>
      <c r="W194" s="344" t="n">
        <f aca="false">V194</f>
        <v>1.05</v>
      </c>
      <c r="X194" s="344" t="n">
        <v>2</v>
      </c>
      <c r="Y194" s="332" t="n">
        <v>1000</v>
      </c>
    </row>
    <row r="195" customFormat="false" ht="12" hidden="false" customHeight="false" outlineLevel="0" collapsed="false">
      <c r="A195" s="345" t="s">
        <v>229</v>
      </c>
      <c r="B195" s="346" t="n">
        <v>0</v>
      </c>
      <c r="C195" s="347" t="n">
        <v>350</v>
      </c>
      <c r="D195" s="347" t="n">
        <v>250</v>
      </c>
      <c r="E195" s="347" t="n">
        <v>210</v>
      </c>
      <c r="F195" s="347" t="n">
        <v>150</v>
      </c>
      <c r="G195" s="347" t="n">
        <v>140</v>
      </c>
      <c r="H195" s="347" t="n">
        <v>130</v>
      </c>
      <c r="I195" s="347" t="n">
        <v>65</v>
      </c>
      <c r="J195" s="347" t="n">
        <v>30</v>
      </c>
      <c r="K195" s="347" t="n">
        <v>0</v>
      </c>
      <c r="L195" s="347" t="n">
        <v>0</v>
      </c>
      <c r="M195" s="347" t="n">
        <v>0</v>
      </c>
      <c r="N195" s="347" t="n">
        <v>0</v>
      </c>
      <c r="O195" s="347" t="n">
        <v>0</v>
      </c>
      <c r="P195" s="347" t="n">
        <v>0</v>
      </c>
      <c r="Q195" s="347" t="n">
        <v>0</v>
      </c>
      <c r="R195" s="347" t="n">
        <v>0</v>
      </c>
      <c r="S195" s="347" t="n">
        <f aca="false">R195</f>
        <v>0</v>
      </c>
      <c r="T195" s="347" t="n">
        <f aca="false">S195</f>
        <v>0</v>
      </c>
      <c r="U195" s="347" t="n">
        <f aca="false">T195</f>
        <v>0</v>
      </c>
      <c r="V195" s="347" t="n">
        <f aca="false">U195</f>
        <v>0</v>
      </c>
      <c r="W195" s="347" t="n">
        <f aca="false">V195</f>
        <v>0</v>
      </c>
      <c r="X195" s="347" t="n">
        <f aca="false">W195</f>
        <v>0</v>
      </c>
      <c r="Y195" s="348" t="n">
        <v>0</v>
      </c>
    </row>
    <row r="196" customFormat="false" ht="12.75" hidden="false" customHeight="false" outlineLevel="0" collapsed="false">
      <c r="A196" s="333" t="s">
        <v>230</v>
      </c>
      <c r="B196" s="349" t="n">
        <f aca="false">(C195+B195)*(C194-B194)/2</f>
        <v>3.5</v>
      </c>
      <c r="C196" s="350" t="n">
        <f aca="false">(D195+C195)*(D194-C194)/2</f>
        <v>3</v>
      </c>
      <c r="D196" s="350" t="n">
        <f aca="false">(E195+D195)*(E194-D194)/2</f>
        <v>4.6</v>
      </c>
      <c r="E196" s="350" t="n">
        <f aca="false">(F195+E195)*(F194-E194)/2</f>
        <v>99</v>
      </c>
      <c r="F196" s="350" t="n">
        <f aca="false">(G195+F195)*(G194-F194)/2</f>
        <v>10.15</v>
      </c>
      <c r="G196" s="350" t="n">
        <f aca="false">(H195+G195)*(H194-G194)/2</f>
        <v>4.04999999999999</v>
      </c>
      <c r="H196" s="350" t="n">
        <f aca="false">(I195+H195)*(I194-H194)/2</f>
        <v>9.75000000000001</v>
      </c>
      <c r="I196" s="350" t="n">
        <f aca="false">(J195+I195)*(J194-I194)/2</f>
        <v>4.75</v>
      </c>
      <c r="J196" s="350" t="n">
        <f aca="false">(K195+J195)*(K194-J194)/2</f>
        <v>2.25</v>
      </c>
      <c r="K196" s="350" t="n">
        <f aca="false">(L195+K195)*(L194-K194)/2</f>
        <v>0</v>
      </c>
      <c r="L196" s="350" t="n">
        <f aca="false">(M195+L195)*(M194-L194)/2</f>
        <v>0</v>
      </c>
      <c r="M196" s="350" t="n">
        <f aca="false">(N195+M195)*(N194-M194)/2</f>
        <v>0</v>
      </c>
      <c r="N196" s="350" t="n">
        <f aca="false">(O195+N195)*(O194-N194)/2</f>
        <v>0</v>
      </c>
      <c r="O196" s="350" t="n">
        <f aca="false">(P195+O195)*(P194-O194)/2</f>
        <v>0</v>
      </c>
      <c r="P196" s="350" t="n">
        <f aca="false">(Q195+P195)*(Q194-P194)/2</f>
        <v>0</v>
      </c>
      <c r="Q196" s="350" t="n">
        <f aca="false">(R195+Q195)*(R194-Q194)/2</f>
        <v>0</v>
      </c>
      <c r="R196" s="350" t="n">
        <f aca="false">(S195+R195)*(S194-R194)/2</f>
        <v>0</v>
      </c>
      <c r="S196" s="350" t="n">
        <f aca="false">(T195+S195)*(T194-S194)/2</f>
        <v>0</v>
      </c>
      <c r="T196" s="350" t="n">
        <f aca="false">(U195+T195)*(U194-T194)/2</f>
        <v>0</v>
      </c>
      <c r="U196" s="350" t="n">
        <f aca="false">(V195+U195)*(V194-U194)/2</f>
        <v>0</v>
      </c>
      <c r="V196" s="350" t="n">
        <f aca="false">(W195+V195)*(W194-V194)/2</f>
        <v>0</v>
      </c>
      <c r="W196" s="350" t="n">
        <f aca="false">(X195+W195)*(X194-W194)/2</f>
        <v>0</v>
      </c>
      <c r="X196" s="350" t="n">
        <f aca="false">(Y195+X195)*(Y194-X194)/2</f>
        <v>0</v>
      </c>
      <c r="Y196" s="336"/>
    </row>
    <row r="197" customFormat="false" ht="12.75" hidden="false" customHeight="false" outlineLevel="0" collapsed="false">
      <c r="A197" s="337" t="s">
        <v>275</v>
      </c>
      <c r="B197" s="337"/>
      <c r="C197" s="337"/>
      <c r="D197" s="337"/>
      <c r="E197" s="337"/>
      <c r="F197" s="337"/>
      <c r="G197" s="337"/>
      <c r="H197" s="337"/>
      <c r="I197" s="337"/>
      <c r="J197" s="337"/>
      <c r="K197" s="337"/>
      <c r="L197" s="337"/>
      <c r="M197" s="337"/>
      <c r="N197" s="337"/>
      <c r="O197" s="337"/>
      <c r="P197" s="337"/>
      <c r="Q197" s="337"/>
      <c r="R197" s="337"/>
      <c r="S197" s="337"/>
      <c r="T197" s="337"/>
      <c r="U197" s="337"/>
      <c r="V197" s="337"/>
      <c r="W197" s="337"/>
      <c r="X197" s="337"/>
      <c r="Y197" s="337"/>
    </row>
    <row r="198" customFormat="false" ht="13.5" hidden="false" customHeight="false" outlineLevel="0" collapsed="false">
      <c r="A198" s="338" t="s">
        <v>276</v>
      </c>
      <c r="B198" s="339" t="n">
        <f aca="false">ROW(A198)</f>
        <v>198</v>
      </c>
      <c r="C198" s="322" t="s">
        <v>213</v>
      </c>
      <c r="D198" s="323" t="n">
        <f aca="false">SUM(B201:Y201)</f>
        <v>142.44</v>
      </c>
      <c r="E198" s="322" t="s">
        <v>214</v>
      </c>
      <c r="F198" s="324" t="n">
        <f aca="false">D198/g/J198</f>
        <v>192.061874019061</v>
      </c>
      <c r="G198" s="322" t="s">
        <v>215</v>
      </c>
      <c r="H198" s="340" t="n">
        <v>0.1599</v>
      </c>
      <c r="I198" s="322" t="s">
        <v>226</v>
      </c>
      <c r="J198" s="325" t="n">
        <f aca="false">H198-L198</f>
        <v>0.0756</v>
      </c>
      <c r="K198" s="322" t="s">
        <v>227</v>
      </c>
      <c r="L198" s="340" t="n">
        <v>0.0843</v>
      </c>
      <c r="M198" s="322" t="s">
        <v>218</v>
      </c>
      <c r="N198" s="341" t="n">
        <v>114</v>
      </c>
      <c r="O198" s="322" t="s">
        <v>219</v>
      </c>
      <c r="P198" s="341" t="n">
        <v>114</v>
      </c>
      <c r="Q198" s="322" t="s">
        <v>220</v>
      </c>
      <c r="R198" s="341" t="n">
        <v>228</v>
      </c>
      <c r="S198" s="322" t="s">
        <v>221</v>
      </c>
      <c r="T198" s="341" t="n">
        <v>24</v>
      </c>
      <c r="U198" s="322" t="s">
        <v>8</v>
      </c>
      <c r="V198" s="342" t="s">
        <v>246</v>
      </c>
      <c r="W198" s="328" t="s">
        <v>222</v>
      </c>
      <c r="X198" s="351" t="n">
        <v>0.97</v>
      </c>
      <c r="Y198" s="328" t="s">
        <v>223</v>
      </c>
      <c r="Z198" s="327"/>
    </row>
    <row r="199" customFormat="false" ht="12" hidden="false" customHeight="false" outlineLevel="0" collapsed="false">
      <c r="A199" s="320" t="s">
        <v>228</v>
      </c>
      <c r="B199" s="343" t="n">
        <v>0</v>
      </c>
      <c r="C199" s="344" t="n">
        <v>0.02</v>
      </c>
      <c r="D199" s="344" t="n">
        <v>0.04</v>
      </c>
      <c r="E199" s="344" t="n">
        <v>0.62</v>
      </c>
      <c r="F199" s="344" t="n">
        <v>0.66</v>
      </c>
      <c r="G199" s="344" t="n">
        <v>0.68</v>
      </c>
      <c r="H199" s="344" t="n">
        <v>0.8</v>
      </c>
      <c r="I199" s="344" t="n">
        <v>0.84</v>
      </c>
      <c r="J199" s="344" t="n">
        <v>0.88</v>
      </c>
      <c r="K199" s="344" t="n">
        <v>0.92</v>
      </c>
      <c r="L199" s="344" t="n">
        <v>0.96</v>
      </c>
      <c r="M199" s="344" t="n">
        <v>1</v>
      </c>
      <c r="N199" s="344" t="n">
        <v>1.08</v>
      </c>
      <c r="O199" s="344" t="n">
        <v>2</v>
      </c>
      <c r="P199" s="344" t="n">
        <v>2</v>
      </c>
      <c r="Q199" s="344" t="n">
        <v>2</v>
      </c>
      <c r="R199" s="344" t="n">
        <v>2</v>
      </c>
      <c r="S199" s="344" t="n">
        <f aca="false">R199</f>
        <v>2</v>
      </c>
      <c r="T199" s="344" t="n">
        <f aca="false">S199</f>
        <v>2</v>
      </c>
      <c r="U199" s="344" t="n">
        <f aca="false">T199</f>
        <v>2</v>
      </c>
      <c r="V199" s="344" t="n">
        <f aca="false">U199</f>
        <v>2</v>
      </c>
      <c r="W199" s="344" t="n">
        <f aca="false">V199</f>
        <v>2</v>
      </c>
      <c r="X199" s="344" t="n">
        <f aca="false">W199</f>
        <v>2</v>
      </c>
      <c r="Y199" s="332" t="n">
        <v>1000</v>
      </c>
    </row>
    <row r="200" customFormat="false" ht="12" hidden="false" customHeight="false" outlineLevel="0" collapsed="false">
      <c r="A200" s="345" t="s">
        <v>229</v>
      </c>
      <c r="B200" s="346" t="n">
        <v>0</v>
      </c>
      <c r="C200" s="347" t="n">
        <v>250</v>
      </c>
      <c r="D200" s="347" t="n">
        <v>210</v>
      </c>
      <c r="E200" s="347" t="n">
        <v>160</v>
      </c>
      <c r="F200" s="347" t="n">
        <v>150</v>
      </c>
      <c r="G200" s="347" t="n">
        <v>142</v>
      </c>
      <c r="H200" s="347" t="n">
        <v>62</v>
      </c>
      <c r="I200" s="347" t="n">
        <v>48</v>
      </c>
      <c r="J200" s="347" t="n">
        <v>34</v>
      </c>
      <c r="K200" s="347" t="n">
        <v>24</v>
      </c>
      <c r="L200" s="347" t="n">
        <v>15</v>
      </c>
      <c r="M200" s="347" t="n">
        <v>10</v>
      </c>
      <c r="N200" s="347" t="n">
        <v>0</v>
      </c>
      <c r="O200" s="347" t="n">
        <v>0</v>
      </c>
      <c r="P200" s="347" t="n">
        <v>0</v>
      </c>
      <c r="Q200" s="347" t="n">
        <v>0</v>
      </c>
      <c r="R200" s="347" t="n">
        <v>0</v>
      </c>
      <c r="S200" s="347" t="n">
        <f aca="false">R200</f>
        <v>0</v>
      </c>
      <c r="T200" s="347" t="n">
        <f aca="false">S200</f>
        <v>0</v>
      </c>
      <c r="U200" s="347" t="n">
        <f aca="false">T200</f>
        <v>0</v>
      </c>
      <c r="V200" s="347" t="n">
        <f aca="false">U200</f>
        <v>0</v>
      </c>
      <c r="W200" s="347" t="n">
        <f aca="false">V200</f>
        <v>0</v>
      </c>
      <c r="X200" s="347" t="n">
        <f aca="false">W200</f>
        <v>0</v>
      </c>
      <c r="Y200" s="348" t="n">
        <v>0</v>
      </c>
    </row>
    <row r="201" customFormat="false" ht="12.75" hidden="false" customHeight="false" outlineLevel="0" collapsed="false">
      <c r="A201" s="333" t="s">
        <v>230</v>
      </c>
      <c r="B201" s="349" t="n">
        <f aca="false">(C200+B200)*(C199-B199)/2</f>
        <v>2.5</v>
      </c>
      <c r="C201" s="350" t="n">
        <f aca="false">(D200+C200)*(D199-C199)/2</f>
        <v>4.6</v>
      </c>
      <c r="D201" s="350" t="n">
        <f aca="false">(E200+D200)*(E199-D199)/2</f>
        <v>107.3</v>
      </c>
      <c r="E201" s="350" t="n">
        <f aca="false">(F200+E200)*(F199-E199)/2</f>
        <v>6.20000000000001</v>
      </c>
      <c r="F201" s="350" t="n">
        <f aca="false">(G200+F200)*(G199-F199)/2</f>
        <v>2.92</v>
      </c>
      <c r="G201" s="350" t="n">
        <f aca="false">(H200+G200)*(H199-G199)/2</f>
        <v>12.24</v>
      </c>
      <c r="H201" s="350" t="n">
        <f aca="false">(I200+H200)*(I199-H199)/2</f>
        <v>2.2</v>
      </c>
      <c r="I201" s="350" t="n">
        <f aca="false">(J200+I200)*(J199-I199)/2</f>
        <v>1.64</v>
      </c>
      <c r="J201" s="350" t="n">
        <f aca="false">(K200+J200)*(K199-J199)/2</f>
        <v>1.16</v>
      </c>
      <c r="K201" s="350" t="n">
        <f aca="false">(L200+K200)*(L199-K199)/2</f>
        <v>0.779999999999999</v>
      </c>
      <c r="L201" s="350" t="n">
        <f aca="false">(M200+L200)*(M199-L199)/2</f>
        <v>0.5</v>
      </c>
      <c r="M201" s="350" t="n">
        <f aca="false">(N200+M200)*(N199-M199)/2</f>
        <v>0.4</v>
      </c>
      <c r="N201" s="350" t="n">
        <f aca="false">(O200+N200)*(O199-N199)/2</f>
        <v>0</v>
      </c>
      <c r="O201" s="350" t="n">
        <f aca="false">(P200+O200)*(P199-O199)/2</f>
        <v>0</v>
      </c>
      <c r="P201" s="350" t="n">
        <f aca="false">(Q200+P200)*(Q199-P199)/2</f>
        <v>0</v>
      </c>
      <c r="Q201" s="350" t="n">
        <f aca="false">(R200+Q200)*(R199-Q199)/2</f>
        <v>0</v>
      </c>
      <c r="R201" s="350" t="n">
        <f aca="false">(S200+R200)*(S199-R199)/2</f>
        <v>0</v>
      </c>
      <c r="S201" s="350" t="n">
        <f aca="false">(T200+S200)*(T199-S199)/2</f>
        <v>0</v>
      </c>
      <c r="T201" s="350" t="n">
        <f aca="false">(U200+T200)*(U199-T199)/2</f>
        <v>0</v>
      </c>
      <c r="U201" s="350" t="n">
        <f aca="false">(V200+U200)*(V199-U199)/2</f>
        <v>0</v>
      </c>
      <c r="V201" s="350" t="n">
        <f aca="false">(W200+V200)*(W199-V199)/2</f>
        <v>0</v>
      </c>
      <c r="W201" s="350" t="n">
        <f aca="false">(X200+W200)*(X199-W199)/2</f>
        <v>0</v>
      </c>
      <c r="X201" s="350" t="n">
        <f aca="false">(Y200+X200)*(Y199-X199)/2</f>
        <v>0</v>
      </c>
      <c r="Y201" s="336"/>
    </row>
    <row r="202" customFormat="false" ht="12.75" hidden="false" customHeight="false" outlineLevel="0" collapsed="false">
      <c r="B202" s="337"/>
      <c r="C202" s="337"/>
      <c r="D202" s="337"/>
      <c r="E202" s="337"/>
      <c r="F202" s="337"/>
      <c r="G202" s="337"/>
      <c r="H202" s="337"/>
      <c r="I202" s="337"/>
      <c r="J202" s="337"/>
      <c r="K202" s="337"/>
      <c r="L202" s="337"/>
      <c r="M202" s="337"/>
      <c r="N202" s="337"/>
      <c r="O202" s="337"/>
      <c r="P202" s="337"/>
      <c r="Q202" s="337"/>
      <c r="R202" s="337"/>
      <c r="S202" s="337"/>
      <c r="T202" s="337"/>
      <c r="U202" s="337"/>
      <c r="V202" s="337"/>
      <c r="W202" s="337"/>
      <c r="X202" s="337"/>
      <c r="Y202" s="337"/>
    </row>
    <row r="203" customFormat="false" ht="13.5" hidden="false" customHeight="false" outlineLevel="0" collapsed="false">
      <c r="A203" s="338" t="s">
        <v>277</v>
      </c>
      <c r="B203" s="339" t="n">
        <f aca="false">ROW(A203)</f>
        <v>203</v>
      </c>
      <c r="C203" s="322" t="s">
        <v>213</v>
      </c>
      <c r="D203" s="323" t="n">
        <f aca="false">SUM(B206:Y206)</f>
        <v>143.08845</v>
      </c>
      <c r="E203" s="322" t="s">
        <v>214</v>
      </c>
      <c r="F203" s="324" t="n">
        <f aca="false">D203/g/J203</f>
        <v>168.235047211905</v>
      </c>
      <c r="G203" s="322" t="s">
        <v>215</v>
      </c>
      <c r="H203" s="340" t="n">
        <v>0.1725</v>
      </c>
      <c r="I203" s="322" t="s">
        <v>226</v>
      </c>
      <c r="J203" s="325" t="n">
        <f aca="false">H203-L203</f>
        <v>0.0867</v>
      </c>
      <c r="K203" s="322" t="s">
        <v>227</v>
      </c>
      <c r="L203" s="340" t="n">
        <v>0.0858</v>
      </c>
      <c r="M203" s="322" t="s">
        <v>218</v>
      </c>
      <c r="N203" s="341" t="n">
        <v>114</v>
      </c>
      <c r="O203" s="322" t="s">
        <v>219</v>
      </c>
      <c r="P203" s="341" t="n">
        <v>114</v>
      </c>
      <c r="Q203" s="322" t="s">
        <v>220</v>
      </c>
      <c r="R203" s="341" t="n">
        <v>228</v>
      </c>
      <c r="S203" s="322" t="s">
        <v>221</v>
      </c>
      <c r="T203" s="341" t="n">
        <v>24</v>
      </c>
      <c r="U203" s="322" t="s">
        <v>8</v>
      </c>
      <c r="V203" s="342" t="s">
        <v>257</v>
      </c>
      <c r="W203" s="328" t="s">
        <v>222</v>
      </c>
      <c r="X203" s="351" t="n">
        <v>0.97</v>
      </c>
      <c r="Y203" s="328" t="s">
        <v>223</v>
      </c>
      <c r="Z203" s="327" t="n">
        <v>11</v>
      </c>
    </row>
    <row r="204" customFormat="false" ht="12" hidden="false" customHeight="false" outlineLevel="0" collapsed="false">
      <c r="A204" s="320" t="s">
        <v>228</v>
      </c>
      <c r="B204" s="343" t="n">
        <v>0</v>
      </c>
      <c r="C204" s="344" t="n">
        <v>0.008</v>
      </c>
      <c r="D204" s="344" t="n">
        <v>0.013</v>
      </c>
      <c r="E204" s="344" t="n">
        <v>0.022</v>
      </c>
      <c r="F204" s="344" t="n">
        <v>0.035</v>
      </c>
      <c r="G204" s="344" t="n">
        <v>0.063</v>
      </c>
      <c r="H204" s="344" t="n">
        <v>0.103</v>
      </c>
      <c r="I204" s="344" t="n">
        <v>0.196</v>
      </c>
      <c r="J204" s="344" t="n">
        <v>0.311</v>
      </c>
      <c r="K204" s="344" t="n">
        <v>0.474</v>
      </c>
      <c r="L204" s="344" t="n">
        <v>0.564</v>
      </c>
      <c r="M204" s="344" t="n">
        <v>0.762</v>
      </c>
      <c r="N204" s="344" t="n">
        <v>0.858</v>
      </c>
      <c r="O204" s="344" t="n">
        <v>0.928</v>
      </c>
      <c r="P204" s="344" t="n">
        <v>1.038</v>
      </c>
      <c r="Q204" s="344" t="n">
        <v>1.08</v>
      </c>
      <c r="R204" s="344" t="n">
        <v>1.131</v>
      </c>
      <c r="S204" s="344" t="n">
        <v>1.185</v>
      </c>
      <c r="T204" s="344" t="n">
        <v>1.224</v>
      </c>
      <c r="U204" s="344" t="n">
        <v>1.258</v>
      </c>
      <c r="V204" s="344" t="n">
        <v>1.4</v>
      </c>
      <c r="W204" s="344" t="n">
        <v>1.441</v>
      </c>
      <c r="X204" s="344" t="n">
        <v>2</v>
      </c>
      <c r="Y204" s="332" t="n">
        <v>1000</v>
      </c>
    </row>
    <row r="205" customFormat="false" ht="12" hidden="false" customHeight="false" outlineLevel="0" collapsed="false">
      <c r="A205" s="345" t="s">
        <v>229</v>
      </c>
      <c r="B205" s="346" t="n">
        <v>0</v>
      </c>
      <c r="C205" s="347" t="n">
        <v>168.643</v>
      </c>
      <c r="D205" s="347" t="n">
        <v>177.339</v>
      </c>
      <c r="E205" s="347" t="n">
        <v>177.866</v>
      </c>
      <c r="F205" s="347" t="n">
        <v>171.278</v>
      </c>
      <c r="G205" s="347" t="n">
        <v>157.839</v>
      </c>
      <c r="H205" s="347" t="n">
        <v>154.941</v>
      </c>
      <c r="I205" s="347" t="n">
        <v>148.88</v>
      </c>
      <c r="J205" s="347" t="n">
        <v>144.137</v>
      </c>
      <c r="K205" s="347" t="n">
        <v>138.076</v>
      </c>
      <c r="L205" s="347" t="n">
        <v>135.705</v>
      </c>
      <c r="M205" s="347" t="n">
        <v>125.955</v>
      </c>
      <c r="N205" s="347" t="n">
        <v>116.733</v>
      </c>
      <c r="O205" s="347" t="n">
        <v>101.713</v>
      </c>
      <c r="P205" s="347" t="n">
        <v>57.444</v>
      </c>
      <c r="Q205" s="347" t="n">
        <v>42.688</v>
      </c>
      <c r="R205" s="347" t="n">
        <v>31.884</v>
      </c>
      <c r="S205" s="347" t="n">
        <v>17.655</v>
      </c>
      <c r="T205" s="347" t="n">
        <v>9.486</v>
      </c>
      <c r="U205" s="347" t="n">
        <v>5.27</v>
      </c>
      <c r="V205" s="347" t="n">
        <v>0.791</v>
      </c>
      <c r="W205" s="347" t="n">
        <v>0</v>
      </c>
      <c r="X205" s="347" t="n">
        <f aca="false">W205</f>
        <v>0</v>
      </c>
      <c r="Y205" s="348" t="n">
        <v>0</v>
      </c>
    </row>
    <row r="206" customFormat="false" ht="12.75" hidden="false" customHeight="false" outlineLevel="0" collapsed="false">
      <c r="A206" s="333" t="s">
        <v>230</v>
      </c>
      <c r="B206" s="349" t="n">
        <f aca="false">(C205+B205)*(C204-B204)/2</f>
        <v>0.674572</v>
      </c>
      <c r="C206" s="350" t="n">
        <f aca="false">(D205+C205)*(D204-C204)/2</f>
        <v>0.864955</v>
      </c>
      <c r="D206" s="350" t="n">
        <f aca="false">(E205+D205)*(E204-D204)/2</f>
        <v>1.5984225</v>
      </c>
      <c r="E206" s="350" t="n">
        <f aca="false">(F205+E205)*(F204-E204)/2</f>
        <v>2.269436</v>
      </c>
      <c r="F206" s="350" t="n">
        <f aca="false">(G205+F205)*(G204-F204)/2</f>
        <v>4.607638</v>
      </c>
      <c r="G206" s="350" t="n">
        <f aca="false">(H205+G205)*(H204-G204)/2</f>
        <v>6.2556</v>
      </c>
      <c r="H206" s="350" t="n">
        <f aca="false">(I205+H205)*(I204-H204)/2</f>
        <v>14.1276765</v>
      </c>
      <c r="I206" s="350" t="n">
        <f aca="false">(J205+I205)*(J204-I204)/2</f>
        <v>16.8484775</v>
      </c>
      <c r="J206" s="350" t="n">
        <f aca="false">(K205+J205)*(K204-J204)/2</f>
        <v>23.0003595</v>
      </c>
      <c r="K206" s="350" t="n">
        <f aca="false">(L205+K205)*(L204-K204)/2</f>
        <v>12.320145</v>
      </c>
      <c r="L206" s="350" t="n">
        <f aca="false">(M205+L205)*(M204-L204)/2</f>
        <v>25.90434</v>
      </c>
      <c r="M206" s="350" t="n">
        <f aca="false">(N205+M205)*(N204-M204)/2</f>
        <v>11.649024</v>
      </c>
      <c r="N206" s="350" t="n">
        <f aca="false">(O205+N205)*(O204-N204)/2</f>
        <v>7.64561000000001</v>
      </c>
      <c r="O206" s="350" t="n">
        <f aca="false">(P205+O205)*(P204-O204)/2</f>
        <v>8.753635</v>
      </c>
      <c r="P206" s="350" t="n">
        <f aca="false">(Q205+P205)*(Q204-P204)/2</f>
        <v>2.102772</v>
      </c>
      <c r="Q206" s="350" t="n">
        <f aca="false">(R205+Q205)*(R204-Q204)/2</f>
        <v>1.901586</v>
      </c>
      <c r="R206" s="350" t="n">
        <f aca="false">(S205+R205)*(S204-R204)/2</f>
        <v>1.337553</v>
      </c>
      <c r="S206" s="350" t="n">
        <f aca="false">(T205+S205)*(T204-S204)/2</f>
        <v>0.529249499999999</v>
      </c>
      <c r="T206" s="350" t="n">
        <f aca="false">(U205+T205)*(U204-T204)/2</f>
        <v>0.250852</v>
      </c>
      <c r="U206" s="350" t="n">
        <f aca="false">(V205+U205)*(V204-U204)/2</f>
        <v>0.430331</v>
      </c>
      <c r="V206" s="350" t="n">
        <f aca="false">(W205+V205)*(W204-V204)/2</f>
        <v>0.0162155000000001</v>
      </c>
      <c r="W206" s="350" t="n">
        <f aca="false">(X205+W205)*(X204-W204)/2</f>
        <v>0</v>
      </c>
      <c r="X206" s="350" t="n">
        <f aca="false">(Y205+X205)*(Y204-X204)/2</f>
        <v>0</v>
      </c>
      <c r="Y206" s="336"/>
    </row>
    <row r="207" customFormat="false" ht="12.75" hidden="false" customHeight="false" outlineLevel="0" collapsed="false">
      <c r="B207" s="337"/>
      <c r="C207" s="337"/>
      <c r="D207" s="337"/>
      <c r="E207" s="337"/>
      <c r="F207" s="337"/>
      <c r="G207" s="337"/>
      <c r="H207" s="337"/>
      <c r="I207" s="337"/>
      <c r="J207" s="337"/>
      <c r="K207" s="337"/>
      <c r="L207" s="337"/>
      <c r="M207" s="337"/>
      <c r="N207" s="337"/>
      <c r="O207" s="337"/>
      <c r="P207" s="337"/>
      <c r="Q207" s="337"/>
      <c r="R207" s="337"/>
      <c r="S207" s="337"/>
      <c r="T207" s="337"/>
      <c r="U207" s="337"/>
      <c r="V207" s="337"/>
      <c r="W207" s="337"/>
      <c r="X207" s="337"/>
      <c r="Y207" s="337"/>
    </row>
    <row r="208" customFormat="false" ht="13.5" hidden="false" customHeight="false" outlineLevel="0" collapsed="false">
      <c r="A208" s="338" t="s">
        <v>278</v>
      </c>
      <c r="B208" s="339" t="n">
        <f aca="false">ROW(A208)</f>
        <v>208</v>
      </c>
      <c r="C208" s="322" t="s">
        <v>213</v>
      </c>
      <c r="D208" s="323" t="n">
        <f aca="false">SUM(B211:Y211)</f>
        <v>139.423417</v>
      </c>
      <c r="E208" s="322" t="s">
        <v>214</v>
      </c>
      <c r="F208" s="324" t="n">
        <f aca="false">D208/g/J208</f>
        <v>158.620277459225</v>
      </c>
      <c r="G208" s="322" t="s">
        <v>215</v>
      </c>
      <c r="H208" s="340" t="n">
        <v>0.1945</v>
      </c>
      <c r="I208" s="322" t="s">
        <v>226</v>
      </c>
      <c r="J208" s="325" t="n">
        <f aca="false">H208-L208</f>
        <v>0.0896</v>
      </c>
      <c r="K208" s="322" t="s">
        <v>227</v>
      </c>
      <c r="L208" s="340" t="n">
        <v>0.1049</v>
      </c>
      <c r="M208" s="322" t="s">
        <v>218</v>
      </c>
      <c r="N208" s="341" t="n">
        <v>114</v>
      </c>
      <c r="O208" s="322" t="s">
        <v>219</v>
      </c>
      <c r="P208" s="341" t="n">
        <v>144</v>
      </c>
      <c r="Q208" s="322" t="s">
        <v>220</v>
      </c>
      <c r="R208" s="341" t="n">
        <v>228</v>
      </c>
      <c r="S208" s="322" t="s">
        <v>221</v>
      </c>
      <c r="T208" s="341" t="n">
        <v>24</v>
      </c>
      <c r="U208" s="322" t="s">
        <v>8</v>
      </c>
      <c r="V208" s="342" t="s">
        <v>257</v>
      </c>
      <c r="W208" s="328" t="s">
        <v>222</v>
      </c>
      <c r="X208" s="351" t="n">
        <v>1.3</v>
      </c>
      <c r="Y208" s="328" t="s">
        <v>223</v>
      </c>
      <c r="Z208" s="327" t="n">
        <v>12</v>
      </c>
    </row>
    <row r="209" customFormat="false" ht="12" hidden="false" customHeight="false" outlineLevel="0" collapsed="false">
      <c r="A209" s="320" t="s">
        <v>228</v>
      </c>
      <c r="B209" s="343" t="n">
        <v>0</v>
      </c>
      <c r="C209" s="344" t="n">
        <v>0.011</v>
      </c>
      <c r="D209" s="344" t="n">
        <v>0.022</v>
      </c>
      <c r="E209" s="344" t="n">
        <v>0.046</v>
      </c>
      <c r="F209" s="344" t="n">
        <v>0.081</v>
      </c>
      <c r="G209" s="344" t="n">
        <v>0.219</v>
      </c>
      <c r="H209" s="344" t="n">
        <v>0.253</v>
      </c>
      <c r="I209" s="344" t="n">
        <v>0.274</v>
      </c>
      <c r="J209" s="344" t="n">
        <v>0.305</v>
      </c>
      <c r="K209" s="344" t="n">
        <v>0.412</v>
      </c>
      <c r="L209" s="344" t="n">
        <v>0.789</v>
      </c>
      <c r="M209" s="344" t="n">
        <v>0.899</v>
      </c>
      <c r="N209" s="344" t="n">
        <v>0.953</v>
      </c>
      <c r="O209" s="344" t="n">
        <v>0.999</v>
      </c>
      <c r="P209" s="344" t="n">
        <v>1.03</v>
      </c>
      <c r="Q209" s="344" t="n">
        <v>1.057</v>
      </c>
      <c r="R209" s="344" t="n">
        <v>1.102</v>
      </c>
      <c r="S209" s="344" t="n">
        <v>1.154</v>
      </c>
      <c r="T209" s="344" t="n">
        <v>1.197</v>
      </c>
      <c r="U209" s="344" t="n">
        <v>1.277</v>
      </c>
      <c r="V209" s="344" t="n">
        <v>1.335</v>
      </c>
      <c r="W209" s="344" t="n">
        <v>1.451</v>
      </c>
      <c r="X209" s="344" t="n">
        <v>2</v>
      </c>
      <c r="Y209" s="332" t="n">
        <v>1000</v>
      </c>
    </row>
    <row r="210" customFormat="false" ht="12" hidden="false" customHeight="false" outlineLevel="0" collapsed="false">
      <c r="A210" s="345" t="s">
        <v>229</v>
      </c>
      <c r="B210" s="346" t="n">
        <v>0</v>
      </c>
      <c r="C210" s="347" t="n">
        <v>198.418</v>
      </c>
      <c r="D210" s="347" t="n">
        <v>221.835</v>
      </c>
      <c r="E210" s="347" t="n">
        <v>212.658</v>
      </c>
      <c r="F210" s="347" t="n">
        <v>218.354</v>
      </c>
      <c r="G210" s="347" t="n">
        <v>204.43</v>
      </c>
      <c r="H210" s="347" t="n">
        <v>195.886</v>
      </c>
      <c r="I210" s="347" t="n">
        <v>183.544</v>
      </c>
      <c r="J210" s="347" t="n">
        <v>88.291</v>
      </c>
      <c r="K210" s="347" t="n">
        <v>93.671</v>
      </c>
      <c r="L210" s="347" t="n">
        <v>93.987</v>
      </c>
      <c r="M210" s="347" t="n">
        <v>91.139</v>
      </c>
      <c r="N210" s="347" t="n">
        <v>89.873</v>
      </c>
      <c r="O210" s="347" t="n">
        <v>87.025</v>
      </c>
      <c r="P210" s="347" t="n">
        <v>81.329</v>
      </c>
      <c r="Q210" s="347" t="n">
        <v>69.937</v>
      </c>
      <c r="R210" s="347" t="n">
        <v>54.114</v>
      </c>
      <c r="S210" s="347" t="n">
        <v>42.405</v>
      </c>
      <c r="T210" s="347" t="n">
        <v>31.646</v>
      </c>
      <c r="U210" s="347" t="n">
        <v>17.089</v>
      </c>
      <c r="V210" s="347" t="n">
        <v>9.81</v>
      </c>
      <c r="W210" s="347" t="n">
        <v>0</v>
      </c>
      <c r="X210" s="347" t="n">
        <v>0</v>
      </c>
      <c r="Y210" s="348" t="n">
        <v>0</v>
      </c>
    </row>
    <row r="211" customFormat="false" ht="12.75" hidden="false" customHeight="false" outlineLevel="0" collapsed="false">
      <c r="A211" s="333" t="s">
        <v>230</v>
      </c>
      <c r="B211" s="349" t="n">
        <f aca="false">(C210+B210)*(C209-B209)/2</f>
        <v>1.091299</v>
      </c>
      <c r="C211" s="350" t="n">
        <f aca="false">(D210+C210)*(D209-C209)/2</f>
        <v>2.3113915</v>
      </c>
      <c r="D211" s="350" t="n">
        <f aca="false">(E210+D210)*(E209-D209)/2</f>
        <v>5.213916</v>
      </c>
      <c r="E211" s="350" t="n">
        <f aca="false">(F210+E210)*(F209-E209)/2</f>
        <v>7.54271</v>
      </c>
      <c r="F211" s="350" t="n">
        <f aca="false">(G210+F210)*(G209-F209)/2</f>
        <v>29.172096</v>
      </c>
      <c r="G211" s="350" t="n">
        <f aca="false">(H210+G210)*(H209-G209)/2</f>
        <v>6.805372</v>
      </c>
      <c r="H211" s="350" t="n">
        <f aca="false">(I210+H210)*(I209-H209)/2</f>
        <v>3.984015</v>
      </c>
      <c r="I211" s="350" t="n">
        <f aca="false">(J210+I210)*(J209-I209)/2</f>
        <v>4.2134425</v>
      </c>
      <c r="J211" s="350" t="n">
        <f aca="false">(K210+J210)*(K209-J209)/2</f>
        <v>9.734967</v>
      </c>
      <c r="K211" s="350" t="n">
        <f aca="false">(L210+K210)*(L209-K209)/2</f>
        <v>35.373533</v>
      </c>
      <c r="L211" s="350" t="n">
        <f aca="false">(M210+L210)*(M209-L209)/2</f>
        <v>10.18193</v>
      </c>
      <c r="M211" s="350" t="n">
        <f aca="false">(N210+M210)*(N209-M209)/2</f>
        <v>4.88732399999999</v>
      </c>
      <c r="N211" s="350" t="n">
        <f aca="false">(O210+N210)*(O209-N209)/2</f>
        <v>4.068654</v>
      </c>
      <c r="O211" s="350" t="n">
        <f aca="false">(P210+O210)*(P209-O209)/2</f>
        <v>2.609487</v>
      </c>
      <c r="P211" s="350" t="n">
        <f aca="false">(Q210+P210)*(Q209-P209)/2</f>
        <v>2.04209099999999</v>
      </c>
      <c r="Q211" s="350" t="n">
        <f aca="false">(R210+Q210)*(R209-Q209)/2</f>
        <v>2.79114750000001</v>
      </c>
      <c r="R211" s="350" t="n">
        <f aca="false">(S210+R210)*(S209-R209)/2</f>
        <v>2.50949399999999</v>
      </c>
      <c r="S211" s="350" t="n">
        <f aca="false">(T210+S210)*(T209-S209)/2</f>
        <v>1.59209650000001</v>
      </c>
      <c r="T211" s="350" t="n">
        <f aca="false">(U210+T210)*(U209-T209)/2</f>
        <v>1.9494</v>
      </c>
      <c r="U211" s="350" t="n">
        <f aca="false">(V210+U210)*(V209-U209)/2</f>
        <v>0.780071000000001</v>
      </c>
      <c r="V211" s="350" t="n">
        <f aca="false">(W210+V210)*(W209-V209)/2</f>
        <v>0.568980000000001</v>
      </c>
      <c r="W211" s="350" t="n">
        <f aca="false">(X210+W210)*(X209-W209)/2</f>
        <v>0</v>
      </c>
      <c r="X211" s="350" t="n">
        <f aca="false">(Y210+X210)*(Y209-X209)/2</f>
        <v>0</v>
      </c>
      <c r="Y211" s="336"/>
    </row>
    <row r="212" customFormat="false" ht="13.5" hidden="false" customHeight="false" outlineLevel="0" collapsed="false">
      <c r="A212" s="171" t="s">
        <v>279</v>
      </c>
      <c r="B212" s="337"/>
      <c r="C212" s="337"/>
      <c r="D212" s="337"/>
      <c r="E212" s="337"/>
      <c r="F212" s="337"/>
      <c r="G212" s="337"/>
      <c r="H212" s="337"/>
      <c r="I212" s="337"/>
      <c r="J212" s="337"/>
      <c r="K212" s="337"/>
      <c r="L212" s="337"/>
      <c r="M212" s="337"/>
      <c r="N212" s="337"/>
      <c r="O212" s="337"/>
      <c r="P212" s="337"/>
      <c r="Q212" s="337"/>
      <c r="R212" s="337"/>
      <c r="S212" s="337"/>
      <c r="T212" s="337"/>
      <c r="U212" s="337"/>
      <c r="V212" s="337"/>
      <c r="W212" s="337"/>
      <c r="X212" s="337"/>
      <c r="Y212" s="337"/>
    </row>
    <row r="213" customFormat="false" ht="13.5" hidden="false" customHeight="false" outlineLevel="0" collapsed="false">
      <c r="A213" s="338" t="s">
        <v>280</v>
      </c>
      <c r="B213" s="339" t="n">
        <f aca="false">ROW(A213)</f>
        <v>213</v>
      </c>
      <c r="C213" s="322" t="s">
        <v>213</v>
      </c>
      <c r="D213" s="323" t="n">
        <f aca="false">SUM(B216:Y216)</f>
        <v>82.7985</v>
      </c>
      <c r="E213" s="322" t="s">
        <v>214</v>
      </c>
      <c r="F213" s="324" t="n">
        <f aca="false">D213/g/J213</f>
        <v>131.878344801223</v>
      </c>
      <c r="G213" s="322" t="s">
        <v>215</v>
      </c>
      <c r="H213" s="340" t="n">
        <v>0.152</v>
      </c>
      <c r="I213" s="322" t="s">
        <v>226</v>
      </c>
      <c r="J213" s="325" t="n">
        <f aca="false">H213-L213</f>
        <v>0.064</v>
      </c>
      <c r="K213" s="322" t="s">
        <v>227</v>
      </c>
      <c r="L213" s="340" t="n">
        <v>0.088</v>
      </c>
      <c r="M213" s="322" t="s">
        <v>218</v>
      </c>
      <c r="N213" s="341" t="n">
        <v>71</v>
      </c>
      <c r="O213" s="322" t="s">
        <v>219</v>
      </c>
      <c r="P213" s="341" t="n">
        <v>71</v>
      </c>
      <c r="Q213" s="322" t="s">
        <v>220</v>
      </c>
      <c r="R213" s="341" t="n">
        <v>142</v>
      </c>
      <c r="S213" s="322" t="s">
        <v>221</v>
      </c>
      <c r="T213" s="341" t="n">
        <v>29</v>
      </c>
      <c r="U213" s="322" t="s">
        <v>8</v>
      </c>
      <c r="V213" s="342" t="s">
        <v>257</v>
      </c>
      <c r="W213" s="328" t="s">
        <v>222</v>
      </c>
      <c r="X213" s="351" t="n">
        <v>0.96</v>
      </c>
      <c r="Y213" s="328" t="s">
        <v>223</v>
      </c>
      <c r="Z213" s="327" t="n">
        <v>11</v>
      </c>
    </row>
    <row r="214" customFormat="false" ht="12" hidden="false" customHeight="false" outlineLevel="0" collapsed="false">
      <c r="A214" s="320" t="s">
        <v>228</v>
      </c>
      <c r="B214" s="343" t="n">
        <v>0</v>
      </c>
      <c r="C214" s="344" t="n">
        <v>0.02</v>
      </c>
      <c r="D214" s="344" t="n">
        <v>0.03</v>
      </c>
      <c r="E214" s="344" t="n">
        <v>0.04</v>
      </c>
      <c r="F214" s="344" t="n">
        <v>0.06</v>
      </c>
      <c r="G214" s="344" t="n">
        <v>0.08</v>
      </c>
      <c r="H214" s="344" t="n">
        <v>0.15</v>
      </c>
      <c r="I214" s="344" t="n">
        <v>0.18</v>
      </c>
      <c r="J214" s="344" t="n">
        <v>0.2</v>
      </c>
      <c r="K214" s="344" t="n">
        <v>0.3</v>
      </c>
      <c r="L214" s="344" t="n">
        <v>0.4</v>
      </c>
      <c r="M214" s="344" t="n">
        <v>0.5</v>
      </c>
      <c r="N214" s="344" t="n">
        <v>0.6</v>
      </c>
      <c r="O214" s="344" t="n">
        <v>0.7</v>
      </c>
      <c r="P214" s="344" t="n">
        <v>0.82</v>
      </c>
      <c r="Q214" s="344" t="n">
        <v>0.93</v>
      </c>
      <c r="R214" s="344" t="n">
        <v>1</v>
      </c>
      <c r="S214" s="344" t="n">
        <f aca="false">R214</f>
        <v>1</v>
      </c>
      <c r="T214" s="344" t="n">
        <f aca="false">S214</f>
        <v>1</v>
      </c>
      <c r="U214" s="344" t="n">
        <f aca="false">T214</f>
        <v>1</v>
      </c>
      <c r="V214" s="344" t="n">
        <f aca="false">U214</f>
        <v>1</v>
      </c>
      <c r="W214" s="344" t="n">
        <f aca="false">V214</f>
        <v>1</v>
      </c>
      <c r="X214" s="344" t="n">
        <v>2</v>
      </c>
      <c r="Y214" s="332" t="n">
        <v>1000</v>
      </c>
    </row>
    <row r="215" customFormat="false" ht="12" hidden="false" customHeight="false" outlineLevel="0" collapsed="false">
      <c r="A215" s="345" t="s">
        <v>229</v>
      </c>
      <c r="B215" s="346" t="n">
        <v>0</v>
      </c>
      <c r="C215" s="347" t="n">
        <v>41.9</v>
      </c>
      <c r="D215" s="347" t="n">
        <v>92.1</v>
      </c>
      <c r="E215" s="347" t="n">
        <v>116.7</v>
      </c>
      <c r="F215" s="347" t="n">
        <v>112.7</v>
      </c>
      <c r="G215" s="347" t="n">
        <v>82.7</v>
      </c>
      <c r="H215" s="347" t="n">
        <v>84.7</v>
      </c>
      <c r="I215" s="347" t="n">
        <v>86.2</v>
      </c>
      <c r="J215" s="347" t="n">
        <v>87.9</v>
      </c>
      <c r="K215" s="347" t="n">
        <v>90.9</v>
      </c>
      <c r="L215" s="347" t="n">
        <v>93.9</v>
      </c>
      <c r="M215" s="347" t="n">
        <v>95.3</v>
      </c>
      <c r="N215" s="347" t="n">
        <v>96.8</v>
      </c>
      <c r="O215" s="347" t="n">
        <v>97.6</v>
      </c>
      <c r="P215" s="347" t="n">
        <v>108.2</v>
      </c>
      <c r="Q215" s="347" t="n">
        <v>11</v>
      </c>
      <c r="R215" s="347" t="n">
        <v>0</v>
      </c>
      <c r="S215" s="347" t="n">
        <f aca="false">R215</f>
        <v>0</v>
      </c>
      <c r="T215" s="347" t="n">
        <f aca="false">S215</f>
        <v>0</v>
      </c>
      <c r="U215" s="347" t="n">
        <f aca="false">T215</f>
        <v>0</v>
      </c>
      <c r="V215" s="347" t="n">
        <f aca="false">U215</f>
        <v>0</v>
      </c>
      <c r="W215" s="347" t="n">
        <f aca="false">V215</f>
        <v>0</v>
      </c>
      <c r="X215" s="347" t="n">
        <f aca="false">W215</f>
        <v>0</v>
      </c>
      <c r="Y215" s="348" t="n">
        <v>0</v>
      </c>
    </row>
    <row r="216" customFormat="false" ht="12.75" hidden="false" customHeight="false" outlineLevel="0" collapsed="false">
      <c r="A216" s="333" t="s">
        <v>230</v>
      </c>
      <c r="B216" s="349" t="n">
        <f aca="false">(C215+B215)*(C214-B214)/2</f>
        <v>0.419</v>
      </c>
      <c r="C216" s="350" t="n">
        <f aca="false">(D215+C215)*(D214-C214)/2</f>
        <v>0.67</v>
      </c>
      <c r="D216" s="350" t="n">
        <f aca="false">(E215+D215)*(E214-D214)/2</f>
        <v>1.044</v>
      </c>
      <c r="E216" s="350" t="n">
        <f aca="false">(F215+E215)*(F214-E214)/2</f>
        <v>2.294</v>
      </c>
      <c r="F216" s="350" t="n">
        <f aca="false">(G215+F215)*(G214-F214)/2</f>
        <v>1.954</v>
      </c>
      <c r="G216" s="350" t="n">
        <f aca="false">(H215+G215)*(H214-G214)/2</f>
        <v>5.859</v>
      </c>
      <c r="H216" s="350" t="n">
        <f aca="false">(I215+H215)*(I214-H214)/2</f>
        <v>2.5635</v>
      </c>
      <c r="I216" s="350" t="n">
        <f aca="false">(J215+I215)*(J214-I214)/2</f>
        <v>1.741</v>
      </c>
      <c r="J216" s="350" t="n">
        <f aca="false">(K215+J215)*(K214-J214)/2</f>
        <v>8.94</v>
      </c>
      <c r="K216" s="350" t="n">
        <f aca="false">(L215+K215)*(L214-K214)/2</f>
        <v>9.24</v>
      </c>
      <c r="L216" s="350" t="n">
        <f aca="false">(M215+L215)*(M214-L214)/2</f>
        <v>9.46</v>
      </c>
      <c r="M216" s="350" t="n">
        <f aca="false">(N215+M215)*(N214-M214)/2</f>
        <v>9.605</v>
      </c>
      <c r="N216" s="350" t="n">
        <f aca="false">(O215+N215)*(O214-N214)/2</f>
        <v>9.72</v>
      </c>
      <c r="O216" s="350" t="n">
        <f aca="false">(P215+O215)*(P214-O214)/2</f>
        <v>12.348</v>
      </c>
      <c r="P216" s="350" t="n">
        <f aca="false">(Q215+P215)*(Q214-P214)/2</f>
        <v>6.55600000000001</v>
      </c>
      <c r="Q216" s="350" t="n">
        <f aca="false">(R215+Q215)*(R214-Q214)/2</f>
        <v>0.385</v>
      </c>
      <c r="R216" s="350" t="n">
        <f aca="false">(S215+R215)*(S214-R214)/2</f>
        <v>0</v>
      </c>
      <c r="S216" s="350" t="n">
        <f aca="false">(T215+S215)*(T214-S214)/2</f>
        <v>0</v>
      </c>
      <c r="T216" s="350" t="n">
        <f aca="false">(U215+T215)*(U214-T214)/2</f>
        <v>0</v>
      </c>
      <c r="U216" s="350" t="n">
        <f aca="false">(V215+U215)*(V214-U214)/2</f>
        <v>0</v>
      </c>
      <c r="V216" s="350" t="n">
        <f aca="false">(W215+V215)*(W214-V214)/2</f>
        <v>0</v>
      </c>
      <c r="W216" s="350" t="n">
        <f aca="false">(X215+W215)*(X214-W214)/2</f>
        <v>0</v>
      </c>
      <c r="X216" s="350" t="n">
        <f aca="false">(Y215+X215)*(Y214-X214)/2</f>
        <v>0</v>
      </c>
      <c r="Y216" s="336"/>
    </row>
    <row r="217" customFormat="false" ht="12.75" hidden="false" customHeight="false" outlineLevel="0" collapsed="false">
      <c r="B217" s="337"/>
      <c r="C217" s="337"/>
      <c r="D217" s="337"/>
      <c r="E217" s="337"/>
      <c r="F217" s="337"/>
      <c r="G217" s="337"/>
      <c r="H217" s="337"/>
      <c r="I217" s="337"/>
      <c r="J217" s="337"/>
      <c r="K217" s="337"/>
      <c r="L217" s="337"/>
      <c r="M217" s="337"/>
      <c r="N217" s="337"/>
      <c r="O217" s="337"/>
      <c r="P217" s="337"/>
      <c r="Q217" s="337"/>
      <c r="R217" s="337"/>
      <c r="S217" s="337"/>
      <c r="T217" s="337"/>
      <c r="U217" s="337"/>
      <c r="V217" s="337"/>
      <c r="W217" s="337"/>
      <c r="X217" s="337"/>
      <c r="Y217" s="337"/>
    </row>
    <row r="218" customFormat="false" ht="13.5" hidden="false" customHeight="false" outlineLevel="0" collapsed="false">
      <c r="A218" s="338" t="s">
        <v>281</v>
      </c>
      <c r="B218" s="339" t="n">
        <f aca="false">ROW(A218)</f>
        <v>218</v>
      </c>
      <c r="C218" s="322" t="s">
        <v>213</v>
      </c>
      <c r="D218" s="323" t="n">
        <f aca="false">SUM(B221:Y221)</f>
        <v>98.2571011630364</v>
      </c>
      <c r="E218" s="322" t="s">
        <v>214</v>
      </c>
      <c r="F218" s="324" t="n">
        <f aca="false">D218/g/J218</f>
        <v>177.588907618938</v>
      </c>
      <c r="G218" s="322" t="s">
        <v>215</v>
      </c>
      <c r="H218" s="340" t="n">
        <v>0.1432</v>
      </c>
      <c r="I218" s="322" t="s">
        <v>226</v>
      </c>
      <c r="J218" s="325" t="n">
        <f aca="false">H218-L218</f>
        <v>0.0564</v>
      </c>
      <c r="K218" s="322" t="s">
        <v>227</v>
      </c>
      <c r="L218" s="340" t="n">
        <v>0.0868</v>
      </c>
      <c r="M218" s="322" t="s">
        <v>218</v>
      </c>
      <c r="N218" s="341" t="n">
        <v>71</v>
      </c>
      <c r="O218" s="322" t="s">
        <v>219</v>
      </c>
      <c r="P218" s="341" t="n">
        <v>71</v>
      </c>
      <c r="Q218" s="322" t="s">
        <v>220</v>
      </c>
      <c r="R218" s="341" t="n">
        <v>142</v>
      </c>
      <c r="S218" s="322" t="s">
        <v>221</v>
      </c>
      <c r="T218" s="341" t="n">
        <v>29</v>
      </c>
      <c r="U218" s="322" t="s">
        <v>8</v>
      </c>
      <c r="V218" s="342" t="s">
        <v>257</v>
      </c>
      <c r="W218" s="328" t="s">
        <v>222</v>
      </c>
      <c r="X218" s="351" t="n">
        <v>1.15</v>
      </c>
      <c r="Y218" s="328" t="s">
        <v>223</v>
      </c>
      <c r="Z218" s="327" t="n">
        <v>14</v>
      </c>
    </row>
    <row r="219" customFormat="false" ht="12" hidden="false" customHeight="false" outlineLevel="0" collapsed="false">
      <c r="A219" s="320" t="s">
        <v>228</v>
      </c>
      <c r="B219" s="343" t="n">
        <v>0</v>
      </c>
      <c r="C219" s="344" t="n">
        <v>0.015</v>
      </c>
      <c r="D219" s="344" t="n">
        <v>0.03</v>
      </c>
      <c r="E219" s="344" t="n">
        <v>0.045</v>
      </c>
      <c r="F219" s="344" t="n">
        <v>0.06</v>
      </c>
      <c r="G219" s="344" t="n">
        <v>0.075</v>
      </c>
      <c r="H219" s="344" t="n">
        <v>0.09</v>
      </c>
      <c r="I219" s="344" t="n">
        <v>0.105</v>
      </c>
      <c r="J219" s="344" t="n">
        <v>0.12</v>
      </c>
      <c r="K219" s="344" t="n">
        <v>0.18</v>
      </c>
      <c r="L219" s="344" t="n">
        <v>0.24</v>
      </c>
      <c r="M219" s="344" t="n">
        <v>0.3</v>
      </c>
      <c r="N219" s="344" t="n">
        <v>0.48</v>
      </c>
      <c r="O219" s="344" t="n">
        <v>0.6</v>
      </c>
      <c r="P219" s="344" t="n">
        <v>0.66</v>
      </c>
      <c r="Q219" s="344" t="n">
        <v>0.72</v>
      </c>
      <c r="R219" s="344" t="n">
        <v>0.78</v>
      </c>
      <c r="S219" s="344" t="n">
        <v>0.84</v>
      </c>
      <c r="T219" s="344" t="n">
        <v>0.9</v>
      </c>
      <c r="U219" s="344" t="n">
        <v>0.96</v>
      </c>
      <c r="V219" s="344" t="n">
        <v>1.035</v>
      </c>
      <c r="W219" s="344" t="n">
        <v>1.2</v>
      </c>
      <c r="X219" s="344" t="n">
        <v>2</v>
      </c>
      <c r="Y219" s="332" t="n">
        <v>1000</v>
      </c>
    </row>
    <row r="220" customFormat="false" ht="12" hidden="false" customHeight="false" outlineLevel="0" collapsed="false">
      <c r="A220" s="345" t="s">
        <v>229</v>
      </c>
      <c r="B220" s="346" t="n">
        <v>0</v>
      </c>
      <c r="C220" s="355" t="n">
        <v>99.3287889588225</v>
      </c>
      <c r="D220" s="355" t="n">
        <v>109.07039432469</v>
      </c>
      <c r="E220" s="355" t="n">
        <v>65.2554112864275</v>
      </c>
      <c r="F220" s="355" t="n">
        <v>67.5684865331175</v>
      </c>
      <c r="G220" s="355" t="n">
        <v>73.929443461515</v>
      </c>
      <c r="H220" s="355" t="n">
        <v>74.3297834080575</v>
      </c>
      <c r="I220" s="355" t="n">
        <v>78.1552540083525</v>
      </c>
      <c r="J220" s="355" t="n">
        <v>78.6000761711775</v>
      </c>
      <c r="K220" s="355" t="n">
        <v>82.20313569006</v>
      </c>
      <c r="L220" s="355" t="n">
        <v>84.51621093675</v>
      </c>
      <c r="M220" s="355" t="n">
        <v>88.519610402175</v>
      </c>
      <c r="N220" s="355" t="n">
        <v>95.102978411985</v>
      </c>
      <c r="O220" s="355" t="n">
        <v>95.54780057481</v>
      </c>
      <c r="P220" s="355" t="n">
        <v>94.48022738403</v>
      </c>
      <c r="Q220" s="355" t="n">
        <v>92.1226699210575</v>
      </c>
      <c r="R220" s="355" t="n">
        <v>90.7437212163</v>
      </c>
      <c r="S220" s="355" t="n">
        <v>88.964432565</v>
      </c>
      <c r="T220" s="355" t="n">
        <v>85.4058552624</v>
      </c>
      <c r="U220" s="355" t="n">
        <v>83.44863774597</v>
      </c>
      <c r="V220" s="355" t="n">
        <v>88.07478823935</v>
      </c>
      <c r="W220" s="355" t="n">
        <v>0</v>
      </c>
      <c r="X220" s="347" t="n">
        <v>0</v>
      </c>
      <c r="Y220" s="348" t="n">
        <v>0</v>
      </c>
    </row>
    <row r="221" customFormat="false" ht="12.75" hidden="false" customHeight="false" outlineLevel="0" collapsed="false">
      <c r="A221" s="333" t="s">
        <v>230</v>
      </c>
      <c r="B221" s="349" t="n">
        <f aca="false">(C220+B220)*(C219-B219)/2</f>
        <v>0.744965917191169</v>
      </c>
      <c r="C221" s="350" t="n">
        <f aca="false">(D220+C220)*(D219-C219)/2</f>
        <v>1.56299387462634</v>
      </c>
      <c r="D221" s="350" t="n">
        <f aca="false">(E220+D220)*(E219-D219)/2</f>
        <v>1.30744354208338</v>
      </c>
      <c r="E221" s="350" t="n">
        <f aca="false">(F220+E220)*(F219-E219)/2</f>
        <v>0.996179233646587</v>
      </c>
      <c r="F221" s="350" t="n">
        <f aca="false">(G220+F220)*(G219-F219)/2</f>
        <v>1.06123447495974</v>
      </c>
      <c r="G221" s="350" t="n">
        <f aca="false">(H220+G220)*(H219-G219)/2</f>
        <v>1.11194420152179</v>
      </c>
      <c r="H221" s="350" t="n">
        <f aca="false">(I220+H220)*(I219-H219)/2</f>
        <v>1.14363778062307</v>
      </c>
      <c r="I221" s="350" t="n">
        <f aca="false">(J220+I220)*(J219-I219)/2</f>
        <v>1.17566497634648</v>
      </c>
      <c r="J221" s="350" t="n">
        <f aca="false">(K220+J220)*(K219-J219)/2</f>
        <v>4.82409635583713</v>
      </c>
      <c r="K221" s="350" t="n">
        <f aca="false">(L220+K220)*(L219-K219)/2</f>
        <v>5.0015803988043</v>
      </c>
      <c r="L221" s="350" t="n">
        <f aca="false">(M220+L220)*(M219-L219)/2</f>
        <v>5.19107464016775</v>
      </c>
      <c r="M221" s="350" t="n">
        <f aca="false">(N220+M220)*(N219-M219)/2</f>
        <v>16.5260329932744</v>
      </c>
      <c r="N221" s="350" t="n">
        <f aca="false">(O220+N220)*(O219-N219)/2</f>
        <v>11.4390467392077</v>
      </c>
      <c r="O221" s="350" t="n">
        <f aca="false">(P220+O220)*(P219-O219)/2</f>
        <v>5.7008408387652</v>
      </c>
      <c r="P221" s="350" t="n">
        <f aca="false">(Q220+P220)*(Q219-P219)/2</f>
        <v>5.59808691915262</v>
      </c>
      <c r="Q221" s="350" t="n">
        <f aca="false">(R220+Q220)*(R219-Q219)/2</f>
        <v>5.48599173412073</v>
      </c>
      <c r="R221" s="350" t="n">
        <f aca="false">(S220+R220)*(S219-R219)/2</f>
        <v>5.39124461343899</v>
      </c>
      <c r="S221" s="350" t="n">
        <f aca="false">(T220+S220)*(T219-S219)/2</f>
        <v>5.231108634822</v>
      </c>
      <c r="T221" s="350" t="n">
        <f aca="false">(U220+T220)*(U219-T219)/2</f>
        <v>5.0656347902511</v>
      </c>
      <c r="U221" s="350" t="n">
        <f aca="false">(V220+U220)*(V219-U219)/2</f>
        <v>6.4321284744495</v>
      </c>
      <c r="V221" s="350" t="n">
        <f aca="false">(W220+V220)*(W219-V219)/2</f>
        <v>7.26617002974638</v>
      </c>
      <c r="W221" s="350" t="n">
        <f aca="false">(X220+W220)*(X219-W219)/2</f>
        <v>0</v>
      </c>
      <c r="X221" s="350" t="n">
        <f aca="false">(Y220+X220)*(Y219-X219)/2</f>
        <v>0</v>
      </c>
      <c r="Y221" s="336"/>
    </row>
    <row r="222" customFormat="false" ht="12.75" hidden="false" customHeight="false" outlineLevel="0" collapsed="false">
      <c r="B222" s="337"/>
      <c r="C222" s="337"/>
      <c r="D222" s="337"/>
      <c r="E222" s="337"/>
      <c r="F222" s="337"/>
      <c r="G222" s="337"/>
      <c r="H222" s="337"/>
      <c r="I222" s="337"/>
      <c r="J222" s="337"/>
      <c r="K222" s="337"/>
      <c r="L222" s="337"/>
      <c r="M222" s="337"/>
      <c r="N222" s="337"/>
      <c r="O222" s="337"/>
      <c r="P222" s="337"/>
      <c r="Q222" s="337"/>
      <c r="R222" s="337"/>
      <c r="S222" s="337"/>
      <c r="T222" s="337"/>
      <c r="U222" s="337"/>
      <c r="V222" s="337"/>
      <c r="W222" s="337"/>
      <c r="X222" s="337"/>
      <c r="Y222" s="337"/>
    </row>
    <row r="223" customFormat="false" ht="13.5" hidden="false" customHeight="false" outlineLevel="0" collapsed="false">
      <c r="A223" s="338" t="s">
        <v>282</v>
      </c>
      <c r="B223" s="339" t="n">
        <f aca="false">ROW(A223)</f>
        <v>223</v>
      </c>
      <c r="C223" s="322" t="s">
        <v>213</v>
      </c>
      <c r="D223" s="323" t="n">
        <f aca="false">SUM(B226:Y226)</f>
        <v>109.6063985</v>
      </c>
      <c r="E223" s="322" t="s">
        <v>214</v>
      </c>
      <c r="F223" s="324" t="n">
        <f aca="false">D223/g/J223</f>
        <v>194.311746664894</v>
      </c>
      <c r="G223" s="322" t="s">
        <v>215</v>
      </c>
      <c r="H223" s="340" t="n">
        <v>0.1413</v>
      </c>
      <c r="I223" s="322" t="s">
        <v>226</v>
      </c>
      <c r="J223" s="325" t="n">
        <f aca="false">H223-L223</f>
        <v>0.0575</v>
      </c>
      <c r="K223" s="322" t="s">
        <v>227</v>
      </c>
      <c r="L223" s="340" t="n">
        <v>0.0838</v>
      </c>
      <c r="M223" s="322" t="s">
        <v>218</v>
      </c>
      <c r="N223" s="341" t="n">
        <v>71</v>
      </c>
      <c r="O223" s="322" t="s">
        <v>219</v>
      </c>
      <c r="P223" s="341" t="n">
        <v>71</v>
      </c>
      <c r="Q223" s="322" t="s">
        <v>220</v>
      </c>
      <c r="R223" s="341" t="n">
        <v>142</v>
      </c>
      <c r="S223" s="322" t="s">
        <v>221</v>
      </c>
      <c r="T223" s="341" t="n">
        <v>29</v>
      </c>
      <c r="U223" s="322" t="s">
        <v>8</v>
      </c>
      <c r="V223" s="342" t="s">
        <v>246</v>
      </c>
      <c r="W223" s="328" t="s">
        <v>222</v>
      </c>
      <c r="X223" s="351" t="n">
        <v>0.45</v>
      </c>
      <c r="Y223" s="328" t="s">
        <v>223</v>
      </c>
      <c r="Z223" s="327" t="n">
        <v>14</v>
      </c>
    </row>
    <row r="224" customFormat="false" ht="12" hidden="false" customHeight="false" outlineLevel="0" collapsed="false">
      <c r="A224" s="320" t="s">
        <v>228</v>
      </c>
      <c r="B224" s="343" t="n">
        <v>0</v>
      </c>
      <c r="C224" s="344" t="n">
        <v>0.006</v>
      </c>
      <c r="D224" s="344" t="n">
        <v>0.011</v>
      </c>
      <c r="E224" s="344" t="n">
        <v>0.016</v>
      </c>
      <c r="F224" s="344" t="n">
        <v>0.031</v>
      </c>
      <c r="G224" s="344" t="n">
        <v>0.075</v>
      </c>
      <c r="H224" s="344" t="n">
        <v>0.122</v>
      </c>
      <c r="I224" s="344" t="n">
        <v>0.216</v>
      </c>
      <c r="J224" s="344" t="n">
        <v>0.25</v>
      </c>
      <c r="K224" s="344" t="n">
        <v>0.287</v>
      </c>
      <c r="L224" s="344" t="n">
        <v>0.354</v>
      </c>
      <c r="M224" s="344" t="n">
        <v>0.374</v>
      </c>
      <c r="N224" s="344" t="n">
        <v>0.4</v>
      </c>
      <c r="O224" s="344" t="n">
        <v>0.413</v>
      </c>
      <c r="P224" s="344" t="n">
        <v>0.42</v>
      </c>
      <c r="Q224" s="344" t="n">
        <v>0.433</v>
      </c>
      <c r="R224" s="344" t="n">
        <v>0.445</v>
      </c>
      <c r="S224" s="344" t="n">
        <v>0.454</v>
      </c>
      <c r="T224" s="344" t="n">
        <f aca="false">S224</f>
        <v>0.454</v>
      </c>
      <c r="U224" s="344" t="n">
        <f aca="false">T224</f>
        <v>0.454</v>
      </c>
      <c r="V224" s="344" t="n">
        <f aca="false">U224</f>
        <v>0.454</v>
      </c>
      <c r="W224" s="344" t="n">
        <f aca="false">V224</f>
        <v>0.454</v>
      </c>
      <c r="X224" s="344" t="n">
        <v>2</v>
      </c>
      <c r="Y224" s="332" t="n">
        <v>1000</v>
      </c>
    </row>
    <row r="225" customFormat="false" ht="12" hidden="false" customHeight="false" outlineLevel="0" collapsed="false">
      <c r="A225" s="345" t="s">
        <v>229</v>
      </c>
      <c r="B225" s="346" t="n">
        <v>0</v>
      </c>
      <c r="C225" s="347" t="n">
        <v>151.621</v>
      </c>
      <c r="D225" s="347" t="n">
        <v>198.079</v>
      </c>
      <c r="E225" s="347" t="n">
        <v>203.121</v>
      </c>
      <c r="F225" s="347" t="n">
        <v>201.681</v>
      </c>
      <c r="G225" s="347" t="n">
        <v>226.17</v>
      </c>
      <c r="H225" s="347" t="n">
        <v>250.3</v>
      </c>
      <c r="I225" s="347" t="n">
        <v>280.192</v>
      </c>
      <c r="J225" s="347" t="n">
        <v>287.035</v>
      </c>
      <c r="K225" s="347" t="n">
        <v>284.874</v>
      </c>
      <c r="L225" s="347" t="n">
        <v>269.748</v>
      </c>
      <c r="M225" s="347" t="n">
        <v>258.583</v>
      </c>
      <c r="N225" s="347" t="n">
        <v>233.373</v>
      </c>
      <c r="O225" s="347" t="n">
        <v>234.094</v>
      </c>
      <c r="P225" s="347" t="n">
        <v>227.611</v>
      </c>
      <c r="Q225" s="347" t="n">
        <v>137.935</v>
      </c>
      <c r="R225" s="347" t="n">
        <v>33.854</v>
      </c>
      <c r="S225" s="347" t="n">
        <v>0</v>
      </c>
      <c r="T225" s="347" t="n">
        <f aca="false">S225</f>
        <v>0</v>
      </c>
      <c r="U225" s="347" t="n">
        <f aca="false">T225</f>
        <v>0</v>
      </c>
      <c r="V225" s="347" t="n">
        <f aca="false">U225</f>
        <v>0</v>
      </c>
      <c r="W225" s="347" t="n">
        <f aca="false">V225</f>
        <v>0</v>
      </c>
      <c r="X225" s="347" t="n">
        <f aca="false">W225</f>
        <v>0</v>
      </c>
      <c r="Y225" s="348" t="n">
        <v>0</v>
      </c>
    </row>
    <row r="226" customFormat="false" ht="12.75" hidden="false" customHeight="false" outlineLevel="0" collapsed="false">
      <c r="A226" s="333" t="s">
        <v>230</v>
      </c>
      <c r="B226" s="349" t="n">
        <f aca="false">(C225+B225)*(C224-B224)/2</f>
        <v>0.454863</v>
      </c>
      <c r="C226" s="350" t="n">
        <f aca="false">(D225+C225)*(D224-C224)/2</f>
        <v>0.87425</v>
      </c>
      <c r="D226" s="350" t="n">
        <f aca="false">(E225+D225)*(E224-D224)/2</f>
        <v>1.003</v>
      </c>
      <c r="E226" s="350" t="n">
        <f aca="false">(F225+E225)*(F224-E224)/2</f>
        <v>3.036015</v>
      </c>
      <c r="F226" s="350" t="n">
        <f aca="false">(G225+F225)*(G224-F224)/2</f>
        <v>9.412722</v>
      </c>
      <c r="G226" s="350" t="n">
        <f aca="false">(H225+G225)*(H224-G224)/2</f>
        <v>11.197045</v>
      </c>
      <c r="H226" s="350" t="n">
        <f aca="false">(I225+H225)*(I224-H224)/2</f>
        <v>24.933124</v>
      </c>
      <c r="I226" s="350" t="n">
        <f aca="false">(J225+I225)*(J224-I224)/2</f>
        <v>9.642859</v>
      </c>
      <c r="J226" s="350" t="n">
        <f aca="false">(K225+J225)*(K224-J224)/2</f>
        <v>10.5803165</v>
      </c>
      <c r="K226" s="350" t="n">
        <f aca="false">(L225+K225)*(L224-K224)/2</f>
        <v>18.579837</v>
      </c>
      <c r="L226" s="350" t="n">
        <f aca="false">(M225+L225)*(M224-L224)/2</f>
        <v>5.28331000000001</v>
      </c>
      <c r="M226" s="350" t="n">
        <f aca="false">(N225+M225)*(N224-M224)/2</f>
        <v>6.39542800000001</v>
      </c>
      <c r="N226" s="350" t="n">
        <f aca="false">(O225+N225)*(O224-N224)/2</f>
        <v>3.03853549999999</v>
      </c>
      <c r="O226" s="350" t="n">
        <f aca="false">(P225+O225)*(P224-O224)/2</f>
        <v>1.6159675</v>
      </c>
      <c r="P226" s="350" t="n">
        <f aca="false">(Q225+P225)*(Q224-P224)/2</f>
        <v>2.376049</v>
      </c>
      <c r="Q226" s="350" t="n">
        <f aca="false">(R225+Q225)*(R224-Q224)/2</f>
        <v>1.030734</v>
      </c>
      <c r="R226" s="350" t="n">
        <f aca="false">(S225+R225)*(S224-R224)/2</f>
        <v>0.152343</v>
      </c>
      <c r="S226" s="350" t="n">
        <f aca="false">(T225+S225)*(T224-S224)/2</f>
        <v>0</v>
      </c>
      <c r="T226" s="350" t="n">
        <f aca="false">(U225+T225)*(U224-T224)/2</f>
        <v>0</v>
      </c>
      <c r="U226" s="350" t="n">
        <f aca="false">(V225+U225)*(V224-U224)/2</f>
        <v>0</v>
      </c>
      <c r="V226" s="350" t="n">
        <f aca="false">(W225+V225)*(W224-V224)/2</f>
        <v>0</v>
      </c>
      <c r="W226" s="350" t="n">
        <f aca="false">(X225+W225)*(X224-W224)/2</f>
        <v>0</v>
      </c>
      <c r="X226" s="350" t="n">
        <f aca="false">(Y225+X225)*(Y224-X224)/2</f>
        <v>0</v>
      </c>
      <c r="Y226" s="336"/>
    </row>
    <row r="227" customFormat="false" ht="12.75" hidden="false" customHeight="false" outlineLevel="0" collapsed="false">
      <c r="B227" s="337"/>
      <c r="C227" s="337"/>
      <c r="D227" s="337"/>
      <c r="E227" s="337"/>
      <c r="F227" s="337"/>
      <c r="G227" s="337"/>
      <c r="H227" s="337"/>
      <c r="I227" s="337"/>
      <c r="J227" s="337"/>
      <c r="K227" s="337"/>
      <c r="L227" s="337"/>
      <c r="M227" s="337"/>
      <c r="N227" s="337"/>
      <c r="O227" s="337"/>
      <c r="P227" s="337"/>
      <c r="Q227" s="337"/>
      <c r="R227" s="337"/>
      <c r="S227" s="337"/>
      <c r="T227" s="337"/>
      <c r="U227" s="337"/>
      <c r="V227" s="337"/>
      <c r="W227" s="337"/>
      <c r="X227" s="337"/>
      <c r="Y227" s="337"/>
    </row>
    <row r="228" customFormat="false" ht="13.5" hidden="false" customHeight="false" outlineLevel="0" collapsed="false">
      <c r="A228" s="338" t="s">
        <v>283</v>
      </c>
      <c r="B228" s="339" t="n">
        <f aca="false">ROW(A228)</f>
        <v>228</v>
      </c>
      <c r="C228" s="322" t="s">
        <v>213</v>
      </c>
      <c r="D228" s="323" t="n">
        <f aca="false">SUM(B231:Y231)</f>
        <v>115.63</v>
      </c>
      <c r="E228" s="322" t="s">
        <v>214</v>
      </c>
      <c r="F228" s="324" t="n">
        <f aca="false">D228/g/J228</f>
        <v>199.77884897804</v>
      </c>
      <c r="G228" s="322" t="s">
        <v>215</v>
      </c>
      <c r="H228" s="340" t="n">
        <v>0.145</v>
      </c>
      <c r="I228" s="322" t="s">
        <v>226</v>
      </c>
      <c r="J228" s="325" t="n">
        <f aca="false">H228-L228</f>
        <v>0.059</v>
      </c>
      <c r="K228" s="322" t="s">
        <v>227</v>
      </c>
      <c r="L228" s="340" t="n">
        <v>0.086</v>
      </c>
      <c r="M228" s="322" t="s">
        <v>218</v>
      </c>
      <c r="N228" s="341" t="n">
        <v>71</v>
      </c>
      <c r="O228" s="322" t="s">
        <v>219</v>
      </c>
      <c r="P228" s="341" t="n">
        <v>71</v>
      </c>
      <c r="Q228" s="322" t="s">
        <v>220</v>
      </c>
      <c r="R228" s="341" t="n">
        <v>142</v>
      </c>
      <c r="S228" s="322" t="s">
        <v>221</v>
      </c>
      <c r="T228" s="341" t="n">
        <v>29</v>
      </c>
      <c r="U228" s="322" t="s">
        <v>8</v>
      </c>
      <c r="V228" s="342" t="s">
        <v>253</v>
      </c>
      <c r="W228" s="328" t="s">
        <v>222</v>
      </c>
      <c r="X228" s="351" t="n">
        <v>0.93</v>
      </c>
      <c r="Y228" s="328" t="s">
        <v>223</v>
      </c>
      <c r="Z228" s="327" t="n">
        <v>13</v>
      </c>
    </row>
    <row r="229" customFormat="false" ht="12" hidden="false" customHeight="false" outlineLevel="0" collapsed="false">
      <c r="A229" s="320" t="s">
        <v>228</v>
      </c>
      <c r="B229" s="343" t="n">
        <v>0</v>
      </c>
      <c r="C229" s="344" t="n">
        <v>0.01</v>
      </c>
      <c r="D229" s="344" t="n">
        <v>0.02</v>
      </c>
      <c r="E229" s="344" t="n">
        <v>0.03</v>
      </c>
      <c r="F229" s="344" t="n">
        <v>0.04</v>
      </c>
      <c r="G229" s="344" t="n">
        <v>0.05</v>
      </c>
      <c r="H229" s="344" t="n">
        <v>0.1</v>
      </c>
      <c r="I229" s="344" t="n">
        <v>0.2</v>
      </c>
      <c r="J229" s="344" t="n">
        <v>0.3</v>
      </c>
      <c r="K229" s="344" t="n">
        <v>0.4</v>
      </c>
      <c r="L229" s="344" t="n">
        <v>0.6</v>
      </c>
      <c r="M229" s="344" t="n">
        <v>0.75</v>
      </c>
      <c r="N229" s="344" t="n">
        <v>0.81</v>
      </c>
      <c r="O229" s="344" t="n">
        <v>0.86</v>
      </c>
      <c r="P229" s="344" t="n">
        <v>0.9</v>
      </c>
      <c r="Q229" s="344" t="n">
        <v>0.95</v>
      </c>
      <c r="R229" s="344" t="n">
        <v>1</v>
      </c>
      <c r="S229" s="344" t="n">
        <v>1</v>
      </c>
      <c r="T229" s="344" t="n">
        <v>1</v>
      </c>
      <c r="U229" s="344" t="n">
        <v>1</v>
      </c>
      <c r="V229" s="344" t="n">
        <v>1</v>
      </c>
      <c r="W229" s="344" t="n">
        <v>1</v>
      </c>
      <c r="X229" s="344" t="n">
        <v>2</v>
      </c>
      <c r="Y229" s="332" t="n">
        <v>1000</v>
      </c>
    </row>
    <row r="230" customFormat="false" ht="12" hidden="false" customHeight="false" outlineLevel="0" collapsed="false">
      <c r="A230" s="345" t="s">
        <v>229</v>
      </c>
      <c r="B230" s="346" t="n">
        <v>0</v>
      </c>
      <c r="C230" s="355" t="n">
        <v>55</v>
      </c>
      <c r="D230" s="355" t="n">
        <v>168</v>
      </c>
      <c r="E230" s="355" t="n">
        <v>157</v>
      </c>
      <c r="F230" s="355" t="n">
        <v>148</v>
      </c>
      <c r="G230" s="355" t="n">
        <v>125</v>
      </c>
      <c r="H230" s="355" t="n">
        <v>135</v>
      </c>
      <c r="I230" s="355" t="n">
        <v>141</v>
      </c>
      <c r="J230" s="355" t="n">
        <v>142</v>
      </c>
      <c r="K230" s="355" t="n">
        <v>141</v>
      </c>
      <c r="L230" s="355" t="n">
        <v>133</v>
      </c>
      <c r="M230" s="355" t="n">
        <v>127</v>
      </c>
      <c r="N230" s="355" t="n">
        <v>128</v>
      </c>
      <c r="O230" s="355" t="n">
        <v>60</v>
      </c>
      <c r="P230" s="355" t="n">
        <v>15</v>
      </c>
      <c r="Q230" s="355" t="n">
        <v>0</v>
      </c>
      <c r="R230" s="355" t="n">
        <v>0</v>
      </c>
      <c r="S230" s="355" t="n">
        <v>0</v>
      </c>
      <c r="T230" s="355" t="n">
        <v>0</v>
      </c>
      <c r="U230" s="355" t="n">
        <v>0</v>
      </c>
      <c r="V230" s="355" t="n">
        <v>0</v>
      </c>
      <c r="W230" s="355" t="n">
        <v>0</v>
      </c>
      <c r="X230" s="347" t="n">
        <v>0</v>
      </c>
      <c r="Y230" s="348" t="n">
        <v>0</v>
      </c>
    </row>
    <row r="231" customFormat="false" ht="12.75" hidden="false" customHeight="false" outlineLevel="0" collapsed="false">
      <c r="A231" s="333" t="s">
        <v>230</v>
      </c>
      <c r="B231" s="349" t="n">
        <f aca="false">(C230+B230)*(C229-B229)/2</f>
        <v>0.275</v>
      </c>
      <c r="C231" s="350" t="n">
        <f aca="false">(D230+C230)*(D229-C229)/2</f>
        <v>1.115</v>
      </c>
      <c r="D231" s="350" t="n">
        <f aca="false">(E230+D230)*(E229-D229)/2</f>
        <v>1.625</v>
      </c>
      <c r="E231" s="350" t="n">
        <f aca="false">(F230+E230)*(F229-E229)/2</f>
        <v>1.525</v>
      </c>
      <c r="F231" s="350" t="n">
        <f aca="false">(G230+F230)*(G229-F229)/2</f>
        <v>1.365</v>
      </c>
      <c r="G231" s="350" t="n">
        <f aca="false">(H230+G230)*(H229-G229)/2</f>
        <v>6.5</v>
      </c>
      <c r="H231" s="350" t="n">
        <f aca="false">(I230+H230)*(I229-H229)/2</f>
        <v>13.8</v>
      </c>
      <c r="I231" s="350" t="n">
        <f aca="false">(J230+I230)*(J229-I229)/2</f>
        <v>14.15</v>
      </c>
      <c r="J231" s="350" t="n">
        <f aca="false">(K230+J230)*(K229-J229)/2</f>
        <v>14.15</v>
      </c>
      <c r="K231" s="350" t="n">
        <f aca="false">(L230+K230)*(L229-K229)/2</f>
        <v>27.4</v>
      </c>
      <c r="L231" s="350" t="n">
        <f aca="false">(M230+L230)*(M229-L229)/2</f>
        <v>19.5</v>
      </c>
      <c r="M231" s="350" t="n">
        <f aca="false">(N230+M230)*(N229-M229)/2</f>
        <v>7.65000000000001</v>
      </c>
      <c r="N231" s="350" t="n">
        <f aca="false">(O230+N230)*(O229-N229)/2</f>
        <v>4.69999999999999</v>
      </c>
      <c r="O231" s="350" t="n">
        <f aca="false">(P230+O230)*(P229-O229)/2</f>
        <v>1.5</v>
      </c>
      <c r="P231" s="350" t="n">
        <f aca="false">(Q230+P230)*(Q229-P229)/2</f>
        <v>0.375</v>
      </c>
      <c r="Q231" s="350" t="n">
        <f aca="false">(R230+Q230)*(R229-Q229)/2</f>
        <v>0</v>
      </c>
      <c r="R231" s="350" t="n">
        <f aca="false">(S230+R230)*(S229-R229)/2</f>
        <v>0</v>
      </c>
      <c r="S231" s="350" t="n">
        <f aca="false">(T230+S230)*(T229-S229)/2</f>
        <v>0</v>
      </c>
      <c r="T231" s="350" t="n">
        <f aca="false">(U230+T230)*(U229-T229)/2</f>
        <v>0</v>
      </c>
      <c r="U231" s="350" t="n">
        <f aca="false">(V230+U230)*(V229-U229)/2</f>
        <v>0</v>
      </c>
      <c r="V231" s="350" t="n">
        <f aca="false">(W230+V230)*(W229-V229)/2</f>
        <v>0</v>
      </c>
      <c r="W231" s="350" t="n">
        <f aca="false">(X230+W230)*(X229-W229)/2</f>
        <v>0</v>
      </c>
      <c r="X231" s="350" t="n">
        <f aca="false">(Y230+X230)*(Y229-X229)/2</f>
        <v>0</v>
      </c>
      <c r="Y231" s="336"/>
    </row>
    <row r="232" customFormat="false" ht="13.5" hidden="false" customHeight="false" outlineLevel="0" collapsed="false">
      <c r="A232" s="171" t="s">
        <v>284</v>
      </c>
      <c r="B232" s="337"/>
      <c r="C232" s="337"/>
      <c r="D232" s="337"/>
      <c r="E232" s="337"/>
      <c r="F232" s="337"/>
      <c r="G232" s="337"/>
      <c r="H232" s="337"/>
      <c r="I232" s="337"/>
      <c r="J232" s="337"/>
      <c r="K232" s="337"/>
      <c r="L232" s="337"/>
      <c r="M232" s="337"/>
      <c r="N232" s="337"/>
      <c r="O232" s="337"/>
      <c r="P232" s="337"/>
      <c r="Q232" s="337"/>
      <c r="R232" s="337"/>
      <c r="S232" s="337"/>
      <c r="T232" s="337"/>
      <c r="U232" s="337"/>
      <c r="V232" s="337"/>
      <c r="W232" s="337"/>
      <c r="X232" s="337"/>
      <c r="Y232" s="337"/>
    </row>
    <row r="233" customFormat="false" ht="13.5" hidden="false" customHeight="false" outlineLevel="0" collapsed="false">
      <c r="A233" s="338" t="s">
        <v>285</v>
      </c>
      <c r="B233" s="339" t="n">
        <f aca="false">ROW(A233)</f>
        <v>233</v>
      </c>
      <c r="C233" s="322" t="s">
        <v>213</v>
      </c>
      <c r="D233" s="323" t="n">
        <f aca="false">SUM(B236:Y236)</f>
        <v>115.63</v>
      </c>
      <c r="E233" s="322" t="s">
        <v>214</v>
      </c>
      <c r="F233" s="324" t="n">
        <f aca="false">D233/g/J233</f>
        <v>125.393107337281</v>
      </c>
      <c r="G233" s="322" t="s">
        <v>215</v>
      </c>
      <c r="H233" s="340" t="n">
        <v>0.2</v>
      </c>
      <c r="I233" s="322" t="s">
        <v>226</v>
      </c>
      <c r="J233" s="325" t="n">
        <f aca="false">H233-L233</f>
        <v>0.094</v>
      </c>
      <c r="K233" s="322" t="s">
        <v>227</v>
      </c>
      <c r="L233" s="340" t="n">
        <v>0.106</v>
      </c>
      <c r="M233" s="322" t="s">
        <v>218</v>
      </c>
      <c r="N233" s="341" t="n">
        <v>93</v>
      </c>
      <c r="O233" s="322" t="s">
        <v>219</v>
      </c>
      <c r="P233" s="341" t="n">
        <v>93</v>
      </c>
      <c r="Q233" s="322" t="s">
        <v>220</v>
      </c>
      <c r="R233" s="341" t="n">
        <v>187</v>
      </c>
      <c r="S233" s="322" t="s">
        <v>221</v>
      </c>
      <c r="T233" s="341" t="n">
        <v>29</v>
      </c>
      <c r="U233" s="322" t="s">
        <v>8</v>
      </c>
      <c r="V233" s="342" t="s">
        <v>257</v>
      </c>
      <c r="W233" s="328" t="s">
        <v>222</v>
      </c>
      <c r="X233" s="351" t="n">
        <v>0.96</v>
      </c>
      <c r="Y233" s="328" t="s">
        <v>223</v>
      </c>
      <c r="Z233" s="327" t="n">
        <v>14</v>
      </c>
    </row>
    <row r="234" customFormat="false" ht="12" hidden="false" customHeight="false" outlineLevel="0" collapsed="false">
      <c r="A234" s="320" t="s">
        <v>228</v>
      </c>
      <c r="B234" s="343" t="n">
        <v>0</v>
      </c>
      <c r="C234" s="344" t="n">
        <v>0.01</v>
      </c>
      <c r="D234" s="344" t="n">
        <v>0.02</v>
      </c>
      <c r="E234" s="344" t="n">
        <v>0.03</v>
      </c>
      <c r="F234" s="344" t="n">
        <v>0.04</v>
      </c>
      <c r="G234" s="344" t="n">
        <v>0.05</v>
      </c>
      <c r="H234" s="344" t="n">
        <v>0.1</v>
      </c>
      <c r="I234" s="344" t="n">
        <v>0.2</v>
      </c>
      <c r="J234" s="344" t="n">
        <v>0.3</v>
      </c>
      <c r="K234" s="344" t="n">
        <v>0.4</v>
      </c>
      <c r="L234" s="344" t="n">
        <v>0.6</v>
      </c>
      <c r="M234" s="344" t="n">
        <v>0.75</v>
      </c>
      <c r="N234" s="344" t="n">
        <v>0.81</v>
      </c>
      <c r="O234" s="344" t="n">
        <v>0.86</v>
      </c>
      <c r="P234" s="344" t="n">
        <v>0.9</v>
      </c>
      <c r="Q234" s="344" t="n">
        <v>0.95</v>
      </c>
      <c r="R234" s="344" t="n">
        <v>1</v>
      </c>
      <c r="S234" s="344" t="n">
        <f aca="false">R234</f>
        <v>1</v>
      </c>
      <c r="T234" s="344" t="n">
        <f aca="false">S234</f>
        <v>1</v>
      </c>
      <c r="U234" s="344" t="n">
        <f aca="false">T234</f>
        <v>1</v>
      </c>
      <c r="V234" s="344" t="n">
        <f aca="false">U234</f>
        <v>1</v>
      </c>
      <c r="W234" s="344" t="n">
        <f aca="false">V234</f>
        <v>1</v>
      </c>
      <c r="X234" s="344" t="n">
        <v>2</v>
      </c>
      <c r="Y234" s="332" t="n">
        <v>1000</v>
      </c>
    </row>
    <row r="235" customFormat="false" ht="12" hidden="false" customHeight="false" outlineLevel="0" collapsed="false">
      <c r="A235" s="345" t="s">
        <v>229</v>
      </c>
      <c r="B235" s="346" t="n">
        <v>0</v>
      </c>
      <c r="C235" s="347" t="n">
        <v>55</v>
      </c>
      <c r="D235" s="347" t="n">
        <v>168</v>
      </c>
      <c r="E235" s="347" t="n">
        <v>157</v>
      </c>
      <c r="F235" s="347" t="n">
        <v>148</v>
      </c>
      <c r="G235" s="347" t="n">
        <v>125</v>
      </c>
      <c r="H235" s="347" t="n">
        <v>135</v>
      </c>
      <c r="I235" s="347" t="n">
        <v>141</v>
      </c>
      <c r="J235" s="347" t="n">
        <v>142</v>
      </c>
      <c r="K235" s="347" t="n">
        <v>141</v>
      </c>
      <c r="L235" s="347" t="n">
        <v>133</v>
      </c>
      <c r="M235" s="347" t="n">
        <v>127</v>
      </c>
      <c r="N235" s="347" t="n">
        <v>128</v>
      </c>
      <c r="O235" s="347" t="n">
        <v>60</v>
      </c>
      <c r="P235" s="347" t="n">
        <v>15</v>
      </c>
      <c r="Q235" s="347" t="n">
        <v>0</v>
      </c>
      <c r="R235" s="347" t="n">
        <v>0</v>
      </c>
      <c r="S235" s="347" t="n">
        <f aca="false">R235</f>
        <v>0</v>
      </c>
      <c r="T235" s="347" t="n">
        <f aca="false">S235</f>
        <v>0</v>
      </c>
      <c r="U235" s="347" t="n">
        <f aca="false">T235</f>
        <v>0</v>
      </c>
      <c r="V235" s="347" t="n">
        <f aca="false">U235</f>
        <v>0</v>
      </c>
      <c r="W235" s="347" t="n">
        <f aca="false">V235</f>
        <v>0</v>
      </c>
      <c r="X235" s="347" t="n">
        <f aca="false">W235</f>
        <v>0</v>
      </c>
      <c r="Y235" s="348" t="n">
        <v>0</v>
      </c>
    </row>
    <row r="236" customFormat="false" ht="12.75" hidden="false" customHeight="false" outlineLevel="0" collapsed="false">
      <c r="A236" s="333" t="s">
        <v>230</v>
      </c>
      <c r="B236" s="349" t="n">
        <f aca="false">(C235+B235)*(C234-B234)/2</f>
        <v>0.275</v>
      </c>
      <c r="C236" s="350" t="n">
        <f aca="false">(D235+C235)*(D234-C234)/2</f>
        <v>1.115</v>
      </c>
      <c r="D236" s="350" t="n">
        <f aca="false">(E235+D235)*(E234-D234)/2</f>
        <v>1.625</v>
      </c>
      <c r="E236" s="350" t="n">
        <f aca="false">(F235+E235)*(F234-E234)/2</f>
        <v>1.525</v>
      </c>
      <c r="F236" s="350" t="n">
        <f aca="false">(G235+F235)*(G234-F234)/2</f>
        <v>1.365</v>
      </c>
      <c r="G236" s="350" t="n">
        <f aca="false">(H235+G235)*(H234-G234)/2</f>
        <v>6.5</v>
      </c>
      <c r="H236" s="350" t="n">
        <f aca="false">(I235+H235)*(I234-H234)/2</f>
        <v>13.8</v>
      </c>
      <c r="I236" s="350" t="n">
        <f aca="false">(J235+I235)*(J234-I234)/2</f>
        <v>14.15</v>
      </c>
      <c r="J236" s="350" t="n">
        <f aca="false">(K235+J235)*(K234-J234)/2</f>
        <v>14.15</v>
      </c>
      <c r="K236" s="350" t="n">
        <f aca="false">(L235+K235)*(L234-K234)/2</f>
        <v>27.4</v>
      </c>
      <c r="L236" s="350" t="n">
        <f aca="false">(M235+L235)*(M234-L234)/2</f>
        <v>19.5</v>
      </c>
      <c r="M236" s="350" t="n">
        <f aca="false">(N235+M235)*(N234-M234)/2</f>
        <v>7.65000000000001</v>
      </c>
      <c r="N236" s="350" t="n">
        <f aca="false">(O235+N235)*(O234-N234)/2</f>
        <v>4.69999999999999</v>
      </c>
      <c r="O236" s="350" t="n">
        <f aca="false">(P235+O235)*(P234-O234)/2</f>
        <v>1.5</v>
      </c>
      <c r="P236" s="350" t="n">
        <f aca="false">(Q235+P235)*(Q234-P234)/2</f>
        <v>0.375</v>
      </c>
      <c r="Q236" s="350" t="n">
        <f aca="false">(R235+Q235)*(R234-Q234)/2</f>
        <v>0</v>
      </c>
      <c r="R236" s="350" t="n">
        <f aca="false">(S235+R235)*(S234-R234)/2</f>
        <v>0</v>
      </c>
      <c r="S236" s="350" t="n">
        <f aca="false">(T235+S235)*(T234-S234)/2</f>
        <v>0</v>
      </c>
      <c r="T236" s="350" t="n">
        <f aca="false">(U235+T235)*(U234-T234)/2</f>
        <v>0</v>
      </c>
      <c r="U236" s="350" t="n">
        <f aca="false">(V235+U235)*(V234-U234)/2</f>
        <v>0</v>
      </c>
      <c r="V236" s="350" t="n">
        <f aca="false">(W235+V235)*(W234-V234)/2</f>
        <v>0</v>
      </c>
      <c r="W236" s="350" t="n">
        <f aca="false">(X235+W235)*(X234-W234)/2</f>
        <v>0</v>
      </c>
      <c r="X236" s="350" t="n">
        <f aca="false">(Y235+X235)*(Y234-X234)/2</f>
        <v>0</v>
      </c>
      <c r="Y236" s="336"/>
    </row>
    <row r="237" customFormat="false" ht="12.75" hidden="false" customHeight="false" outlineLevel="0" collapsed="false">
      <c r="B237" s="337"/>
      <c r="C237" s="337"/>
      <c r="D237" s="337"/>
      <c r="E237" s="337"/>
      <c r="F237" s="337"/>
      <c r="G237" s="337"/>
      <c r="H237" s="337"/>
      <c r="I237" s="337"/>
      <c r="J237" s="337"/>
      <c r="K237" s="337"/>
      <c r="L237" s="337"/>
      <c r="M237" s="337"/>
      <c r="N237" s="337"/>
      <c r="O237" s="337"/>
      <c r="P237" s="337"/>
      <c r="Q237" s="337"/>
      <c r="R237" s="337"/>
      <c r="S237" s="337"/>
      <c r="T237" s="337"/>
      <c r="U237" s="337"/>
      <c r="V237" s="337"/>
      <c r="W237" s="337"/>
      <c r="X237" s="337"/>
      <c r="Y237" s="337"/>
    </row>
    <row r="238" customFormat="false" ht="13.5" hidden="false" customHeight="false" outlineLevel="0" collapsed="false">
      <c r="A238" s="338" t="s">
        <v>286</v>
      </c>
      <c r="B238" s="339" t="n">
        <f aca="false">ROW(A238)</f>
        <v>238</v>
      </c>
      <c r="C238" s="322" t="s">
        <v>213</v>
      </c>
      <c r="D238" s="323" t="n">
        <f aca="false">SUM(B241:Y241)</f>
        <v>158.048151</v>
      </c>
      <c r="E238" s="322" t="s">
        <v>214</v>
      </c>
      <c r="F238" s="324" t="n">
        <v>198</v>
      </c>
      <c r="G238" s="322" t="s">
        <v>215</v>
      </c>
      <c r="H238" s="340" t="n">
        <v>0.1945</v>
      </c>
      <c r="I238" s="322" t="s">
        <v>226</v>
      </c>
      <c r="J238" s="325" t="n">
        <f aca="false">H238-L238</f>
        <v>0.0896</v>
      </c>
      <c r="K238" s="322" t="s">
        <v>227</v>
      </c>
      <c r="L238" s="340" t="n">
        <v>0.1049</v>
      </c>
      <c r="M238" s="322" t="s">
        <v>218</v>
      </c>
      <c r="N238" s="341" t="n">
        <v>93</v>
      </c>
      <c r="O238" s="322" t="s">
        <v>219</v>
      </c>
      <c r="P238" s="341" t="n">
        <v>93</v>
      </c>
      <c r="Q238" s="322" t="s">
        <v>220</v>
      </c>
      <c r="R238" s="341" t="n">
        <v>187</v>
      </c>
      <c r="S238" s="322" t="s">
        <v>221</v>
      </c>
      <c r="T238" s="341" t="n">
        <v>29</v>
      </c>
      <c r="U238" s="322" t="s">
        <v>8</v>
      </c>
      <c r="V238" s="342" t="s">
        <v>257</v>
      </c>
      <c r="W238" s="328" t="s">
        <v>222</v>
      </c>
      <c r="X238" s="351" t="n">
        <v>1.27</v>
      </c>
      <c r="Y238" s="328" t="s">
        <v>223</v>
      </c>
      <c r="Z238" s="327" t="n">
        <v>14</v>
      </c>
    </row>
    <row r="239" customFormat="false" ht="12" hidden="false" customHeight="false" outlineLevel="0" collapsed="false">
      <c r="A239" s="320" t="s">
        <v>228</v>
      </c>
      <c r="B239" s="352" t="n">
        <v>0</v>
      </c>
      <c r="C239" s="352" t="n">
        <v>0.004</v>
      </c>
      <c r="D239" s="352" t="n">
        <v>0.022</v>
      </c>
      <c r="E239" s="352" t="n">
        <v>0.039</v>
      </c>
      <c r="F239" s="352" t="n">
        <v>0.122</v>
      </c>
      <c r="G239" s="352" t="n">
        <v>0.236</v>
      </c>
      <c r="H239" s="352" t="n">
        <v>0.589</v>
      </c>
      <c r="I239" s="352" t="n">
        <v>0.801</v>
      </c>
      <c r="J239" s="352" t="n">
        <v>1.068</v>
      </c>
      <c r="K239" s="352" t="n">
        <v>1.118</v>
      </c>
      <c r="L239" s="352" t="n">
        <v>1.145</v>
      </c>
      <c r="M239" s="352" t="n">
        <v>1.174</v>
      </c>
      <c r="N239" s="352" t="n">
        <v>1.211</v>
      </c>
      <c r="O239" s="352" t="n">
        <v>1.247</v>
      </c>
      <c r="P239" s="352" t="n">
        <v>1.299</v>
      </c>
      <c r="Q239" s="344" t="n">
        <v>2</v>
      </c>
      <c r="R239" s="344" t="n">
        <v>2</v>
      </c>
      <c r="S239" s="344" t="n">
        <f aca="false">R239</f>
        <v>2</v>
      </c>
      <c r="T239" s="344" t="n">
        <f aca="false">S239</f>
        <v>2</v>
      </c>
      <c r="U239" s="344" t="n">
        <f aca="false">T239</f>
        <v>2</v>
      </c>
      <c r="V239" s="344" t="n">
        <f aca="false">U239</f>
        <v>2</v>
      </c>
      <c r="W239" s="344" t="n">
        <f aca="false">V239</f>
        <v>2</v>
      </c>
      <c r="X239" s="344" t="n">
        <f aca="false">W239</f>
        <v>2</v>
      </c>
      <c r="Y239" s="332" t="n">
        <v>1000</v>
      </c>
    </row>
    <row r="240" customFormat="false" ht="12" hidden="false" customHeight="false" outlineLevel="0" collapsed="false">
      <c r="A240" s="345" t="s">
        <v>229</v>
      </c>
      <c r="B240" s="352" t="n">
        <v>0</v>
      </c>
      <c r="C240" s="352" t="n">
        <v>15.683</v>
      </c>
      <c r="D240" s="352" t="n">
        <v>170.834</v>
      </c>
      <c r="E240" s="352" t="n">
        <v>116.877</v>
      </c>
      <c r="F240" s="352" t="n">
        <v>142.642</v>
      </c>
      <c r="G240" s="352" t="n">
        <v>149.737</v>
      </c>
      <c r="H240" s="352" t="n">
        <v>142.642</v>
      </c>
      <c r="I240" s="352" t="n">
        <v>131.253</v>
      </c>
      <c r="J240" s="352" t="n">
        <v>122.104</v>
      </c>
      <c r="K240" s="352" t="n">
        <v>107.915</v>
      </c>
      <c r="L240" s="352" t="n">
        <v>78.416</v>
      </c>
      <c r="M240" s="352" t="n">
        <v>43.129</v>
      </c>
      <c r="N240" s="352" t="n">
        <v>21.471</v>
      </c>
      <c r="O240" s="352" t="n">
        <v>8.775</v>
      </c>
      <c r="P240" s="352" t="n">
        <v>0</v>
      </c>
      <c r="Q240" s="347" t="n">
        <v>0</v>
      </c>
      <c r="R240" s="347" t="n">
        <v>0</v>
      </c>
      <c r="S240" s="347" t="n">
        <f aca="false">R240</f>
        <v>0</v>
      </c>
      <c r="T240" s="347" t="n">
        <f aca="false">S240</f>
        <v>0</v>
      </c>
      <c r="U240" s="347" t="n">
        <f aca="false">T240</f>
        <v>0</v>
      </c>
      <c r="V240" s="347" t="n">
        <f aca="false">U240</f>
        <v>0</v>
      </c>
      <c r="W240" s="347" t="n">
        <f aca="false">V240</f>
        <v>0</v>
      </c>
      <c r="X240" s="347" t="n">
        <f aca="false">W240</f>
        <v>0</v>
      </c>
      <c r="Y240" s="348" t="n">
        <v>0</v>
      </c>
    </row>
    <row r="241" customFormat="false" ht="12.75" hidden="false" customHeight="false" outlineLevel="0" collapsed="false">
      <c r="A241" s="333" t="s">
        <v>230</v>
      </c>
      <c r="B241" s="349" t="n">
        <f aca="false">(C240+B240)*(C239-B239)/2</f>
        <v>0.031366</v>
      </c>
      <c r="C241" s="350" t="n">
        <f aca="false">(D240+C240)*(D239-C239)/2</f>
        <v>1.678653</v>
      </c>
      <c r="D241" s="350" t="n">
        <f aca="false">(E240+D240)*(E239-D239)/2</f>
        <v>2.4455435</v>
      </c>
      <c r="E241" s="350" t="n">
        <f aca="false">(F240+E240)*(F239-E239)/2</f>
        <v>10.7700385</v>
      </c>
      <c r="F241" s="350" t="n">
        <f aca="false">(G240+F240)*(G239-F239)/2</f>
        <v>16.665603</v>
      </c>
      <c r="G241" s="350" t="n">
        <f aca="false">(H240+G240)*(H239-G239)/2</f>
        <v>51.6048935</v>
      </c>
      <c r="H241" s="350" t="n">
        <f aca="false">(I240+H240)*(I239-H239)/2</f>
        <v>29.03287</v>
      </c>
      <c r="I241" s="350" t="n">
        <f aca="false">(J240+I240)*(J239-I239)/2</f>
        <v>33.8231595</v>
      </c>
      <c r="J241" s="350" t="n">
        <f aca="false">(K240+J240)*(K239-J239)/2</f>
        <v>5.75047500000001</v>
      </c>
      <c r="K241" s="350" t="n">
        <f aca="false">(L240+K240)*(L239-K239)/2</f>
        <v>2.51546849999999</v>
      </c>
      <c r="L241" s="350" t="n">
        <f aca="false">(M240+L240)*(M239-L239)/2</f>
        <v>1.76240249999999</v>
      </c>
      <c r="M241" s="350" t="n">
        <f aca="false">(N240+M240)*(N239-M239)/2</f>
        <v>1.1951</v>
      </c>
      <c r="N241" s="350" t="n">
        <f aca="false">(O240+N240)*(O239-N239)/2</f>
        <v>0.544428000000001</v>
      </c>
      <c r="O241" s="350" t="n">
        <f aca="false">(P240+O240)*(P239-O239)/2</f>
        <v>0.228149999999999</v>
      </c>
      <c r="P241" s="350" t="n">
        <f aca="false">(Q240+P240)*(Q239-P239)/2</f>
        <v>0</v>
      </c>
      <c r="Q241" s="350" t="n">
        <f aca="false">(R240+Q240)*(R239-Q239)/2</f>
        <v>0</v>
      </c>
      <c r="R241" s="350" t="n">
        <f aca="false">(S240+R240)*(S239-R239)/2</f>
        <v>0</v>
      </c>
      <c r="S241" s="350" t="n">
        <f aca="false">(T240+S240)*(T239-S239)/2</f>
        <v>0</v>
      </c>
      <c r="T241" s="350" t="n">
        <f aca="false">(U240+T240)*(U239-T239)/2</f>
        <v>0</v>
      </c>
      <c r="U241" s="350" t="n">
        <f aca="false">(V240+U240)*(V239-U239)/2</f>
        <v>0</v>
      </c>
      <c r="V241" s="350" t="n">
        <f aca="false">(W240+V240)*(W239-V239)/2</f>
        <v>0</v>
      </c>
      <c r="W241" s="350" t="n">
        <f aca="false">(X240+W240)*(X239-W239)/2</f>
        <v>0</v>
      </c>
      <c r="X241" s="350" t="n">
        <f aca="false">(Y240+X240)*(Y239-X239)/2</f>
        <v>0</v>
      </c>
      <c r="Y241" s="336"/>
    </row>
    <row r="242" customFormat="false" ht="13.5" hidden="false" customHeight="false" outlineLevel="0" collapsed="false">
      <c r="A242" s="171" t="s">
        <v>287</v>
      </c>
      <c r="B242" s="337"/>
      <c r="C242" s="337"/>
      <c r="D242" s="337"/>
      <c r="E242" s="337"/>
      <c r="F242" s="337"/>
      <c r="G242" s="337"/>
      <c r="H242" s="337"/>
      <c r="I242" s="337"/>
      <c r="J242" s="337"/>
      <c r="K242" s="337"/>
      <c r="L242" s="337"/>
      <c r="M242" s="337"/>
      <c r="N242" s="337"/>
      <c r="O242" s="337"/>
      <c r="P242" s="337"/>
      <c r="Q242" s="337"/>
      <c r="R242" s="337"/>
      <c r="S242" s="337"/>
      <c r="T242" s="337"/>
      <c r="U242" s="337"/>
      <c r="V242" s="337"/>
      <c r="W242" s="337"/>
      <c r="X242" s="337"/>
      <c r="Y242" s="337"/>
    </row>
    <row r="243" customFormat="false" ht="13.5" hidden="false" customHeight="false" outlineLevel="0" collapsed="false">
      <c r="A243" s="338" t="s">
        <v>288</v>
      </c>
      <c r="B243" s="339" t="n">
        <f aca="false">ROW(A243)</f>
        <v>243</v>
      </c>
      <c r="C243" s="322" t="s">
        <v>213</v>
      </c>
      <c r="D243" s="323" t="n">
        <f aca="false">SUM(B246:Y246)</f>
        <v>136.75235</v>
      </c>
      <c r="E243" s="322" t="s">
        <v>214</v>
      </c>
      <c r="F243" s="324" t="n">
        <f aca="false">D243/g/J243</f>
        <v>152.350785136166</v>
      </c>
      <c r="G243" s="322" t="s">
        <v>215</v>
      </c>
      <c r="H243" s="340" t="n">
        <v>0.2125</v>
      </c>
      <c r="I243" s="322" t="s">
        <v>226</v>
      </c>
      <c r="J243" s="325" t="n">
        <f aca="false">H243-L243</f>
        <v>0.0915</v>
      </c>
      <c r="K243" s="322" t="s">
        <v>227</v>
      </c>
      <c r="L243" s="340" t="n">
        <v>0.121</v>
      </c>
      <c r="M243" s="322" t="s">
        <v>218</v>
      </c>
      <c r="N243" s="341" t="n">
        <v>63</v>
      </c>
      <c r="O243" s="322" t="s">
        <v>219</v>
      </c>
      <c r="P243" s="341" t="n">
        <v>114</v>
      </c>
      <c r="Q243" s="322" t="s">
        <v>220</v>
      </c>
      <c r="R243" s="341" t="n">
        <v>127</v>
      </c>
      <c r="S243" s="322" t="s">
        <v>221</v>
      </c>
      <c r="T243" s="341" t="n">
        <v>38</v>
      </c>
      <c r="U243" s="322" t="s">
        <v>8</v>
      </c>
      <c r="V243" s="342" t="s">
        <v>257</v>
      </c>
      <c r="W243" s="328" t="s">
        <v>222</v>
      </c>
      <c r="X243" s="351" t="n">
        <v>2.36</v>
      </c>
      <c r="Y243" s="328" t="s">
        <v>223</v>
      </c>
      <c r="Z243" s="327" t="n">
        <v>13</v>
      </c>
    </row>
    <row r="244" customFormat="false" ht="12" hidden="false" customHeight="false" outlineLevel="0" collapsed="false">
      <c r="A244" s="320" t="s">
        <v>228</v>
      </c>
      <c r="B244" s="343" t="n">
        <v>0</v>
      </c>
      <c r="C244" s="344" t="n">
        <v>0.029</v>
      </c>
      <c r="D244" s="344" t="n">
        <v>0.046</v>
      </c>
      <c r="E244" s="344" t="n">
        <v>0.058</v>
      </c>
      <c r="F244" s="344" t="n">
        <v>0.084</v>
      </c>
      <c r="G244" s="344" t="n">
        <v>0.171</v>
      </c>
      <c r="H244" s="344" t="n">
        <v>0.28</v>
      </c>
      <c r="I244" s="344" t="n">
        <v>0.455</v>
      </c>
      <c r="J244" s="344" t="n">
        <v>0.586</v>
      </c>
      <c r="K244" s="344" t="n">
        <v>0.741</v>
      </c>
      <c r="L244" s="344" t="n">
        <v>0.952</v>
      </c>
      <c r="M244" s="344" t="n">
        <v>1.217</v>
      </c>
      <c r="N244" s="344" t="n">
        <v>1.43</v>
      </c>
      <c r="O244" s="344" t="n">
        <v>1.626</v>
      </c>
      <c r="P244" s="344" t="n">
        <v>1.807</v>
      </c>
      <c r="Q244" s="344" t="n">
        <v>1.959</v>
      </c>
      <c r="R244" s="344" t="n">
        <v>2.104</v>
      </c>
      <c r="S244" s="344" t="n">
        <v>2.168</v>
      </c>
      <c r="T244" s="344" t="n">
        <v>2.21</v>
      </c>
      <c r="U244" s="344" t="n">
        <v>2.247</v>
      </c>
      <c r="V244" s="344" t="n">
        <v>2.329</v>
      </c>
      <c r="W244" s="344" t="n">
        <f aca="false">2.4</f>
        <v>2.4</v>
      </c>
      <c r="X244" s="344" t="n">
        <f aca="false">W244</f>
        <v>2.4</v>
      </c>
      <c r="Y244" s="332" t="n">
        <v>1000</v>
      </c>
    </row>
    <row r="245" customFormat="false" ht="12" hidden="false" customHeight="false" outlineLevel="0" collapsed="false">
      <c r="A245" s="345" t="s">
        <v>229</v>
      </c>
      <c r="B245" s="346" t="n">
        <v>0</v>
      </c>
      <c r="C245" s="347" t="n">
        <v>90.25</v>
      </c>
      <c r="D245" s="347" t="n">
        <v>69.17</v>
      </c>
      <c r="E245" s="347" t="n">
        <v>59.947</v>
      </c>
      <c r="F245" s="347" t="n">
        <v>47.167</v>
      </c>
      <c r="G245" s="347" t="n">
        <v>57.971</v>
      </c>
      <c r="H245" s="347" t="n">
        <v>59.552</v>
      </c>
      <c r="I245" s="347" t="n">
        <v>61.265</v>
      </c>
      <c r="J245" s="347" t="n">
        <v>61.66</v>
      </c>
      <c r="K245" s="347" t="n">
        <v>62.319</v>
      </c>
      <c r="L245" s="347" t="n">
        <v>63.768</v>
      </c>
      <c r="M245" s="347" t="n">
        <v>64.69</v>
      </c>
      <c r="N245" s="347" t="n">
        <v>63.768</v>
      </c>
      <c r="O245" s="347" t="n">
        <v>61.265</v>
      </c>
      <c r="P245" s="347" t="n">
        <v>58.103</v>
      </c>
      <c r="Q245" s="347" t="n">
        <v>53.887</v>
      </c>
      <c r="R245" s="347" t="n">
        <v>48.353</v>
      </c>
      <c r="S245" s="347" t="n">
        <v>47.563</v>
      </c>
      <c r="T245" s="347" t="n">
        <v>44.005</v>
      </c>
      <c r="U245" s="347" t="n">
        <v>37.286</v>
      </c>
      <c r="V245" s="347" t="n">
        <v>22.266</v>
      </c>
      <c r="W245" s="347" t="n">
        <v>0</v>
      </c>
      <c r="X245" s="347" t="n">
        <f aca="false">W245</f>
        <v>0</v>
      </c>
      <c r="Y245" s="348" t="n">
        <v>0</v>
      </c>
    </row>
    <row r="246" customFormat="false" ht="12.75" hidden="false" customHeight="false" outlineLevel="0" collapsed="false">
      <c r="A246" s="333" t="s">
        <v>230</v>
      </c>
      <c r="B246" s="349" t="n">
        <f aca="false">(C245+B245)*(C244-B244)/2</f>
        <v>1.308625</v>
      </c>
      <c r="C246" s="350" t="n">
        <f aca="false">(D245+C245)*(D244-C244)/2</f>
        <v>1.35507</v>
      </c>
      <c r="D246" s="350" t="n">
        <f aca="false">(E245+D245)*(E244-D244)/2</f>
        <v>0.774702</v>
      </c>
      <c r="E246" s="350" t="n">
        <f aca="false">(F245+E245)*(F244-E244)/2</f>
        <v>1.392482</v>
      </c>
      <c r="F246" s="350" t="n">
        <f aca="false">(G245+F245)*(G244-F244)/2</f>
        <v>4.573503</v>
      </c>
      <c r="G246" s="350" t="n">
        <f aca="false">(H245+G245)*(H244-G244)/2</f>
        <v>6.4050035</v>
      </c>
      <c r="H246" s="350" t="n">
        <f aca="false">(I245+H245)*(I244-H244)/2</f>
        <v>10.5714875</v>
      </c>
      <c r="I246" s="350" t="n">
        <f aca="false">(J245+I245)*(J244-I244)/2</f>
        <v>8.0515875</v>
      </c>
      <c r="J246" s="350" t="n">
        <f aca="false">(K245+J245)*(K244-J244)/2</f>
        <v>9.6083725</v>
      </c>
      <c r="K246" s="350" t="n">
        <f aca="false">(L245+K245)*(L244-K244)/2</f>
        <v>13.3021785</v>
      </c>
      <c r="L246" s="350" t="n">
        <f aca="false">(M245+L245)*(M244-L244)/2</f>
        <v>17.020685</v>
      </c>
      <c r="M246" s="350" t="n">
        <f aca="false">(N245+M245)*(N244-M244)/2</f>
        <v>13.680777</v>
      </c>
      <c r="N246" s="350" t="n">
        <f aca="false">(O245+N245)*(O244-N244)/2</f>
        <v>12.253234</v>
      </c>
      <c r="O246" s="350" t="n">
        <f aca="false">(P245+O245)*(P244-O244)/2</f>
        <v>10.802804</v>
      </c>
      <c r="P246" s="350" t="n">
        <f aca="false">(Q245+P245)*(Q244-P244)/2</f>
        <v>8.51124000000001</v>
      </c>
      <c r="Q246" s="350" t="n">
        <f aca="false">(R245+Q245)*(R244-Q244)/2</f>
        <v>7.4124</v>
      </c>
      <c r="R246" s="350" t="n">
        <f aca="false">(S245+R245)*(S244-R244)/2</f>
        <v>3.069312</v>
      </c>
      <c r="S246" s="350" t="n">
        <f aca="false">(T245+S245)*(T244-S244)/2</f>
        <v>1.92292799999999</v>
      </c>
      <c r="T246" s="350" t="n">
        <f aca="false">(U245+T245)*(U244-T244)/2</f>
        <v>1.5038835</v>
      </c>
      <c r="U246" s="350" t="n">
        <f aca="false">(V245+U245)*(V244-U244)/2</f>
        <v>2.44163200000001</v>
      </c>
      <c r="V246" s="350" t="n">
        <f aca="false">(W245+V245)*(W244-V244)/2</f>
        <v>0.790442999999997</v>
      </c>
      <c r="W246" s="350" t="n">
        <f aca="false">(X245+W245)*(X244-W244)/2</f>
        <v>0</v>
      </c>
      <c r="X246" s="350" t="n">
        <f aca="false">(Y245+X245)*(Y244-X244)/2</f>
        <v>0</v>
      </c>
      <c r="Y246" s="336"/>
    </row>
    <row r="247" customFormat="false" ht="12.75" hidden="false" customHeight="false" outlineLevel="0" collapsed="false">
      <c r="B247" s="337"/>
      <c r="C247" s="337"/>
      <c r="D247" s="337"/>
      <c r="E247" s="337"/>
      <c r="F247" s="337"/>
      <c r="G247" s="337"/>
      <c r="H247" s="337"/>
      <c r="I247" s="337"/>
      <c r="J247" s="337"/>
      <c r="K247" s="337"/>
      <c r="L247" s="337"/>
      <c r="M247" s="337"/>
      <c r="N247" s="337"/>
      <c r="O247" s="337"/>
      <c r="P247" s="337"/>
      <c r="Q247" s="337"/>
      <c r="R247" s="337"/>
      <c r="S247" s="337"/>
      <c r="T247" s="337"/>
      <c r="U247" s="337"/>
      <c r="V247" s="337"/>
      <c r="W247" s="337"/>
      <c r="X247" s="337"/>
      <c r="Y247" s="337"/>
    </row>
    <row r="248" customFormat="false" ht="13.5" hidden="false" customHeight="false" outlineLevel="0" collapsed="false">
      <c r="A248" s="338" t="s">
        <v>289</v>
      </c>
      <c r="B248" s="339" t="n">
        <f aca="false">ROW(A248)</f>
        <v>248</v>
      </c>
      <c r="C248" s="322" t="s">
        <v>213</v>
      </c>
      <c r="D248" s="323" t="n">
        <f aca="false">SUM(B251:Y251)</f>
        <v>127.06945</v>
      </c>
      <c r="E248" s="322" t="s">
        <v>214</v>
      </c>
      <c r="F248" s="324" t="n">
        <f aca="false">D248/g/J248</f>
        <v>180.656248356145</v>
      </c>
      <c r="G248" s="322" t="s">
        <v>215</v>
      </c>
      <c r="H248" s="340" t="n">
        <v>0.1884</v>
      </c>
      <c r="I248" s="322" t="s">
        <v>226</v>
      </c>
      <c r="J248" s="325" t="n">
        <f aca="false">H248-L248</f>
        <v>0.0717</v>
      </c>
      <c r="K248" s="322" t="s">
        <v>227</v>
      </c>
      <c r="L248" s="340" t="n">
        <v>0.1167</v>
      </c>
      <c r="M248" s="322" t="s">
        <v>218</v>
      </c>
      <c r="N248" s="341" t="n">
        <v>63</v>
      </c>
      <c r="O248" s="322" t="s">
        <v>219</v>
      </c>
      <c r="P248" s="341" t="n">
        <v>114</v>
      </c>
      <c r="Q248" s="322" t="s">
        <v>220</v>
      </c>
      <c r="R248" s="341" t="n">
        <v>127</v>
      </c>
      <c r="S248" s="322" t="s">
        <v>221</v>
      </c>
      <c r="T248" s="341" t="n">
        <v>38</v>
      </c>
      <c r="U248" s="322" t="s">
        <v>8</v>
      </c>
      <c r="V248" s="342" t="s">
        <v>257</v>
      </c>
      <c r="W248" s="328" t="s">
        <v>222</v>
      </c>
      <c r="X248" s="351" t="n">
        <v>0.69</v>
      </c>
      <c r="Y248" s="328" t="s">
        <v>223</v>
      </c>
      <c r="Z248" s="327" t="n">
        <v>12</v>
      </c>
    </row>
    <row r="249" customFormat="false" ht="12" hidden="false" customHeight="false" outlineLevel="0" collapsed="false">
      <c r="A249" s="320" t="s">
        <v>228</v>
      </c>
      <c r="B249" s="343" t="n">
        <v>0</v>
      </c>
      <c r="C249" s="344" t="n">
        <v>0.01</v>
      </c>
      <c r="D249" s="344" t="n">
        <v>0.02</v>
      </c>
      <c r="E249" s="344" t="n">
        <v>0.05</v>
      </c>
      <c r="F249" s="344" t="n">
        <v>0.1</v>
      </c>
      <c r="G249" s="344" t="n">
        <v>0.2</v>
      </c>
      <c r="H249" s="344" t="n">
        <v>0.3</v>
      </c>
      <c r="I249" s="344" t="n">
        <v>0.35</v>
      </c>
      <c r="J249" s="344" t="n">
        <v>0.4</v>
      </c>
      <c r="K249" s="344" t="n">
        <v>0.45</v>
      </c>
      <c r="L249" s="344" t="n">
        <v>0.5</v>
      </c>
      <c r="M249" s="344" t="n">
        <v>0.55</v>
      </c>
      <c r="N249" s="344" t="n">
        <v>0.6</v>
      </c>
      <c r="O249" s="344" t="n">
        <v>0.61</v>
      </c>
      <c r="P249" s="344" t="n">
        <v>0.63</v>
      </c>
      <c r="Q249" s="344" t="n">
        <v>0.64</v>
      </c>
      <c r="R249" s="344" t="n">
        <v>0.65</v>
      </c>
      <c r="S249" s="344" t="n">
        <v>0.67</v>
      </c>
      <c r="T249" s="344" t="n">
        <v>0.68</v>
      </c>
      <c r="U249" s="344" t="n">
        <v>0.69</v>
      </c>
      <c r="V249" s="344" t="n">
        <f aca="false">U249</f>
        <v>0.69</v>
      </c>
      <c r="W249" s="344" t="n">
        <f aca="false">V249</f>
        <v>0.69</v>
      </c>
      <c r="X249" s="344" t="n">
        <v>2</v>
      </c>
      <c r="Y249" s="332" t="n">
        <v>1000</v>
      </c>
    </row>
    <row r="250" customFormat="false" ht="12" hidden="false" customHeight="false" outlineLevel="0" collapsed="false">
      <c r="A250" s="345" t="s">
        <v>229</v>
      </c>
      <c r="B250" s="346" t="n">
        <v>0</v>
      </c>
      <c r="C250" s="347" t="n">
        <v>108.72</v>
      </c>
      <c r="D250" s="347" t="n">
        <v>131.19</v>
      </c>
      <c r="E250" s="347" t="n">
        <v>153.14</v>
      </c>
      <c r="F250" s="347" t="n">
        <v>168.97</v>
      </c>
      <c r="G250" s="347" t="n">
        <v>189.92</v>
      </c>
      <c r="H250" s="347" t="n">
        <v>199.95</v>
      </c>
      <c r="I250" s="347" t="n">
        <v>203.59</v>
      </c>
      <c r="J250" s="347" t="n">
        <v>205.03</v>
      </c>
      <c r="K250" s="347" t="n">
        <v>202.6</v>
      </c>
      <c r="L250" s="347" t="n">
        <v>203.06</v>
      </c>
      <c r="M250" s="347" t="n">
        <v>199.34</v>
      </c>
      <c r="N250" s="347" t="n">
        <v>194.71</v>
      </c>
      <c r="O250" s="347" t="n">
        <v>194.1</v>
      </c>
      <c r="P250" s="347" t="n">
        <v>193.49</v>
      </c>
      <c r="Q250" s="347" t="n">
        <v>193.68</v>
      </c>
      <c r="R250" s="347" t="n">
        <v>202.91</v>
      </c>
      <c r="S250" s="347" t="n">
        <v>163.39</v>
      </c>
      <c r="T250" s="347" t="n">
        <v>80.44</v>
      </c>
      <c r="U250" s="347" t="n">
        <v>0</v>
      </c>
      <c r="V250" s="347" t="n">
        <f aca="false">U250</f>
        <v>0</v>
      </c>
      <c r="W250" s="347" t="n">
        <f aca="false">V250</f>
        <v>0</v>
      </c>
      <c r="X250" s="347" t="n">
        <f aca="false">W250</f>
        <v>0</v>
      </c>
      <c r="Y250" s="348" t="n">
        <v>0</v>
      </c>
    </row>
    <row r="251" customFormat="false" ht="12.75" hidden="false" customHeight="false" outlineLevel="0" collapsed="false">
      <c r="A251" s="333" t="s">
        <v>230</v>
      </c>
      <c r="B251" s="349" t="n">
        <f aca="false">(C250+B250)*(C249-B249)/2</f>
        <v>0.5436</v>
      </c>
      <c r="C251" s="350" t="n">
        <f aca="false">(D250+C250)*(D249-C249)/2</f>
        <v>1.19955</v>
      </c>
      <c r="D251" s="350" t="n">
        <f aca="false">(E250+D250)*(E249-D249)/2</f>
        <v>4.26495</v>
      </c>
      <c r="E251" s="350" t="n">
        <f aca="false">(F250+E250)*(F249-E249)/2</f>
        <v>8.05275</v>
      </c>
      <c r="F251" s="350" t="n">
        <f aca="false">(G250+F250)*(G249-F249)/2</f>
        <v>17.9445</v>
      </c>
      <c r="G251" s="350" t="n">
        <f aca="false">(H250+G250)*(H249-G249)/2</f>
        <v>19.4935</v>
      </c>
      <c r="H251" s="350" t="n">
        <f aca="false">(I250+H250)*(I249-H249)/2</f>
        <v>10.0885</v>
      </c>
      <c r="I251" s="350" t="n">
        <f aca="false">(J250+I250)*(J249-I249)/2</f>
        <v>10.2155</v>
      </c>
      <c r="J251" s="350" t="n">
        <f aca="false">(K250+J250)*(K249-J249)/2</f>
        <v>10.19075</v>
      </c>
      <c r="K251" s="350" t="n">
        <f aca="false">(L250+K250)*(L249-K249)/2</f>
        <v>10.1415</v>
      </c>
      <c r="L251" s="350" t="n">
        <f aca="false">(M250+L250)*(M249-L249)/2</f>
        <v>10.06</v>
      </c>
      <c r="M251" s="350" t="n">
        <f aca="false">(N250+M250)*(N249-M249)/2</f>
        <v>9.85124999999999</v>
      </c>
      <c r="N251" s="350" t="n">
        <f aca="false">(O250+N250)*(O249-N249)/2</f>
        <v>1.94405</v>
      </c>
      <c r="O251" s="350" t="n">
        <f aca="false">(P250+O250)*(P249-O249)/2</f>
        <v>3.8759</v>
      </c>
      <c r="P251" s="350" t="n">
        <f aca="false">(Q250+P250)*(Q249-P249)/2</f>
        <v>1.93585</v>
      </c>
      <c r="Q251" s="350" t="n">
        <f aca="false">(R250+Q250)*(R249-Q249)/2</f>
        <v>1.98295</v>
      </c>
      <c r="R251" s="350" t="n">
        <f aca="false">(S250+R250)*(S249-R249)/2</f>
        <v>3.663</v>
      </c>
      <c r="S251" s="350" t="n">
        <f aca="false">(T250+S250)*(T249-S249)/2</f>
        <v>1.21915</v>
      </c>
      <c r="T251" s="350" t="n">
        <f aca="false">(U250+T250)*(U249-T249)/2</f>
        <v>0.402199999999996</v>
      </c>
      <c r="U251" s="350" t="n">
        <f aca="false">(V250+U250)*(V249-U249)/2</f>
        <v>0</v>
      </c>
      <c r="V251" s="350" t="n">
        <f aca="false">(W250+V250)*(W249-V249)/2</f>
        <v>0</v>
      </c>
      <c r="W251" s="350" t="n">
        <f aca="false">(X250+W250)*(X249-W249)/2</f>
        <v>0</v>
      </c>
      <c r="X251" s="350" t="n">
        <f aca="false">(Y250+X250)*(Y249-X249)/2</f>
        <v>0</v>
      </c>
      <c r="Y251" s="336"/>
    </row>
    <row r="252" customFormat="false" ht="12.75" hidden="false" customHeight="false" outlineLevel="0" collapsed="false">
      <c r="B252" s="337"/>
      <c r="C252" s="337"/>
      <c r="D252" s="337"/>
      <c r="E252" s="337"/>
      <c r="F252" s="337"/>
      <c r="G252" s="337"/>
      <c r="H252" s="337"/>
      <c r="I252" s="337"/>
      <c r="J252" s="337"/>
      <c r="K252" s="337"/>
      <c r="L252" s="337"/>
      <c r="M252" s="337"/>
      <c r="N252" s="337"/>
      <c r="O252" s="337"/>
      <c r="P252" s="337"/>
      <c r="Q252" s="337"/>
      <c r="R252" s="337"/>
      <c r="S252" s="337"/>
      <c r="T252" s="337"/>
      <c r="U252" s="337"/>
      <c r="V252" s="337"/>
      <c r="W252" s="337"/>
      <c r="X252" s="337"/>
      <c r="Y252" s="337"/>
    </row>
    <row r="253" customFormat="false" ht="13.5" hidden="false" customHeight="false" outlineLevel="0" collapsed="false">
      <c r="A253" s="338" t="s">
        <v>290</v>
      </c>
      <c r="B253" s="339" t="n">
        <f aca="false">ROW(A253)</f>
        <v>253</v>
      </c>
      <c r="C253" s="322" t="s">
        <v>213</v>
      </c>
      <c r="D253" s="323" t="n">
        <f aca="false">SUM(B256:Y256)</f>
        <v>142.7236025</v>
      </c>
      <c r="E253" s="322" t="s">
        <v>214</v>
      </c>
      <c r="F253" s="324" t="n">
        <v>208</v>
      </c>
      <c r="G253" s="322" t="s">
        <v>215</v>
      </c>
      <c r="H253" s="340" t="n">
        <v>0.197</v>
      </c>
      <c r="I253" s="322" t="s">
        <v>226</v>
      </c>
      <c r="J253" s="325" t="n">
        <f aca="false">H253-L253</f>
        <v>0.07</v>
      </c>
      <c r="K253" s="322" t="s">
        <v>227</v>
      </c>
      <c r="L253" s="340" t="n">
        <v>0.127</v>
      </c>
      <c r="M253" s="322" t="s">
        <v>218</v>
      </c>
      <c r="N253" s="341" t="n">
        <v>63</v>
      </c>
      <c r="O253" s="322" t="s">
        <v>219</v>
      </c>
      <c r="P253" s="341" t="n">
        <v>114</v>
      </c>
      <c r="Q253" s="322" t="s">
        <v>220</v>
      </c>
      <c r="R253" s="341" t="n">
        <v>127</v>
      </c>
      <c r="S253" s="322" t="s">
        <v>221</v>
      </c>
      <c r="T253" s="341" t="n">
        <v>38</v>
      </c>
      <c r="U253" s="322" t="s">
        <v>8</v>
      </c>
      <c r="V253" s="342" t="s">
        <v>257</v>
      </c>
      <c r="W253" s="328" t="s">
        <v>222</v>
      </c>
      <c r="X253" s="351" t="n">
        <v>1.8</v>
      </c>
      <c r="Y253" s="328" t="s">
        <v>223</v>
      </c>
      <c r="Z253" s="327" t="n">
        <v>15</v>
      </c>
    </row>
    <row r="254" customFormat="false" ht="12" hidden="false" customHeight="false" outlineLevel="0" collapsed="false">
      <c r="A254" s="320" t="s">
        <v>228</v>
      </c>
      <c r="B254" s="343" t="n">
        <v>0</v>
      </c>
      <c r="C254" s="343" t="n">
        <v>0.006</v>
      </c>
      <c r="D254" s="344" t="n">
        <v>0.018</v>
      </c>
      <c r="E254" s="344" t="n">
        <v>0.036</v>
      </c>
      <c r="F254" s="344" t="n">
        <v>0.047</v>
      </c>
      <c r="G254" s="344" t="n">
        <v>0.084</v>
      </c>
      <c r="H254" s="344" t="n">
        <v>0.135</v>
      </c>
      <c r="I254" s="344" t="n">
        <v>0.238</v>
      </c>
      <c r="J254" s="344" t="n">
        <v>0.438</v>
      </c>
      <c r="K254" s="344" t="n">
        <v>0.63</v>
      </c>
      <c r="L254" s="344" t="n">
        <v>0.859</v>
      </c>
      <c r="M254" s="344" t="n">
        <v>1.283</v>
      </c>
      <c r="N254" s="344" t="n">
        <v>1.447</v>
      </c>
      <c r="O254" s="344" t="n">
        <v>1.643</v>
      </c>
      <c r="P254" s="344" t="n">
        <v>1.713</v>
      </c>
      <c r="Q254" s="344" t="n">
        <v>1.743</v>
      </c>
      <c r="R254" s="344" t="n">
        <v>1.79</v>
      </c>
      <c r="S254" s="344" t="n">
        <v>1.818</v>
      </c>
      <c r="T254" s="344" t="n">
        <v>1.852</v>
      </c>
      <c r="U254" s="344" t="n">
        <v>2</v>
      </c>
      <c r="V254" s="344" t="n">
        <f aca="false">U254</f>
        <v>2</v>
      </c>
      <c r="W254" s="344" t="n">
        <f aca="false">V254</f>
        <v>2</v>
      </c>
      <c r="X254" s="344" t="n">
        <f aca="false">W254</f>
        <v>2</v>
      </c>
      <c r="Y254" s="332" t="n">
        <v>1000</v>
      </c>
    </row>
    <row r="255" customFormat="false" ht="12" hidden="false" customHeight="false" outlineLevel="0" collapsed="false">
      <c r="A255" s="345" t="s">
        <v>229</v>
      </c>
      <c r="B255" s="346" t="n">
        <v>0</v>
      </c>
      <c r="C255" s="346" t="n">
        <v>104.068</v>
      </c>
      <c r="D255" s="347" t="n">
        <v>137.928</v>
      </c>
      <c r="E255" s="347" t="n">
        <v>70.707</v>
      </c>
      <c r="F255" s="347" t="n">
        <v>62.242</v>
      </c>
      <c r="G255" s="347" t="n">
        <v>73.694</v>
      </c>
      <c r="H255" s="347" t="n">
        <v>78.176</v>
      </c>
      <c r="I255" s="347" t="n">
        <v>84.151</v>
      </c>
      <c r="J255" s="347" t="n">
        <v>89.628</v>
      </c>
      <c r="K255" s="347" t="n">
        <v>88.135</v>
      </c>
      <c r="L255" s="347" t="n">
        <v>87.139</v>
      </c>
      <c r="M255" s="347" t="n">
        <v>77.18</v>
      </c>
      <c r="N255" s="347" t="n">
        <v>70.707</v>
      </c>
      <c r="O255" s="347" t="n">
        <v>67.719</v>
      </c>
      <c r="P255" s="347" t="n">
        <v>64.234</v>
      </c>
      <c r="Q255" s="347" t="n">
        <v>54.275</v>
      </c>
      <c r="R255" s="347" t="n">
        <v>18.424</v>
      </c>
      <c r="S255" s="347" t="n">
        <v>6.473</v>
      </c>
      <c r="T255" s="347" t="n">
        <v>0</v>
      </c>
      <c r="U255" s="347" t="n">
        <v>0</v>
      </c>
      <c r="V255" s="347" t="n">
        <f aca="false">U255</f>
        <v>0</v>
      </c>
      <c r="W255" s="347" t="n">
        <f aca="false">V255</f>
        <v>0</v>
      </c>
      <c r="X255" s="347" t="n">
        <f aca="false">W255</f>
        <v>0</v>
      </c>
      <c r="Y255" s="348" t="n">
        <v>0</v>
      </c>
    </row>
    <row r="256" customFormat="false" ht="12.75" hidden="false" customHeight="false" outlineLevel="0" collapsed="false">
      <c r="A256" s="333" t="s">
        <v>230</v>
      </c>
      <c r="B256" s="349" t="n">
        <f aca="false">(C255+B255)*(C254-B254)/2</f>
        <v>0.312204</v>
      </c>
      <c r="C256" s="350" t="n">
        <f aca="false">(D255+C255)*(D254-C254)/2</f>
        <v>1.451976</v>
      </c>
      <c r="D256" s="350" t="n">
        <f aca="false">(E255+D255)*(E254-D254)/2</f>
        <v>1.877715</v>
      </c>
      <c r="E256" s="350" t="n">
        <f aca="false">(F255+E255)*(F254-E254)/2</f>
        <v>0.7312195</v>
      </c>
      <c r="F256" s="350" t="n">
        <f aca="false">(G255+F255)*(G254-F254)/2</f>
        <v>2.514816</v>
      </c>
      <c r="G256" s="350" t="n">
        <f aca="false">(H255+G255)*(H254-G254)/2</f>
        <v>3.872685</v>
      </c>
      <c r="H256" s="350" t="n">
        <f aca="false">(I255+H255)*(I254-H254)/2</f>
        <v>8.3598405</v>
      </c>
      <c r="I256" s="350" t="n">
        <f aca="false">(J255+I255)*(J254-I254)/2</f>
        <v>17.3779</v>
      </c>
      <c r="J256" s="350" t="n">
        <f aca="false">(K255+J255)*(K254-J254)/2</f>
        <v>17.065248</v>
      </c>
      <c r="K256" s="350" t="n">
        <f aca="false">(L255+K255)*(L254-K254)/2</f>
        <v>20.068873</v>
      </c>
      <c r="L256" s="350" t="n">
        <f aca="false">(M255+L255)*(M254-L254)/2</f>
        <v>34.835628</v>
      </c>
      <c r="M256" s="350" t="n">
        <f aca="false">(N255+M255)*(N254-M254)/2</f>
        <v>12.126734</v>
      </c>
      <c r="N256" s="350" t="n">
        <f aca="false">(O255+N255)*(O254-N254)/2</f>
        <v>13.565748</v>
      </c>
      <c r="O256" s="350" t="n">
        <f aca="false">(P255+O255)*(P254-O254)/2</f>
        <v>4.618355</v>
      </c>
      <c r="P256" s="350" t="n">
        <f aca="false">(Q255+P255)*(Q254-P254)/2</f>
        <v>1.777635</v>
      </c>
      <c r="Q256" s="350" t="n">
        <f aca="false">(R255+Q255)*(R254-Q254)/2</f>
        <v>1.7084265</v>
      </c>
      <c r="R256" s="350" t="n">
        <f aca="false">(S255+R255)*(S254-R254)/2</f>
        <v>0.348558</v>
      </c>
      <c r="S256" s="350" t="n">
        <f aca="false">(T255+S255)*(T254-S254)/2</f>
        <v>0.110041</v>
      </c>
      <c r="T256" s="350" t="n">
        <f aca="false">(U255+T255)*(U254-T254)/2</f>
        <v>0</v>
      </c>
      <c r="U256" s="350" t="n">
        <f aca="false">(V255+U255)*(V254-U254)/2</f>
        <v>0</v>
      </c>
      <c r="V256" s="350" t="n">
        <f aca="false">(W255+V255)*(W254-V254)/2</f>
        <v>0</v>
      </c>
      <c r="W256" s="350" t="n">
        <f aca="false">(X255+W255)*(X254-W254)/2</f>
        <v>0</v>
      </c>
      <c r="X256" s="350" t="n">
        <f aca="false">(Y255+X255)*(Y254-X254)/2</f>
        <v>0</v>
      </c>
      <c r="Y256" s="336"/>
    </row>
    <row r="257" customFormat="false" ht="12.75" hidden="false" customHeight="false" outlineLevel="0" collapsed="false">
      <c r="B257" s="337"/>
      <c r="C257" s="337"/>
      <c r="D257" s="337"/>
      <c r="E257" s="337"/>
      <c r="F257" s="337"/>
      <c r="G257" s="337"/>
      <c r="H257" s="337"/>
      <c r="I257" s="337"/>
      <c r="J257" s="337"/>
      <c r="K257" s="337"/>
      <c r="L257" s="337"/>
      <c r="M257" s="337"/>
      <c r="N257" s="337"/>
      <c r="O257" s="337"/>
      <c r="P257" s="337"/>
      <c r="Q257" s="337"/>
      <c r="R257" s="337"/>
      <c r="S257" s="337"/>
      <c r="T257" s="337"/>
      <c r="U257" s="337"/>
      <c r="V257" s="337"/>
      <c r="W257" s="337"/>
      <c r="X257" s="337"/>
      <c r="Y257" s="337"/>
    </row>
    <row r="258" customFormat="false" ht="13.5" hidden="false" customHeight="false" outlineLevel="0" collapsed="false">
      <c r="A258" s="338" t="s">
        <v>291</v>
      </c>
      <c r="B258" s="356" t="n">
        <f aca="false">ROW(A258)</f>
        <v>258</v>
      </c>
      <c r="C258" s="322" t="s">
        <v>213</v>
      </c>
      <c r="D258" s="323" t="n">
        <f aca="false">SUM(B261:Y261)</f>
        <v>33.5</v>
      </c>
      <c r="E258" s="322" t="s">
        <v>214</v>
      </c>
      <c r="F258" s="324" t="n">
        <f aca="false">D258/g/J258</f>
        <v>68.2976554536188</v>
      </c>
      <c r="G258" s="322" t="s">
        <v>215</v>
      </c>
      <c r="H258" s="340" t="n">
        <v>0.085</v>
      </c>
      <c r="I258" s="322" t="s">
        <v>226</v>
      </c>
      <c r="J258" s="325" t="n">
        <f aca="false">H258-L258</f>
        <v>0.05</v>
      </c>
      <c r="K258" s="322" t="s">
        <v>227</v>
      </c>
      <c r="L258" s="340" t="n">
        <v>0.035</v>
      </c>
      <c r="M258" s="322" t="s">
        <v>218</v>
      </c>
      <c r="N258" s="341" t="n">
        <v>20</v>
      </c>
      <c r="O258" s="322" t="s">
        <v>219</v>
      </c>
      <c r="P258" s="341" t="n">
        <v>20</v>
      </c>
      <c r="Q258" s="322" t="s">
        <v>220</v>
      </c>
      <c r="R258" s="341" t="n">
        <v>39</v>
      </c>
      <c r="S258" s="322" t="s">
        <v>221</v>
      </c>
      <c r="T258" s="341" t="n">
        <v>39</v>
      </c>
      <c r="U258" s="322" t="s">
        <v>8</v>
      </c>
      <c r="V258" s="342" t="s">
        <v>246</v>
      </c>
      <c r="W258" s="337"/>
      <c r="X258" s="337"/>
      <c r="Y258" s="337"/>
    </row>
    <row r="259" customFormat="false" ht="12" hidden="false" customHeight="false" outlineLevel="0" collapsed="false">
      <c r="A259" s="320" t="s">
        <v>228</v>
      </c>
      <c r="B259" s="343" t="n">
        <v>0</v>
      </c>
      <c r="C259" s="344" t="n">
        <v>0.05</v>
      </c>
      <c r="D259" s="344" t="n">
        <v>0.1</v>
      </c>
      <c r="E259" s="344" t="n">
        <v>0.25</v>
      </c>
      <c r="F259" s="344" t="n">
        <v>0.3</v>
      </c>
      <c r="G259" s="344" t="n">
        <v>0.35</v>
      </c>
      <c r="H259" s="344" t="n">
        <v>0.45</v>
      </c>
      <c r="I259" s="344" t="n">
        <v>0.55</v>
      </c>
      <c r="J259" s="344" t="n">
        <v>3.5</v>
      </c>
      <c r="K259" s="344" t="n">
        <v>3.6</v>
      </c>
      <c r="L259" s="344" t="n">
        <v>3.6</v>
      </c>
      <c r="M259" s="344" t="n">
        <v>3.6</v>
      </c>
      <c r="N259" s="344" t="n">
        <v>3.6</v>
      </c>
      <c r="O259" s="344" t="n">
        <v>3.6</v>
      </c>
      <c r="P259" s="344" t="n">
        <v>3.6</v>
      </c>
      <c r="Q259" s="344" t="n">
        <v>3.6</v>
      </c>
      <c r="R259" s="344" t="n">
        <v>3.6</v>
      </c>
      <c r="S259" s="344" t="n">
        <v>3.6</v>
      </c>
      <c r="T259" s="344" t="n">
        <v>3.6</v>
      </c>
      <c r="U259" s="344" t="n">
        <v>3.6</v>
      </c>
      <c r="V259" s="344" t="n">
        <v>3.6</v>
      </c>
      <c r="W259" s="344" t="n">
        <v>3.6</v>
      </c>
      <c r="X259" s="344" t="n">
        <v>3.6</v>
      </c>
      <c r="Y259" s="332" t="n">
        <v>1000</v>
      </c>
    </row>
    <row r="260" customFormat="false" ht="12" hidden="false" customHeight="false" outlineLevel="0" collapsed="false">
      <c r="A260" s="345" t="s">
        <v>229</v>
      </c>
      <c r="B260" s="346" t="n">
        <v>0</v>
      </c>
      <c r="C260" s="347" t="n">
        <v>68</v>
      </c>
      <c r="D260" s="347" t="n">
        <v>62</v>
      </c>
      <c r="E260" s="347" t="n">
        <v>60</v>
      </c>
      <c r="F260" s="347" t="n">
        <v>39</v>
      </c>
      <c r="G260" s="347" t="n">
        <v>38</v>
      </c>
      <c r="H260" s="347" t="n">
        <v>9</v>
      </c>
      <c r="I260" s="347" t="n">
        <v>5</v>
      </c>
      <c r="J260" s="347" t="n">
        <v>3</v>
      </c>
      <c r="K260" s="347" t="n">
        <v>0</v>
      </c>
      <c r="L260" s="347" t="n">
        <v>0</v>
      </c>
      <c r="M260" s="347" t="n">
        <v>0</v>
      </c>
      <c r="N260" s="347" t="n">
        <v>0</v>
      </c>
      <c r="O260" s="347" t="n">
        <v>0</v>
      </c>
      <c r="P260" s="347" t="n">
        <v>0</v>
      </c>
      <c r="Q260" s="347" t="n">
        <v>0</v>
      </c>
      <c r="R260" s="347" t="n">
        <v>0</v>
      </c>
      <c r="S260" s="347" t="n">
        <v>0</v>
      </c>
      <c r="T260" s="347" t="n">
        <v>0</v>
      </c>
      <c r="U260" s="347" t="n">
        <v>0</v>
      </c>
      <c r="V260" s="347" t="n">
        <v>0</v>
      </c>
      <c r="W260" s="347" t="n">
        <v>0</v>
      </c>
      <c r="X260" s="347" t="n">
        <v>0</v>
      </c>
      <c r="Y260" s="348" t="n">
        <v>0</v>
      </c>
    </row>
    <row r="261" customFormat="false" ht="12.75" hidden="false" customHeight="false" outlineLevel="0" collapsed="false">
      <c r="A261" s="333" t="s">
        <v>230</v>
      </c>
      <c r="B261" s="349" t="n">
        <f aca="false">(C260+B260)*(C259-B259)/2</f>
        <v>1.7</v>
      </c>
      <c r="C261" s="350" t="n">
        <f aca="false">(D260+C260)*(D259-C259)/2</f>
        <v>3.25</v>
      </c>
      <c r="D261" s="350" t="n">
        <f aca="false">(E260+D260)*(E259-D259)/2</f>
        <v>9.15</v>
      </c>
      <c r="E261" s="350" t="n">
        <f aca="false">(F260+E260)*(F259-E259)/2</f>
        <v>2.475</v>
      </c>
      <c r="F261" s="350" t="n">
        <f aca="false">(G260+F260)*(G259-F259)/2</f>
        <v>1.925</v>
      </c>
      <c r="G261" s="350" t="n">
        <f aca="false">(H260+G260)*(H259-G259)/2</f>
        <v>2.35</v>
      </c>
      <c r="H261" s="350" t="n">
        <f aca="false">(I260+H260)*(I259-H259)/2</f>
        <v>0.7</v>
      </c>
      <c r="I261" s="350" t="n">
        <f aca="false">(J260+I260)*(J259-I259)/2</f>
        <v>11.8</v>
      </c>
      <c r="J261" s="350" t="n">
        <f aca="false">(K260+J260)*(K259-J259)/2</f>
        <v>0.15</v>
      </c>
      <c r="K261" s="350" t="n">
        <f aca="false">(L260+K260)*(L259-K259)/2</f>
        <v>0</v>
      </c>
      <c r="L261" s="350" t="n">
        <f aca="false">(M260+L260)*(M259-L259)/2</f>
        <v>0</v>
      </c>
      <c r="M261" s="350" t="n">
        <f aca="false">(N260+M260)*(N259-M259)/2</f>
        <v>0</v>
      </c>
      <c r="N261" s="350" t="n">
        <f aca="false">(O260+N260)*(O259-N259)/2</f>
        <v>0</v>
      </c>
      <c r="O261" s="350" t="n">
        <f aca="false">(P260+O260)*(P259-O259)/2</f>
        <v>0</v>
      </c>
      <c r="P261" s="350" t="n">
        <f aca="false">(Q260+P260)*(Q259-P259)/2</f>
        <v>0</v>
      </c>
      <c r="Q261" s="350" t="n">
        <f aca="false">(R260+Q260)*(R259-Q259)/2</f>
        <v>0</v>
      </c>
      <c r="R261" s="350" t="n">
        <f aca="false">(S260+R260)*(S259-R259)/2</f>
        <v>0</v>
      </c>
      <c r="S261" s="350" t="n">
        <f aca="false">(T260+S260)*(T259-S259)/2</f>
        <v>0</v>
      </c>
      <c r="T261" s="350" t="n">
        <f aca="false">(U260+T260)*(U259-T259)/2</f>
        <v>0</v>
      </c>
      <c r="U261" s="350" t="n">
        <f aca="false">(V260+U260)*(V259-U259)/2</f>
        <v>0</v>
      </c>
      <c r="V261" s="350" t="n">
        <f aca="false">(W260+V260)*(W259-V259)/2</f>
        <v>0</v>
      </c>
      <c r="W261" s="350" t="n">
        <f aca="false">(X260+W260)*(X259-W259)/2</f>
        <v>0</v>
      </c>
      <c r="X261" s="350" t="n">
        <f aca="false">(Y260+X260)*(Y259-X259)/2</f>
        <v>0</v>
      </c>
      <c r="Y261" s="336"/>
    </row>
    <row r="262" customFormat="false" ht="12.75" hidden="false" customHeight="false" outlineLevel="0" collapsed="false">
      <c r="B262" s="337"/>
      <c r="C262" s="337"/>
      <c r="D262" s="337"/>
      <c r="E262" s="337"/>
      <c r="F262" s="337"/>
      <c r="G262" s="337"/>
      <c r="H262" s="337"/>
      <c r="I262" s="337"/>
      <c r="J262" s="337"/>
      <c r="K262" s="337"/>
      <c r="L262" s="337"/>
      <c r="M262" s="337"/>
      <c r="N262" s="337"/>
      <c r="O262" s="337"/>
      <c r="P262" s="337"/>
      <c r="Q262" s="337"/>
      <c r="R262" s="337"/>
      <c r="S262" s="337"/>
      <c r="T262" s="337"/>
      <c r="U262" s="337"/>
      <c r="V262" s="337"/>
      <c r="W262" s="337"/>
      <c r="X262" s="337"/>
      <c r="Y262" s="337"/>
    </row>
    <row r="263" customFormat="false" ht="13.5" hidden="false" customHeight="false" outlineLevel="0" collapsed="false">
      <c r="A263" s="338" t="s">
        <v>292</v>
      </c>
      <c r="B263" s="339" t="n">
        <f aca="false">ROW(A263)</f>
        <v>263</v>
      </c>
      <c r="C263" s="322" t="s">
        <v>213</v>
      </c>
      <c r="D263" s="323" t="n">
        <f aca="false">SUM(B266:Y266)</f>
        <v>145.46</v>
      </c>
      <c r="E263" s="322" t="s">
        <v>214</v>
      </c>
      <c r="F263" s="324" t="n">
        <f aca="false">D263/g/J263</f>
        <v>211.824668705403</v>
      </c>
      <c r="G263" s="322" t="s">
        <v>215</v>
      </c>
      <c r="H263" s="340" t="n">
        <v>0.22</v>
      </c>
      <c r="I263" s="322" t="s">
        <v>226</v>
      </c>
      <c r="J263" s="325" t="n">
        <f aca="false">H263-L263</f>
        <v>0.07</v>
      </c>
      <c r="K263" s="322" t="s">
        <v>227</v>
      </c>
      <c r="L263" s="340" t="n">
        <v>0.15</v>
      </c>
      <c r="M263" s="322" t="s">
        <v>218</v>
      </c>
      <c r="N263" s="341" t="n">
        <v>50</v>
      </c>
      <c r="O263" s="322" t="s">
        <v>219</v>
      </c>
      <c r="P263" s="341" t="n">
        <v>55</v>
      </c>
      <c r="Q263" s="322" t="s">
        <v>220</v>
      </c>
      <c r="R263" s="341" t="n">
        <v>76</v>
      </c>
      <c r="S263" s="322" t="s">
        <v>221</v>
      </c>
      <c r="T263" s="341" t="n">
        <v>40</v>
      </c>
      <c r="U263" s="322" t="s">
        <v>8</v>
      </c>
      <c r="V263" s="342" t="s">
        <v>246</v>
      </c>
      <c r="W263" s="337"/>
      <c r="X263" s="337"/>
      <c r="Y263" s="337"/>
    </row>
    <row r="264" customFormat="false" ht="12" hidden="false" customHeight="false" outlineLevel="0" collapsed="false">
      <c r="A264" s="320" t="s">
        <v>228</v>
      </c>
      <c r="B264" s="343" t="n">
        <v>0</v>
      </c>
      <c r="C264" s="344" t="n">
        <v>0.02</v>
      </c>
      <c r="D264" s="344" t="n">
        <v>0.04</v>
      </c>
      <c r="E264" s="344" t="n">
        <v>0.05</v>
      </c>
      <c r="F264" s="344" t="n">
        <v>0.06</v>
      </c>
      <c r="G264" s="344" t="n">
        <v>0.94</v>
      </c>
      <c r="H264" s="357" t="n">
        <v>0.942</v>
      </c>
      <c r="I264" s="344" t="n">
        <v>0.95</v>
      </c>
      <c r="J264" s="344" t="n">
        <v>0.95</v>
      </c>
      <c r="K264" s="344" t="n">
        <v>0.95</v>
      </c>
      <c r="L264" s="344" t="n">
        <v>0.95</v>
      </c>
      <c r="M264" s="344" t="n">
        <v>0.95</v>
      </c>
      <c r="N264" s="344" t="n">
        <v>0.95</v>
      </c>
      <c r="O264" s="344" t="n">
        <v>0.95</v>
      </c>
      <c r="P264" s="344" t="n">
        <v>0.95</v>
      </c>
      <c r="Q264" s="344" t="n">
        <v>0.95</v>
      </c>
      <c r="R264" s="344" t="n">
        <v>0.95</v>
      </c>
      <c r="S264" s="344" t="n">
        <v>0.95</v>
      </c>
      <c r="T264" s="344" t="n">
        <v>0.95</v>
      </c>
      <c r="U264" s="344" t="n">
        <v>0.95</v>
      </c>
      <c r="V264" s="344" t="n">
        <v>0.95</v>
      </c>
      <c r="W264" s="344" t="n">
        <v>0.95</v>
      </c>
      <c r="X264" s="344" t="n">
        <v>2</v>
      </c>
      <c r="Y264" s="332" t="n">
        <v>1000</v>
      </c>
    </row>
    <row r="265" customFormat="false" ht="12" hidden="false" customHeight="false" outlineLevel="0" collapsed="false">
      <c r="A265" s="345" t="s">
        <v>229</v>
      </c>
      <c r="B265" s="346" t="n">
        <v>0</v>
      </c>
      <c r="C265" s="347" t="n">
        <v>320</v>
      </c>
      <c r="D265" s="347" t="n">
        <v>170</v>
      </c>
      <c r="E265" s="347" t="n">
        <v>205</v>
      </c>
      <c r="F265" s="347" t="n">
        <v>217</v>
      </c>
      <c r="G265" s="347" t="n">
        <v>85</v>
      </c>
      <c r="H265" s="347" t="n">
        <v>82</v>
      </c>
      <c r="I265" s="347" t="n">
        <v>0</v>
      </c>
      <c r="J265" s="347" t="n">
        <v>0</v>
      </c>
      <c r="K265" s="347" t="n">
        <v>0</v>
      </c>
      <c r="L265" s="347" t="n">
        <v>0</v>
      </c>
      <c r="M265" s="347" t="n">
        <v>0</v>
      </c>
      <c r="N265" s="347" t="n">
        <v>0</v>
      </c>
      <c r="O265" s="347" t="n">
        <v>0</v>
      </c>
      <c r="P265" s="347" t="n">
        <v>0</v>
      </c>
      <c r="Q265" s="347" t="n">
        <v>0</v>
      </c>
      <c r="R265" s="347" t="n">
        <v>0</v>
      </c>
      <c r="S265" s="347" t="n">
        <v>0</v>
      </c>
      <c r="T265" s="347" t="n">
        <v>0</v>
      </c>
      <c r="U265" s="347" t="n">
        <v>0</v>
      </c>
      <c r="V265" s="347" t="n">
        <v>0</v>
      </c>
      <c r="W265" s="347" t="n">
        <v>0</v>
      </c>
      <c r="X265" s="347" t="n">
        <v>0</v>
      </c>
      <c r="Y265" s="348" t="n">
        <v>0</v>
      </c>
    </row>
    <row r="266" customFormat="false" ht="12.75" hidden="false" customHeight="false" outlineLevel="0" collapsed="false">
      <c r="A266" s="333" t="s">
        <v>230</v>
      </c>
      <c r="B266" s="349" t="n">
        <f aca="false">(C265+B265)*(C264-B264)/2</f>
        <v>3.2</v>
      </c>
      <c r="C266" s="350" t="n">
        <f aca="false">(D265+C265)*(D264-C264)/2</f>
        <v>4.9</v>
      </c>
      <c r="D266" s="350" t="n">
        <f aca="false">(E265+D265)*(E264-D264)/2</f>
        <v>1.875</v>
      </c>
      <c r="E266" s="350" t="n">
        <f aca="false">(F265+E265)*(F264-E264)/2</f>
        <v>2.11</v>
      </c>
      <c r="F266" s="350" t="n">
        <f aca="false">(G265+F265)*(G264-F264)/2</f>
        <v>132.88</v>
      </c>
      <c r="G266" s="350" t="n">
        <f aca="false">(H265+G265)*(H264-G264)/2</f>
        <v>0.167000000000009</v>
      </c>
      <c r="H266" s="350" t="n">
        <f aca="false">(I265+H265)*(I264-H264)/2</f>
        <v>0.327999999999996</v>
      </c>
      <c r="I266" s="350" t="n">
        <f aca="false">(J265+I265)*(J264-I264)/2</f>
        <v>0</v>
      </c>
      <c r="J266" s="350" t="n">
        <f aca="false">(K265+J265)*(K264-J264)/2</f>
        <v>0</v>
      </c>
      <c r="K266" s="350" t="n">
        <f aca="false">(L265+K265)*(L264-K264)/2</f>
        <v>0</v>
      </c>
      <c r="L266" s="350" t="n">
        <f aca="false">(M265+L265)*(M264-L264)/2</f>
        <v>0</v>
      </c>
      <c r="M266" s="350" t="n">
        <f aca="false">(N265+M265)*(N264-M264)/2</f>
        <v>0</v>
      </c>
      <c r="N266" s="350" t="n">
        <f aca="false">(O265+N265)*(O264-N264)/2</f>
        <v>0</v>
      </c>
      <c r="O266" s="350" t="n">
        <f aca="false">(P265+O265)*(P264-O264)/2</f>
        <v>0</v>
      </c>
      <c r="P266" s="350" t="n">
        <f aca="false">(Q265+P265)*(Q264-P264)/2</f>
        <v>0</v>
      </c>
      <c r="Q266" s="350" t="n">
        <f aca="false">(R265+Q265)*(R264-Q264)/2</f>
        <v>0</v>
      </c>
      <c r="R266" s="350" t="n">
        <f aca="false">(S265+R265)*(S264-R264)/2</f>
        <v>0</v>
      </c>
      <c r="S266" s="350" t="n">
        <f aca="false">(T265+S265)*(T264-S264)/2</f>
        <v>0</v>
      </c>
      <c r="T266" s="350" t="n">
        <f aca="false">(U265+T265)*(U264-T264)/2</f>
        <v>0</v>
      </c>
      <c r="U266" s="350" t="n">
        <f aca="false">(V265+U265)*(V264-U264)/2</f>
        <v>0</v>
      </c>
      <c r="V266" s="350" t="n">
        <f aca="false">(W265+V265)*(W264-V264)/2</f>
        <v>0</v>
      </c>
      <c r="W266" s="350" t="n">
        <f aca="false">(X265+W265)*(X264-W264)/2</f>
        <v>0</v>
      </c>
      <c r="X266" s="350" t="n">
        <f aca="false">(Y265+X265)*(Y264-X264)/2</f>
        <v>0</v>
      </c>
      <c r="Y266" s="336"/>
    </row>
    <row r="267" customFormat="false" ht="12" hidden="false" customHeight="false" outlineLevel="0" collapsed="false">
      <c r="B267" s="337"/>
      <c r="C267" s="337"/>
      <c r="D267" s="337"/>
      <c r="E267" s="337"/>
      <c r="F267" s="337"/>
      <c r="G267" s="337"/>
      <c r="H267" s="337"/>
      <c r="I267" s="337"/>
      <c r="J267" s="337"/>
      <c r="K267" s="337"/>
      <c r="L267" s="337"/>
      <c r="M267" s="337"/>
      <c r="N267" s="337"/>
      <c r="O267" s="337"/>
      <c r="P267" s="337"/>
      <c r="Q267" s="337"/>
      <c r="R267" s="337"/>
      <c r="S267" s="337"/>
      <c r="T267" s="337"/>
      <c r="U267" s="337"/>
      <c r="V267" s="337"/>
      <c r="W267" s="337"/>
      <c r="X267" s="337"/>
      <c r="Y267" s="337"/>
    </row>
    <row r="268" customFormat="false" ht="13.5" hidden="false" customHeight="false" outlineLevel="0" collapsed="false">
      <c r="A268" s="171" t="s">
        <v>293</v>
      </c>
      <c r="B268" s="337"/>
      <c r="C268" s="337"/>
      <c r="D268" s="337"/>
      <c r="E268" s="337"/>
      <c r="F268" s="337"/>
      <c r="G268" s="337"/>
      <c r="H268" s="337"/>
      <c r="I268" s="337"/>
      <c r="J268" s="337"/>
      <c r="K268" s="337"/>
      <c r="L268" s="337"/>
      <c r="M268" s="337"/>
      <c r="N268" s="337"/>
      <c r="O268" s="337"/>
      <c r="P268" s="337"/>
      <c r="Q268" s="337"/>
      <c r="R268" s="337"/>
      <c r="S268" s="337"/>
      <c r="T268" s="337"/>
      <c r="U268" s="337"/>
      <c r="V268" s="337"/>
      <c r="W268" s="337"/>
      <c r="X268" s="337"/>
      <c r="Y268" s="337"/>
    </row>
    <row r="269" customFormat="false" ht="13.5" hidden="false" customHeight="false" outlineLevel="0" collapsed="false">
      <c r="A269" s="338" t="s">
        <v>294</v>
      </c>
      <c r="B269" s="339" t="n">
        <f aca="false">ROW(A269)</f>
        <v>269</v>
      </c>
      <c r="C269" s="322" t="s">
        <v>213</v>
      </c>
      <c r="D269" s="323" t="n">
        <f aca="false">SUM(B272:Y272)</f>
        <v>1071.6</v>
      </c>
      <c r="E269" s="322" t="s">
        <v>214</v>
      </c>
      <c r="F269" s="324" t="n">
        <f aca="false">D269/g/J269</f>
        <v>163.038020904651</v>
      </c>
      <c r="G269" s="322" t="s">
        <v>215</v>
      </c>
      <c r="H269" s="340" t="n">
        <v>2.02</v>
      </c>
      <c r="I269" s="322" t="s">
        <v>226</v>
      </c>
      <c r="J269" s="325" t="n">
        <f aca="false">H269-L269</f>
        <v>0.67</v>
      </c>
      <c r="K269" s="322" t="s">
        <v>227</v>
      </c>
      <c r="L269" s="340" t="n">
        <v>1.35</v>
      </c>
      <c r="M269" s="322" t="s">
        <v>218</v>
      </c>
      <c r="N269" s="341" t="n">
        <v>154</v>
      </c>
      <c r="O269" s="322" t="s">
        <v>219</v>
      </c>
      <c r="P269" s="341" t="n">
        <v>168</v>
      </c>
      <c r="Q269" s="322" t="s">
        <v>220</v>
      </c>
      <c r="R269" s="341" t="n">
        <v>230</v>
      </c>
      <c r="S269" s="322" t="s">
        <v>221</v>
      </c>
      <c r="T269" s="341" t="n">
        <v>67</v>
      </c>
      <c r="U269" s="322" t="s">
        <v>8</v>
      </c>
      <c r="V269" s="342" t="s">
        <v>79</v>
      </c>
      <c r="W269" s="337"/>
      <c r="X269" s="337"/>
      <c r="Y269" s="337"/>
    </row>
    <row r="270" customFormat="false" ht="12" hidden="false" customHeight="false" outlineLevel="0" collapsed="false">
      <c r="A270" s="320" t="s">
        <v>228</v>
      </c>
      <c r="B270" s="343" t="n">
        <v>0</v>
      </c>
      <c r="C270" s="344" t="n">
        <v>0.02</v>
      </c>
      <c r="D270" s="344" t="n">
        <v>0.05</v>
      </c>
      <c r="E270" s="344" t="n">
        <v>0.06</v>
      </c>
      <c r="F270" s="344" t="n">
        <v>0.09</v>
      </c>
      <c r="G270" s="344" t="n">
        <v>0.17</v>
      </c>
      <c r="H270" s="344" t="n">
        <v>0.2</v>
      </c>
      <c r="I270" s="344" t="n">
        <v>0.38</v>
      </c>
      <c r="J270" s="344" t="n">
        <v>0.75</v>
      </c>
      <c r="K270" s="344" t="n">
        <v>0.79</v>
      </c>
      <c r="L270" s="344" t="n">
        <v>1.13</v>
      </c>
      <c r="M270" s="344" t="n">
        <v>1.2</v>
      </c>
      <c r="N270" s="344" t="n">
        <v>1.5</v>
      </c>
      <c r="O270" s="344" t="n">
        <v>1.54</v>
      </c>
      <c r="P270" s="344" t="n">
        <v>1.65</v>
      </c>
      <c r="Q270" s="344" t="n">
        <v>1.7</v>
      </c>
      <c r="R270" s="344" t="n">
        <v>1.79</v>
      </c>
      <c r="S270" s="344" t="n">
        <v>1.79</v>
      </c>
      <c r="T270" s="344" t="n">
        <v>1.79</v>
      </c>
      <c r="U270" s="344" t="n">
        <v>1.79</v>
      </c>
      <c r="V270" s="344" t="n">
        <v>1.79</v>
      </c>
      <c r="W270" s="344" t="n">
        <v>1.79</v>
      </c>
      <c r="X270" s="344" t="n">
        <v>1.79</v>
      </c>
      <c r="Y270" s="332" t="n">
        <v>1000</v>
      </c>
    </row>
    <row r="271" customFormat="false" ht="12" hidden="false" customHeight="false" outlineLevel="0" collapsed="false">
      <c r="A271" s="345" t="s">
        <v>229</v>
      </c>
      <c r="B271" s="346" t="n">
        <v>0</v>
      </c>
      <c r="C271" s="347" t="n">
        <v>20</v>
      </c>
      <c r="D271" s="347" t="n">
        <v>870</v>
      </c>
      <c r="E271" s="347" t="n">
        <v>530</v>
      </c>
      <c r="F271" s="347" t="n">
        <v>790</v>
      </c>
      <c r="G271" s="347" t="n">
        <v>700</v>
      </c>
      <c r="H271" s="347" t="n">
        <v>710</v>
      </c>
      <c r="I271" s="347" t="n">
        <v>670</v>
      </c>
      <c r="J271" s="347" t="n">
        <v>630</v>
      </c>
      <c r="K271" s="347" t="n">
        <v>630</v>
      </c>
      <c r="L271" s="347" t="n">
        <v>710</v>
      </c>
      <c r="M271" s="347" t="n">
        <v>690</v>
      </c>
      <c r="N271" s="347" t="n">
        <v>690</v>
      </c>
      <c r="O271" s="347" t="n">
        <v>660</v>
      </c>
      <c r="P271" s="347" t="n">
        <v>160</v>
      </c>
      <c r="Q271" s="347" t="n">
        <v>10</v>
      </c>
      <c r="R271" s="347" t="n">
        <v>0</v>
      </c>
      <c r="S271" s="347" t="n">
        <v>0</v>
      </c>
      <c r="T271" s="347" t="n">
        <v>0</v>
      </c>
      <c r="U271" s="347" t="n">
        <v>0</v>
      </c>
      <c r="V271" s="347" t="n">
        <v>0</v>
      </c>
      <c r="W271" s="347" t="n">
        <v>0</v>
      </c>
      <c r="X271" s="347" t="n">
        <v>0</v>
      </c>
      <c r="Y271" s="348" t="n">
        <v>0</v>
      </c>
    </row>
    <row r="272" customFormat="false" ht="12.75" hidden="false" customHeight="false" outlineLevel="0" collapsed="false">
      <c r="A272" s="333" t="s">
        <v>230</v>
      </c>
      <c r="B272" s="349" t="n">
        <f aca="false">(C271+B271)*(C270-B270)/2</f>
        <v>0.2</v>
      </c>
      <c r="C272" s="350" t="n">
        <f aca="false">(D271+C271)*(D270-C270)/2</f>
        <v>13.35</v>
      </c>
      <c r="D272" s="350" t="n">
        <f aca="false">(E271+D271)*(E270-D270)/2</f>
        <v>7</v>
      </c>
      <c r="E272" s="350" t="n">
        <f aca="false">(F271+E271)*(F270-E270)/2</f>
        <v>19.8</v>
      </c>
      <c r="F272" s="350" t="n">
        <f aca="false">(G271+F271)*(G270-F270)/2</f>
        <v>59.6</v>
      </c>
      <c r="G272" s="350" t="n">
        <f aca="false">(H271+G271)*(H270-G270)/2</f>
        <v>21.15</v>
      </c>
      <c r="H272" s="350" t="n">
        <f aca="false">(I271+H271)*(I270-H270)/2</f>
        <v>124.2</v>
      </c>
      <c r="I272" s="350" t="n">
        <f aca="false">(J271+I271)*(J270-I270)/2</f>
        <v>240.5</v>
      </c>
      <c r="J272" s="350" t="n">
        <f aca="false">(K271+J271)*(K270-J270)/2</f>
        <v>25.2</v>
      </c>
      <c r="K272" s="350" t="n">
        <f aca="false">(L271+K271)*(L270-K270)/2</f>
        <v>227.8</v>
      </c>
      <c r="L272" s="350" t="n">
        <f aca="false">(M271+L271)*(M270-L270)/2</f>
        <v>49</v>
      </c>
      <c r="M272" s="350" t="n">
        <f aca="false">(N271+M271)*(N270-M270)/2</f>
        <v>207</v>
      </c>
      <c r="N272" s="350" t="n">
        <f aca="false">(O271+N271)*(O270-N270)/2</f>
        <v>27</v>
      </c>
      <c r="O272" s="350" t="n">
        <f aca="false">(P271+O271)*(P270-O270)/2</f>
        <v>45.1</v>
      </c>
      <c r="P272" s="350" t="n">
        <f aca="false">(Q271+P271)*(Q270-P270)/2</f>
        <v>4.25</v>
      </c>
      <c r="Q272" s="350" t="n">
        <f aca="false">(R271+Q271)*(R270-Q270)/2</f>
        <v>0.45</v>
      </c>
      <c r="R272" s="350" t="n">
        <f aca="false">(S271+R271)*(S270-R270)/2</f>
        <v>0</v>
      </c>
      <c r="S272" s="350" t="n">
        <f aca="false">(T271+S271)*(T270-S270)/2</f>
        <v>0</v>
      </c>
      <c r="T272" s="350" t="n">
        <f aca="false">(U271+T271)*(U270-T270)/2</f>
        <v>0</v>
      </c>
      <c r="U272" s="350" t="n">
        <f aca="false">(V271+U271)*(V270-U270)/2</f>
        <v>0</v>
      </c>
      <c r="V272" s="350" t="n">
        <f aca="false">(W271+V271)*(W270-V270)/2</f>
        <v>0</v>
      </c>
      <c r="W272" s="350" t="n">
        <f aca="false">(X271+W271)*(X270-W270)/2</f>
        <v>0</v>
      </c>
      <c r="X272" s="350" t="n">
        <f aca="false">(Y271+X271)*(Y270-X270)/2</f>
        <v>0</v>
      </c>
      <c r="Y272" s="358"/>
    </row>
    <row r="273" customFormat="false" ht="12.75" hidden="false" customHeight="false" outlineLevel="0" collapsed="false">
      <c r="S273" s="337"/>
      <c r="T273" s="337"/>
      <c r="U273" s="337"/>
      <c r="V273" s="337"/>
      <c r="W273" s="337"/>
      <c r="X273" s="337"/>
      <c r="Y273" s="337"/>
    </row>
    <row r="274" customFormat="false" ht="13.5" hidden="false" customHeight="false" outlineLevel="0" collapsed="false">
      <c r="A274" s="338" t="s">
        <v>295</v>
      </c>
      <c r="B274" s="339" t="n">
        <f aca="false">ROW(A274)</f>
        <v>274</v>
      </c>
      <c r="C274" s="322" t="s">
        <v>213</v>
      </c>
      <c r="D274" s="323" t="n">
        <f aca="false">SUM(B277:Y277)</f>
        <v>2102.35</v>
      </c>
      <c r="E274" s="322" t="s">
        <v>214</v>
      </c>
      <c r="F274" s="324" t="n">
        <f aca="false">D274/g/J274</f>
        <v>174.233194931338</v>
      </c>
      <c r="G274" s="322" t="s">
        <v>215</v>
      </c>
      <c r="H274" s="340" t="n">
        <v>3.7</v>
      </c>
      <c r="I274" s="322" t="s">
        <v>226</v>
      </c>
      <c r="J274" s="325" t="n">
        <f aca="false">H274-L274</f>
        <v>1.23</v>
      </c>
      <c r="K274" s="322" t="s">
        <v>227</v>
      </c>
      <c r="L274" s="340" t="n">
        <v>2.47</v>
      </c>
      <c r="M274" s="322" t="s">
        <v>218</v>
      </c>
      <c r="N274" s="341" t="n">
        <v>151</v>
      </c>
      <c r="O274" s="322" t="s">
        <v>219</v>
      </c>
      <c r="P274" s="341" t="n">
        <v>171</v>
      </c>
      <c r="Q274" s="322" t="s">
        <v>220</v>
      </c>
      <c r="R274" s="341" t="n">
        <v>247</v>
      </c>
      <c r="S274" s="322" t="s">
        <v>221</v>
      </c>
      <c r="T274" s="341" t="n">
        <v>90</v>
      </c>
      <c r="U274" s="322" t="s">
        <v>8</v>
      </c>
      <c r="V274" s="342" t="s">
        <v>79</v>
      </c>
      <c r="W274" s="337"/>
      <c r="X274" s="337"/>
      <c r="Y274" s="337"/>
    </row>
    <row r="275" customFormat="false" ht="12" hidden="false" customHeight="false" outlineLevel="0" collapsed="false">
      <c r="A275" s="320" t="s">
        <v>228</v>
      </c>
      <c r="B275" s="343" t="n">
        <v>0</v>
      </c>
      <c r="C275" s="344" t="n">
        <v>0.05</v>
      </c>
      <c r="D275" s="344" t="n">
        <v>0.1</v>
      </c>
      <c r="E275" s="344" t="n">
        <v>1</v>
      </c>
      <c r="F275" s="344" t="n">
        <v>1.35</v>
      </c>
      <c r="G275" s="344" t="n">
        <v>1.75</v>
      </c>
      <c r="H275" s="344" t="n">
        <v>2.15</v>
      </c>
      <c r="I275" s="344" t="n">
        <v>2.25</v>
      </c>
      <c r="J275" s="344" t="n">
        <v>2.48</v>
      </c>
      <c r="K275" s="344" t="n">
        <v>2.6</v>
      </c>
      <c r="L275" s="344" t="n">
        <v>2.8</v>
      </c>
      <c r="M275" s="344" t="n">
        <v>2.8</v>
      </c>
      <c r="N275" s="344" t="n">
        <v>2.8</v>
      </c>
      <c r="O275" s="344" t="n">
        <v>2.8</v>
      </c>
      <c r="P275" s="344" t="n">
        <v>2.8</v>
      </c>
      <c r="Q275" s="344" t="n">
        <v>2.8</v>
      </c>
      <c r="R275" s="344" t="n">
        <v>2.8</v>
      </c>
      <c r="S275" s="344" t="n">
        <v>2.8</v>
      </c>
      <c r="T275" s="344" t="n">
        <v>2.8</v>
      </c>
      <c r="U275" s="344" t="n">
        <v>2.8</v>
      </c>
      <c r="V275" s="344" t="n">
        <v>2.8</v>
      </c>
      <c r="W275" s="344" t="n">
        <v>2.8</v>
      </c>
      <c r="X275" s="344" t="n">
        <v>2.8</v>
      </c>
      <c r="Y275" s="332" t="n">
        <v>1000</v>
      </c>
    </row>
    <row r="276" customFormat="false" ht="12" hidden="false" customHeight="false" outlineLevel="0" collapsed="false">
      <c r="A276" s="345" t="s">
        <v>229</v>
      </c>
      <c r="B276" s="346" t="n">
        <v>0</v>
      </c>
      <c r="C276" s="347" t="n">
        <v>860</v>
      </c>
      <c r="D276" s="347" t="n">
        <v>840</v>
      </c>
      <c r="E276" s="347" t="n">
        <v>840</v>
      </c>
      <c r="F276" s="347" t="n">
        <v>850</v>
      </c>
      <c r="G276" s="347" t="n">
        <v>900</v>
      </c>
      <c r="H276" s="347" t="n">
        <v>1050</v>
      </c>
      <c r="I276" s="347" t="n">
        <v>1020</v>
      </c>
      <c r="J276" s="347" t="n">
        <v>120</v>
      </c>
      <c r="K276" s="347" t="n">
        <v>30</v>
      </c>
      <c r="L276" s="347" t="n">
        <v>0</v>
      </c>
      <c r="M276" s="347" t="n">
        <v>0</v>
      </c>
      <c r="N276" s="347" t="n">
        <v>0</v>
      </c>
      <c r="O276" s="347" t="n">
        <v>0</v>
      </c>
      <c r="P276" s="347" t="n">
        <v>0</v>
      </c>
      <c r="Q276" s="347" t="n">
        <v>0</v>
      </c>
      <c r="R276" s="347" t="n">
        <v>0</v>
      </c>
      <c r="S276" s="347" t="n">
        <v>0</v>
      </c>
      <c r="T276" s="347" t="n">
        <v>0</v>
      </c>
      <c r="U276" s="347" t="n">
        <v>0</v>
      </c>
      <c r="V276" s="347" t="n">
        <v>0</v>
      </c>
      <c r="W276" s="347" t="n">
        <v>0</v>
      </c>
      <c r="X276" s="347" t="n">
        <v>0</v>
      </c>
      <c r="Y276" s="348" t="n">
        <v>0</v>
      </c>
    </row>
    <row r="277" customFormat="false" ht="12.75" hidden="false" customHeight="false" outlineLevel="0" collapsed="false">
      <c r="A277" s="333" t="s">
        <v>230</v>
      </c>
      <c r="B277" s="349" t="n">
        <f aca="false">(C276+B276)*(C275-B275)/2</f>
        <v>21.5</v>
      </c>
      <c r="C277" s="350" t="n">
        <f aca="false">(D276+C276)*(D275-C275)/2</f>
        <v>42.5</v>
      </c>
      <c r="D277" s="350" t="n">
        <f aca="false">(E276+D276)*(E275-D275)/2</f>
        <v>756</v>
      </c>
      <c r="E277" s="350" t="n">
        <f aca="false">(F276+E276)*(F275-E275)/2</f>
        <v>295.75</v>
      </c>
      <c r="F277" s="350" t="n">
        <f aca="false">(G276+F276)*(G275-F275)/2</f>
        <v>350</v>
      </c>
      <c r="G277" s="350" t="n">
        <f aca="false">(H276+G276)*(H275-G275)/2</f>
        <v>390</v>
      </c>
      <c r="H277" s="350" t="n">
        <f aca="false">(I276+H276)*(I275-H275)/2</f>
        <v>103.5</v>
      </c>
      <c r="I277" s="350" t="n">
        <f aca="false">(J276+I276)*(J275-I275)/2</f>
        <v>131.1</v>
      </c>
      <c r="J277" s="350" t="n">
        <f aca="false">(K276+J276)*(K275-J275)/2</f>
        <v>9.00000000000001</v>
      </c>
      <c r="K277" s="350" t="n">
        <f aca="false">(L276+K276)*(L275-K275)/2</f>
        <v>3</v>
      </c>
      <c r="L277" s="350" t="n">
        <f aca="false">(M276+L276)*(M275-L275)/2</f>
        <v>0</v>
      </c>
      <c r="M277" s="350" t="n">
        <f aca="false">(N276+M276)*(N275-M275)/2</f>
        <v>0</v>
      </c>
      <c r="N277" s="350" t="n">
        <f aca="false">(O276+N276)*(O275-N275)/2</f>
        <v>0</v>
      </c>
      <c r="O277" s="350" t="n">
        <f aca="false">(P276+O276)*(P275-O275)/2</f>
        <v>0</v>
      </c>
      <c r="P277" s="350" t="n">
        <f aca="false">(Q276+P276)*(Q275-P275)/2</f>
        <v>0</v>
      </c>
      <c r="Q277" s="350" t="n">
        <f aca="false">(R276+Q276)*(R275-Q275)/2</f>
        <v>0</v>
      </c>
      <c r="R277" s="350" t="n">
        <f aca="false">(S276+R276)*(S275-R275)/2</f>
        <v>0</v>
      </c>
      <c r="S277" s="350" t="n">
        <f aca="false">(T276+S276)*(T275-S275)/2</f>
        <v>0</v>
      </c>
      <c r="T277" s="350" t="n">
        <f aca="false">(U276+T276)*(U275-T275)/2</f>
        <v>0</v>
      </c>
      <c r="U277" s="350" t="n">
        <f aca="false">(V276+U276)*(V275-U275)/2</f>
        <v>0</v>
      </c>
      <c r="V277" s="350" t="n">
        <f aca="false">(W276+V276)*(W275-V275)/2</f>
        <v>0</v>
      </c>
      <c r="W277" s="350" t="n">
        <f aca="false">(X276+W276)*(X275-W275)/2</f>
        <v>0</v>
      </c>
      <c r="X277" s="350" t="n">
        <f aca="false">(Y276+X276)*(Y275-X275)/2</f>
        <v>0</v>
      </c>
      <c r="Y277" s="336"/>
    </row>
    <row r="278" customFormat="false" ht="12.75" hidden="false" customHeight="false" outlineLevel="0" collapsed="false"/>
    <row r="279" customFormat="false" ht="13.5" hidden="false" customHeight="false" outlineLevel="0" collapsed="false">
      <c r="A279" s="338" t="s">
        <v>13</v>
      </c>
      <c r="B279" s="339" t="n">
        <f aca="false">ROW(A279)</f>
        <v>279</v>
      </c>
      <c r="C279" s="322" t="s">
        <v>213</v>
      </c>
      <c r="D279" s="323" t="n">
        <f aca="false">SUM(B282:Y282)</f>
        <v>2058.37</v>
      </c>
      <c r="E279" s="322" t="s">
        <v>214</v>
      </c>
      <c r="F279" s="324" t="n">
        <f aca="false">D279/g/J279</f>
        <v>203.120667315983</v>
      </c>
      <c r="G279" s="322" t="s">
        <v>215</v>
      </c>
      <c r="H279" s="340" t="n">
        <v>1.685</v>
      </c>
      <c r="I279" s="322" t="s">
        <v>226</v>
      </c>
      <c r="J279" s="325" t="n">
        <f aca="false">H279-L279</f>
        <v>1.033</v>
      </c>
      <c r="K279" s="322" t="s">
        <v>227</v>
      </c>
      <c r="L279" s="340" t="n">
        <v>0.652</v>
      </c>
      <c r="M279" s="322" t="s">
        <v>218</v>
      </c>
      <c r="N279" s="341" t="n">
        <v>250</v>
      </c>
      <c r="O279" s="322" t="s">
        <v>219</v>
      </c>
      <c r="P279" s="341" t="n">
        <v>240</v>
      </c>
      <c r="Q279" s="322" t="s">
        <v>220</v>
      </c>
      <c r="R279" s="341" t="n">
        <v>488</v>
      </c>
      <c r="S279" s="322" t="s">
        <v>221</v>
      </c>
      <c r="T279" s="341" t="n">
        <v>54</v>
      </c>
      <c r="U279" s="322" t="s">
        <v>8</v>
      </c>
      <c r="V279" s="342" t="s">
        <v>79</v>
      </c>
      <c r="W279" s="337"/>
      <c r="X279" s="337"/>
      <c r="Y279" s="337"/>
    </row>
    <row r="280" customFormat="false" ht="12" hidden="false" customHeight="false" outlineLevel="0" collapsed="false">
      <c r="A280" s="320" t="s">
        <v>228</v>
      </c>
      <c r="B280" s="343" t="n">
        <v>0</v>
      </c>
      <c r="C280" s="344" t="n">
        <v>0.05</v>
      </c>
      <c r="D280" s="344" t="n">
        <v>0.5</v>
      </c>
      <c r="E280" s="344" t="n">
        <v>1</v>
      </c>
      <c r="F280" s="344" t="n">
        <v>1.5</v>
      </c>
      <c r="G280" s="344" t="n">
        <v>2</v>
      </c>
      <c r="H280" s="344" t="n">
        <v>2.5</v>
      </c>
      <c r="I280" s="344" t="n">
        <v>2.97</v>
      </c>
      <c r="J280" s="344" t="n">
        <v>3.2</v>
      </c>
      <c r="K280" s="344" t="n">
        <v>3.47</v>
      </c>
      <c r="L280" s="344" t="n">
        <v>3.59</v>
      </c>
      <c r="M280" s="344" t="n">
        <v>3.59</v>
      </c>
      <c r="N280" s="344" t="n">
        <v>3.59</v>
      </c>
      <c r="O280" s="344" t="n">
        <v>3.59</v>
      </c>
      <c r="P280" s="344" t="n">
        <v>3.59</v>
      </c>
      <c r="Q280" s="344" t="n">
        <v>3.59</v>
      </c>
      <c r="R280" s="344" t="n">
        <v>3.59</v>
      </c>
      <c r="S280" s="344" t="n">
        <v>3.59</v>
      </c>
      <c r="T280" s="344" t="n">
        <v>3.59</v>
      </c>
      <c r="U280" s="344" t="n">
        <v>3.59</v>
      </c>
      <c r="V280" s="344" t="n">
        <v>3.59</v>
      </c>
      <c r="W280" s="344" t="n">
        <v>3.59</v>
      </c>
      <c r="X280" s="344" t="n">
        <v>3.59</v>
      </c>
      <c r="Y280" s="332" t="n">
        <v>1000</v>
      </c>
    </row>
    <row r="281" customFormat="false" ht="12" hidden="false" customHeight="false" outlineLevel="0" collapsed="false">
      <c r="A281" s="345" t="s">
        <v>229</v>
      </c>
      <c r="B281" s="346" t="n">
        <v>0</v>
      </c>
      <c r="C281" s="347" t="n">
        <v>893</v>
      </c>
      <c r="D281" s="347" t="n">
        <v>798</v>
      </c>
      <c r="E281" s="347" t="n">
        <v>739</v>
      </c>
      <c r="F281" s="347" t="n">
        <v>659</v>
      </c>
      <c r="G281" s="347" t="n">
        <v>586</v>
      </c>
      <c r="H281" s="347" t="n">
        <v>513</v>
      </c>
      <c r="I281" s="347" t="n">
        <v>417</v>
      </c>
      <c r="J281" s="347" t="n">
        <v>225</v>
      </c>
      <c r="K281" s="347" t="n">
        <v>67</v>
      </c>
      <c r="L281" s="347" t="n">
        <v>0</v>
      </c>
      <c r="M281" s="347" t="n">
        <v>0</v>
      </c>
      <c r="N281" s="347" t="n">
        <v>0</v>
      </c>
      <c r="O281" s="347" t="n">
        <v>0</v>
      </c>
      <c r="P281" s="347" t="n">
        <v>0</v>
      </c>
      <c r="Q281" s="347" t="n">
        <v>0</v>
      </c>
      <c r="R281" s="347" t="n">
        <v>0</v>
      </c>
      <c r="S281" s="347" t="n">
        <v>0</v>
      </c>
      <c r="T281" s="347" t="n">
        <v>0</v>
      </c>
      <c r="U281" s="347" t="n">
        <v>0</v>
      </c>
      <c r="V281" s="347" t="n">
        <v>0</v>
      </c>
      <c r="W281" s="347" t="n">
        <v>0</v>
      </c>
      <c r="X281" s="347" t="n">
        <v>0</v>
      </c>
      <c r="Y281" s="348" t="n">
        <v>0</v>
      </c>
    </row>
    <row r="282" customFormat="false" ht="12.75" hidden="false" customHeight="false" outlineLevel="0" collapsed="false">
      <c r="A282" s="359" t="s">
        <v>230</v>
      </c>
      <c r="B282" s="349" t="n">
        <f aca="false">(C281+B281)*(C280-B280)/2</f>
        <v>22.325</v>
      </c>
      <c r="C282" s="350" t="n">
        <f aca="false">(D281+C281)*(D280-C280)/2</f>
        <v>380.475</v>
      </c>
      <c r="D282" s="350" t="n">
        <f aca="false">(E281+D281)*(E280-D280)/2</f>
        <v>384.25</v>
      </c>
      <c r="E282" s="350" t="n">
        <f aca="false">(F281+E281)*(F280-E280)/2</f>
        <v>349.5</v>
      </c>
      <c r="F282" s="350" t="n">
        <f aca="false">(G281+F281)*(G280-F280)/2</f>
        <v>311.25</v>
      </c>
      <c r="G282" s="350" t="n">
        <f aca="false">(H281+G281)*(H280-G280)/2</f>
        <v>274.75</v>
      </c>
      <c r="H282" s="350" t="n">
        <f aca="false">(I281+H281)*(I280-H280)/2</f>
        <v>218.55</v>
      </c>
      <c r="I282" s="350" t="n">
        <f aca="false">(J281+I281)*(J280-I280)/2</f>
        <v>73.83</v>
      </c>
      <c r="J282" s="350" t="n">
        <f aca="false">(K281+J281)*(K280-J280)/2</f>
        <v>39.42</v>
      </c>
      <c r="K282" s="350" t="n">
        <f aca="false">(L281+K281)*(L280-K280)/2</f>
        <v>4.01999999999999</v>
      </c>
      <c r="L282" s="350" t="n">
        <f aca="false">(M281+L281)*(M280-L280)/2</f>
        <v>0</v>
      </c>
      <c r="M282" s="350" t="n">
        <f aca="false">(N281+M281)*(N280-M280)/2</f>
        <v>0</v>
      </c>
      <c r="N282" s="350" t="n">
        <f aca="false">(O281+N281)*(O280-N280)/2</f>
        <v>0</v>
      </c>
      <c r="O282" s="350" t="n">
        <f aca="false">(P281+O281)*(P280-O280)/2</f>
        <v>0</v>
      </c>
      <c r="P282" s="350" t="n">
        <f aca="false">(Q281+P281)*(Q280-P280)/2</f>
        <v>0</v>
      </c>
      <c r="Q282" s="350" t="n">
        <f aca="false">(R281+Q281)*(R280-Q280)/2</f>
        <v>0</v>
      </c>
      <c r="R282" s="350" t="n">
        <f aca="false">(S281+R281)*(S280-R280)/2</f>
        <v>0</v>
      </c>
      <c r="S282" s="350" t="n">
        <f aca="false">(T281+S281)*(T280-S280)/2</f>
        <v>0</v>
      </c>
      <c r="T282" s="350" t="n">
        <f aca="false">(U281+T281)*(U280-T280)/2</f>
        <v>0</v>
      </c>
      <c r="U282" s="350" t="n">
        <f aca="false">(V281+U281)*(V280-U280)/2</f>
        <v>0</v>
      </c>
      <c r="V282" s="350" t="n">
        <f aca="false">(W281+V281)*(W280-V280)/2</f>
        <v>0</v>
      </c>
      <c r="W282" s="350" t="n">
        <f aca="false">(X281+W281)*(X280-W280)/2</f>
        <v>0</v>
      </c>
      <c r="X282" s="350" t="n">
        <f aca="false">(Y281+X281)*(Y280-X280)/2</f>
        <v>0</v>
      </c>
      <c r="Y282" s="336"/>
    </row>
    <row r="283" customFormat="false" ht="12.75" hidden="false" customHeight="false" outlineLevel="0" collapsed="false">
      <c r="B283" s="337"/>
      <c r="C283" s="337"/>
      <c r="D283" s="337"/>
      <c r="E283" s="337"/>
      <c r="F283" s="337"/>
      <c r="G283" s="337"/>
      <c r="H283" s="337"/>
      <c r="I283" s="337"/>
      <c r="J283" s="337"/>
      <c r="K283" s="337"/>
      <c r="L283" s="337"/>
      <c r="M283" s="337"/>
      <c r="N283" s="337"/>
      <c r="O283" s="337"/>
      <c r="P283" s="337"/>
      <c r="Q283" s="337"/>
      <c r="R283" s="337"/>
      <c r="S283" s="337"/>
      <c r="T283" s="337"/>
      <c r="U283" s="337"/>
      <c r="V283" s="337"/>
      <c r="W283" s="337"/>
      <c r="X283" s="337"/>
      <c r="Y283" s="337"/>
    </row>
    <row r="284" customFormat="false" ht="13.5" hidden="false" customHeight="false" outlineLevel="0" collapsed="false">
      <c r="A284" s="338" t="s">
        <v>296</v>
      </c>
      <c r="B284" s="339" t="n">
        <f aca="false">ROW(A284)</f>
        <v>284</v>
      </c>
      <c r="C284" s="322" t="s">
        <v>213</v>
      </c>
      <c r="D284" s="323" t="n">
        <f aca="false">SUM(B287:Y287)</f>
        <v>2486.042</v>
      </c>
      <c r="E284" s="322" t="s">
        <v>214</v>
      </c>
      <c r="F284" s="324" t="n">
        <f aca="false">D284/g/J284</f>
        <v>199.542648912005</v>
      </c>
      <c r="G284" s="322" t="s">
        <v>215</v>
      </c>
      <c r="H284" s="340" t="n">
        <v>2.59</v>
      </c>
      <c r="I284" s="322" t="s">
        <v>226</v>
      </c>
      <c r="J284" s="325" t="n">
        <f aca="false">H284-L284</f>
        <v>1.27</v>
      </c>
      <c r="K284" s="322" t="s">
        <v>227</v>
      </c>
      <c r="L284" s="340" t="n">
        <v>1.32</v>
      </c>
      <c r="M284" s="322" t="s">
        <v>218</v>
      </c>
      <c r="N284" s="341" t="n">
        <v>175</v>
      </c>
      <c r="O284" s="322" t="s">
        <v>219</v>
      </c>
      <c r="P284" s="341" t="n">
        <v>175</v>
      </c>
      <c r="Q284" s="322" t="s">
        <v>220</v>
      </c>
      <c r="R284" s="341" t="n">
        <v>350</v>
      </c>
      <c r="S284" s="322" t="s">
        <v>221</v>
      </c>
      <c r="T284" s="341" t="n">
        <v>75</v>
      </c>
      <c r="U284" s="322" t="s">
        <v>8</v>
      </c>
      <c r="V284" s="342" t="s">
        <v>79</v>
      </c>
      <c r="W284" s="337"/>
      <c r="X284" s="337"/>
      <c r="Y284" s="337"/>
    </row>
    <row r="285" customFormat="false" ht="12" hidden="false" customHeight="false" outlineLevel="0" collapsed="false">
      <c r="A285" s="320" t="s">
        <v>228</v>
      </c>
      <c r="B285" s="343" t="n">
        <v>0</v>
      </c>
      <c r="C285" s="344" t="n">
        <v>0.04</v>
      </c>
      <c r="D285" s="344" t="n">
        <v>0.07</v>
      </c>
      <c r="E285" s="344" t="n">
        <v>0.1</v>
      </c>
      <c r="F285" s="344" t="n">
        <v>0.21</v>
      </c>
      <c r="G285" s="344" t="n">
        <v>0.35</v>
      </c>
      <c r="H285" s="344" t="n">
        <v>0.53</v>
      </c>
      <c r="I285" s="344" t="n">
        <v>0.82</v>
      </c>
      <c r="J285" s="344" t="n">
        <v>1.18</v>
      </c>
      <c r="K285" s="344" t="n">
        <v>1.72</v>
      </c>
      <c r="L285" s="344" t="n">
        <v>2.15</v>
      </c>
      <c r="M285" s="344" t="n">
        <v>2.39</v>
      </c>
      <c r="N285" s="344" t="n">
        <v>2.9</v>
      </c>
      <c r="O285" s="344" t="n">
        <v>3.07</v>
      </c>
      <c r="P285" s="344" t="n">
        <v>3.56</v>
      </c>
      <c r="Q285" s="344" t="n">
        <v>3.98</v>
      </c>
      <c r="R285" s="344" t="n">
        <v>4.32</v>
      </c>
      <c r="S285" s="344" t="n">
        <v>4.48</v>
      </c>
      <c r="T285" s="344" t="n">
        <v>4.6</v>
      </c>
      <c r="U285" s="344" t="n">
        <v>4.65</v>
      </c>
      <c r="V285" s="344" t="n">
        <v>4.8</v>
      </c>
      <c r="W285" s="344" t="n">
        <v>4.83</v>
      </c>
      <c r="X285" s="344" t="n">
        <v>4.84</v>
      </c>
      <c r="Y285" s="332" t="n">
        <v>1000</v>
      </c>
    </row>
    <row r="286" customFormat="false" ht="12" hidden="false" customHeight="false" outlineLevel="0" collapsed="false">
      <c r="A286" s="345" t="s">
        <v>229</v>
      </c>
      <c r="B286" s="346" t="n">
        <v>0</v>
      </c>
      <c r="C286" s="347" t="n">
        <v>394.4</v>
      </c>
      <c r="D286" s="347" t="n">
        <v>617.7</v>
      </c>
      <c r="E286" s="347" t="n">
        <v>645.1</v>
      </c>
      <c r="F286" s="347" t="n">
        <v>658.2</v>
      </c>
      <c r="G286" s="347" t="n">
        <v>669.2</v>
      </c>
      <c r="H286" s="347" t="n">
        <v>667.7</v>
      </c>
      <c r="I286" s="347" t="n">
        <v>661.6</v>
      </c>
      <c r="J286" s="347" t="n">
        <v>626.9</v>
      </c>
      <c r="K286" s="347" t="n">
        <v>588.5</v>
      </c>
      <c r="L286" s="347" t="n">
        <v>557.7</v>
      </c>
      <c r="M286" s="347" t="n">
        <v>542.3</v>
      </c>
      <c r="N286" s="347" t="n">
        <v>492.9</v>
      </c>
      <c r="O286" s="347" t="n">
        <v>470.3</v>
      </c>
      <c r="P286" s="347" t="n">
        <v>426.8</v>
      </c>
      <c r="Q286" s="347" t="n">
        <v>399</v>
      </c>
      <c r="R286" s="347" t="n">
        <v>394</v>
      </c>
      <c r="S286" s="347" t="n">
        <v>380.6</v>
      </c>
      <c r="T286" s="347" t="n">
        <v>364.2</v>
      </c>
      <c r="U286" s="347" t="n">
        <v>290.9</v>
      </c>
      <c r="V286" s="347" t="n">
        <v>91.2</v>
      </c>
      <c r="W286" s="347" t="n">
        <v>45.8</v>
      </c>
      <c r="X286" s="347" t="n">
        <v>0</v>
      </c>
      <c r="Y286" s="348" t="n">
        <v>0</v>
      </c>
    </row>
    <row r="287" customFormat="false" ht="12.75" hidden="false" customHeight="false" outlineLevel="0" collapsed="false">
      <c r="A287" s="333" t="s">
        <v>230</v>
      </c>
      <c r="B287" s="349" t="n">
        <f aca="false">(C286+B286)*(C285-B285)/2</f>
        <v>7.888</v>
      </c>
      <c r="C287" s="350" t="n">
        <f aca="false">(D286+C286)*(D285-C285)/2</f>
        <v>15.1815</v>
      </c>
      <c r="D287" s="350" t="n">
        <f aca="false">(E286+D286)*(E285-D285)/2</f>
        <v>18.942</v>
      </c>
      <c r="E287" s="350" t="n">
        <f aca="false">(F286+E286)*(F285-E285)/2</f>
        <v>71.6815</v>
      </c>
      <c r="F287" s="350" t="n">
        <f aca="false">(G286+F286)*(G285-F285)/2</f>
        <v>92.918</v>
      </c>
      <c r="G287" s="350" t="n">
        <f aca="false">(H286+G286)*(H285-G285)/2</f>
        <v>120.321</v>
      </c>
      <c r="H287" s="350" t="n">
        <f aca="false">(I286+H286)*(I285-H285)/2</f>
        <v>192.7485</v>
      </c>
      <c r="I287" s="350" t="n">
        <f aca="false">(J286+I286)*(J285-I285)/2</f>
        <v>231.93</v>
      </c>
      <c r="J287" s="350" t="n">
        <f aca="false">(K286+J286)*(K285-J285)/2</f>
        <v>328.158</v>
      </c>
      <c r="K287" s="350" t="n">
        <f aca="false">(L286+K286)*(L285-K285)/2</f>
        <v>246.433</v>
      </c>
      <c r="L287" s="350" t="n">
        <f aca="false">(M286+L286)*(M285-L285)/2</f>
        <v>132</v>
      </c>
      <c r="M287" s="350" t="n">
        <f aca="false">(N286+M286)*(N285-M285)/2</f>
        <v>263.976</v>
      </c>
      <c r="N287" s="350" t="n">
        <f aca="false">(O286+N286)*(O285-N285)/2</f>
        <v>81.872</v>
      </c>
      <c r="O287" s="350" t="n">
        <f aca="false">(P286+O286)*(P285-O285)/2</f>
        <v>219.7895</v>
      </c>
      <c r="P287" s="350" t="n">
        <f aca="false">(Q286+P286)*(Q285-P285)/2</f>
        <v>173.418</v>
      </c>
      <c r="Q287" s="350" t="n">
        <f aca="false">(R286+Q286)*(R285-Q285)/2</f>
        <v>134.81</v>
      </c>
      <c r="R287" s="350" t="n">
        <f aca="false">(S286+R286)*(S285-R285)/2</f>
        <v>61.9680000000001</v>
      </c>
      <c r="S287" s="350" t="n">
        <f aca="false">(T286+S286)*(T285-S285)/2</f>
        <v>44.6879999999997</v>
      </c>
      <c r="T287" s="350" t="n">
        <f aca="false">(U286+T286)*(U285-T285)/2</f>
        <v>16.3775000000002</v>
      </c>
      <c r="U287" s="350" t="n">
        <f aca="false">(V286+U286)*(V285-U285)/2</f>
        <v>28.6574999999999</v>
      </c>
      <c r="V287" s="350" t="n">
        <f aca="false">(W286+V286)*(W285-V285)/2</f>
        <v>2.05500000000002</v>
      </c>
      <c r="W287" s="350" t="n">
        <f aca="false">(X286+W286)*(X285-W285)/2</f>
        <v>0.228999999999995</v>
      </c>
      <c r="X287" s="350" t="n">
        <f aca="false">(Y286+X286)*(Y285-X285)/2</f>
        <v>0</v>
      </c>
      <c r="Y287" s="336"/>
    </row>
    <row r="288" customFormat="false" ht="12.75" hidden="false" customHeight="false" outlineLevel="0" collapsed="false">
      <c r="A288" s="337"/>
      <c r="L288" s="337"/>
      <c r="M288" s="337"/>
      <c r="N288" s="337"/>
      <c r="O288" s="337"/>
      <c r="P288" s="337"/>
      <c r="Q288" s="337"/>
      <c r="R288" s="337"/>
      <c r="S288" s="337"/>
      <c r="T288" s="337"/>
      <c r="U288" s="337"/>
      <c r="V288" s="337"/>
      <c r="W288" s="337"/>
      <c r="X288" s="337"/>
      <c r="Y288" s="337"/>
    </row>
    <row r="289" customFormat="false" ht="13.5" hidden="false" customHeight="false" outlineLevel="0" collapsed="false">
      <c r="A289" s="338" t="s">
        <v>297</v>
      </c>
      <c r="B289" s="339" t="n">
        <f aca="false">ROW(A289)</f>
        <v>289</v>
      </c>
      <c r="C289" s="322" t="s">
        <v>213</v>
      </c>
      <c r="D289" s="323" t="n">
        <f aca="false">SUM(B292:Y292)</f>
        <v>3739.0285</v>
      </c>
      <c r="E289" s="322" t="s">
        <v>214</v>
      </c>
      <c r="F289" s="324" t="n">
        <f aca="false">D289/g/J289</f>
        <v>203.494179044123</v>
      </c>
      <c r="G289" s="322" t="s">
        <v>215</v>
      </c>
      <c r="H289" s="340" t="n">
        <v>3.511</v>
      </c>
      <c r="I289" s="322" t="s">
        <v>226</v>
      </c>
      <c r="J289" s="325" t="n">
        <f aca="false">H289-L289</f>
        <v>1.873</v>
      </c>
      <c r="K289" s="322" t="s">
        <v>227</v>
      </c>
      <c r="L289" s="340" t="n">
        <v>1.638</v>
      </c>
      <c r="M289" s="322" t="s">
        <v>218</v>
      </c>
      <c r="N289" s="341" t="n">
        <v>243</v>
      </c>
      <c r="O289" s="322" t="s">
        <v>219</v>
      </c>
      <c r="P289" s="341" t="n">
        <v>243</v>
      </c>
      <c r="Q289" s="322" t="s">
        <v>220</v>
      </c>
      <c r="R289" s="341" t="n">
        <v>486</v>
      </c>
      <c r="S289" s="322" t="s">
        <v>221</v>
      </c>
      <c r="T289" s="341" t="n">
        <v>75</v>
      </c>
      <c r="U289" s="322" t="s">
        <v>8</v>
      </c>
      <c r="V289" s="342" t="s">
        <v>79</v>
      </c>
      <c r="W289" s="337"/>
      <c r="X289" s="337"/>
      <c r="Y289" s="337"/>
    </row>
    <row r="290" customFormat="false" ht="12" hidden="false" customHeight="false" outlineLevel="0" collapsed="false">
      <c r="A290" s="320" t="s">
        <v>228</v>
      </c>
      <c r="B290" s="343" t="n">
        <v>0</v>
      </c>
      <c r="C290" s="344" t="n">
        <v>0.01</v>
      </c>
      <c r="D290" s="344" t="n">
        <v>0.1</v>
      </c>
      <c r="E290" s="344" t="n">
        <v>0.12</v>
      </c>
      <c r="F290" s="344" t="n">
        <v>0.26</v>
      </c>
      <c r="G290" s="344" t="n">
        <v>0.71</v>
      </c>
      <c r="H290" s="344" t="n">
        <v>1.28</v>
      </c>
      <c r="I290" s="344" t="n">
        <v>2.05</v>
      </c>
      <c r="J290" s="344" t="n">
        <v>2.41</v>
      </c>
      <c r="K290" s="344" t="n">
        <v>2.83</v>
      </c>
      <c r="L290" s="344" t="n">
        <v>3.25</v>
      </c>
      <c r="M290" s="344" t="n">
        <v>3.65</v>
      </c>
      <c r="N290" s="344" t="n">
        <v>3.8</v>
      </c>
      <c r="O290" s="344" t="n">
        <v>4</v>
      </c>
      <c r="P290" s="344" t="n">
        <v>4.1</v>
      </c>
      <c r="Q290" s="344" t="n">
        <v>4.19</v>
      </c>
      <c r="R290" s="344" t="n">
        <v>4.31</v>
      </c>
      <c r="S290" s="344" t="n">
        <v>4.41</v>
      </c>
      <c r="T290" s="344" t="n">
        <v>4.52</v>
      </c>
      <c r="U290" s="344" t="n">
        <v>4.6</v>
      </c>
      <c r="V290" s="344" t="n">
        <v>4.65</v>
      </c>
      <c r="W290" s="344" t="n">
        <v>4.67</v>
      </c>
      <c r="X290" s="344" t="n">
        <v>4.68</v>
      </c>
      <c r="Y290" s="332" t="n">
        <v>1000</v>
      </c>
    </row>
    <row r="291" customFormat="false" ht="12" hidden="false" customHeight="false" outlineLevel="0" collapsed="false">
      <c r="A291" s="345" t="s">
        <v>229</v>
      </c>
      <c r="B291" s="346" t="n">
        <v>27</v>
      </c>
      <c r="C291" s="347" t="n">
        <v>402.4</v>
      </c>
      <c r="D291" s="347" t="n">
        <v>1286</v>
      </c>
      <c r="E291" s="347" t="n">
        <v>1257</v>
      </c>
      <c r="F291" s="347" t="n">
        <v>1042</v>
      </c>
      <c r="G291" s="347" t="n">
        <v>1027</v>
      </c>
      <c r="H291" s="347" t="n">
        <v>998.4</v>
      </c>
      <c r="I291" s="347" t="n">
        <v>901.4</v>
      </c>
      <c r="J291" s="347" t="n">
        <v>849.6</v>
      </c>
      <c r="K291" s="347" t="n">
        <v>763.5</v>
      </c>
      <c r="L291" s="347" t="n">
        <v>707.1</v>
      </c>
      <c r="M291" s="347" t="n">
        <v>655.1</v>
      </c>
      <c r="N291" s="347" t="n">
        <v>651.7</v>
      </c>
      <c r="O291" s="347" t="n">
        <v>624.1</v>
      </c>
      <c r="P291" s="347" t="n">
        <v>601.3</v>
      </c>
      <c r="Q291" s="347" t="n">
        <v>536.2</v>
      </c>
      <c r="R291" s="347" t="n">
        <v>415.7</v>
      </c>
      <c r="S291" s="347" t="n">
        <v>270.2</v>
      </c>
      <c r="T291" s="347" t="n">
        <v>140.2</v>
      </c>
      <c r="U291" s="347" t="n">
        <v>76.9</v>
      </c>
      <c r="V291" s="347" t="n">
        <v>54.9</v>
      </c>
      <c r="W291" s="347" t="n">
        <v>40.2</v>
      </c>
      <c r="X291" s="347" t="n">
        <v>0</v>
      </c>
      <c r="Y291" s="348" t="n">
        <v>0</v>
      </c>
    </row>
    <row r="292" customFormat="false" ht="12.75" hidden="false" customHeight="false" outlineLevel="0" collapsed="false">
      <c r="A292" s="333" t="s">
        <v>230</v>
      </c>
      <c r="B292" s="349" t="n">
        <f aca="false">(C291+B291)*(C290-B290)/2</f>
        <v>2.147</v>
      </c>
      <c r="C292" s="350" t="n">
        <f aca="false">(D291+C291)*(D290-C290)/2</f>
        <v>75.978</v>
      </c>
      <c r="D292" s="350" t="n">
        <f aca="false">(E291+D291)*(E290-D290)/2</f>
        <v>25.43</v>
      </c>
      <c r="E292" s="350" t="n">
        <f aca="false">(F291+E291)*(F290-E290)/2</f>
        <v>160.93</v>
      </c>
      <c r="F292" s="350" t="n">
        <f aca="false">(G291+F291)*(G290-F290)/2</f>
        <v>465.525</v>
      </c>
      <c r="G292" s="350" t="n">
        <f aca="false">(H291+G291)*(H290-G290)/2</f>
        <v>577.239</v>
      </c>
      <c r="H292" s="350" t="n">
        <f aca="false">(I291+H291)*(I290-H290)/2</f>
        <v>731.423</v>
      </c>
      <c r="I292" s="350" t="n">
        <f aca="false">(J291+I291)*(J290-I290)/2</f>
        <v>315.18</v>
      </c>
      <c r="J292" s="350" t="n">
        <f aca="false">(K291+J291)*(K290-J290)/2</f>
        <v>338.751</v>
      </c>
      <c r="K292" s="350" t="n">
        <f aca="false">(L291+K291)*(L290-K290)/2</f>
        <v>308.826</v>
      </c>
      <c r="L292" s="350" t="n">
        <f aca="false">(M291+L291)*(M290-L290)/2</f>
        <v>272.44</v>
      </c>
      <c r="M292" s="350" t="n">
        <f aca="false">(N291+M291)*(N290-M290)/2</f>
        <v>98.01</v>
      </c>
      <c r="N292" s="350" t="n">
        <f aca="false">(O291+N291)*(O290-N290)/2</f>
        <v>127.58</v>
      </c>
      <c r="O292" s="350" t="n">
        <f aca="false">(P291+O291)*(P290-O290)/2</f>
        <v>61.2699999999998</v>
      </c>
      <c r="P292" s="350" t="n">
        <f aca="false">(Q291+P291)*(Q290-P290)/2</f>
        <v>51.1875000000004</v>
      </c>
      <c r="Q292" s="350" t="n">
        <f aca="false">(R291+Q291)*(R290-Q290)/2</f>
        <v>57.1139999999996</v>
      </c>
      <c r="R292" s="350" t="n">
        <f aca="false">(S291+R291)*(S290-R290)/2</f>
        <v>34.2950000000002</v>
      </c>
      <c r="S292" s="350" t="n">
        <f aca="false">(T291+S291)*(T290-S290)/2</f>
        <v>22.5719999999999</v>
      </c>
      <c r="T292" s="350" t="n">
        <f aca="false">(U291+T291)*(U290-T290)/2</f>
        <v>8.68400000000001</v>
      </c>
      <c r="U292" s="350" t="n">
        <f aca="false">(V291+U291)*(V290-U290)/2</f>
        <v>3.29500000000005</v>
      </c>
      <c r="V292" s="350" t="n">
        <f aca="false">(W291+V291)*(W290-V290)/2</f>
        <v>0.95099999999998</v>
      </c>
      <c r="W292" s="350" t="n">
        <f aca="false">(X291+W291)*(X290-W290)/2</f>
        <v>0.200999999999996</v>
      </c>
      <c r="X292" s="350" t="n">
        <f aca="false">(Y291+X291)*(Y290-X290)/2</f>
        <v>0</v>
      </c>
      <c r="Y292" s="336"/>
    </row>
    <row r="293" customFormat="false" ht="12.75" hidden="false" customHeight="false" outlineLevel="0" collapsed="false">
      <c r="B293" s="337"/>
      <c r="C293" s="337"/>
      <c r="D293" s="337"/>
      <c r="E293" s="337"/>
      <c r="F293" s="337"/>
      <c r="G293" s="337"/>
      <c r="H293" s="337"/>
      <c r="I293" s="337"/>
      <c r="J293" s="337"/>
      <c r="K293" s="337"/>
      <c r="L293" s="337"/>
      <c r="M293" s="337"/>
      <c r="N293" s="337"/>
      <c r="O293" s="337"/>
      <c r="P293" s="337"/>
      <c r="Q293" s="337"/>
      <c r="R293" s="337"/>
      <c r="S293" s="337"/>
      <c r="T293" s="337"/>
      <c r="U293" s="337"/>
      <c r="V293" s="337"/>
      <c r="W293" s="337"/>
      <c r="X293" s="337"/>
      <c r="Y293" s="337"/>
    </row>
    <row r="294" customFormat="false" ht="13.5" hidden="false" customHeight="false" outlineLevel="0" collapsed="false">
      <c r="A294" s="338" t="s">
        <v>298</v>
      </c>
      <c r="B294" s="339" t="n">
        <f aca="false">ROW(A294)</f>
        <v>294</v>
      </c>
      <c r="C294" s="322" t="s">
        <v>213</v>
      </c>
      <c r="D294" s="323" t="n">
        <f aca="false">SUM(B297:Y297)</f>
        <v>5322.281316</v>
      </c>
      <c r="E294" s="322" t="s">
        <v>214</v>
      </c>
      <c r="F294" s="324" t="n">
        <f aca="false">D294/g/J294</f>
        <v>210.041162103189</v>
      </c>
      <c r="G294" s="322" t="s">
        <v>215</v>
      </c>
      <c r="H294" s="340" t="n">
        <v>4.977</v>
      </c>
      <c r="I294" s="322" t="s">
        <v>226</v>
      </c>
      <c r="J294" s="325" t="n">
        <f aca="false">H294-L294</f>
        <v>2.583</v>
      </c>
      <c r="K294" s="322" t="s">
        <v>227</v>
      </c>
      <c r="L294" s="340" t="n">
        <v>2.394</v>
      </c>
      <c r="M294" s="322" t="s">
        <v>218</v>
      </c>
      <c r="N294" s="341" t="n">
        <v>197</v>
      </c>
      <c r="O294" s="322" t="s">
        <v>219</v>
      </c>
      <c r="P294" s="341" t="n">
        <v>197</v>
      </c>
      <c r="Q294" s="322" t="s">
        <v>220</v>
      </c>
      <c r="R294" s="341" t="n">
        <v>394</v>
      </c>
      <c r="S294" s="322" t="s">
        <v>221</v>
      </c>
      <c r="T294" s="341" t="n">
        <v>98</v>
      </c>
      <c r="U294" s="322" t="s">
        <v>8</v>
      </c>
      <c r="V294" s="342" t="s">
        <v>79</v>
      </c>
      <c r="W294" s="337"/>
      <c r="X294" s="337"/>
      <c r="Y294" s="337"/>
    </row>
    <row r="295" customFormat="false" ht="12" hidden="false" customHeight="false" outlineLevel="0" collapsed="false">
      <c r="A295" s="320" t="s">
        <v>228</v>
      </c>
      <c r="B295" s="343" t="n">
        <v>0</v>
      </c>
      <c r="C295" s="344" t="n">
        <v>0.037</v>
      </c>
      <c r="D295" s="344" t="n">
        <v>0.121</v>
      </c>
      <c r="E295" s="344" t="n">
        <v>0.328</v>
      </c>
      <c r="F295" s="344" t="n">
        <v>1.299</v>
      </c>
      <c r="G295" s="344" t="n">
        <v>1.545</v>
      </c>
      <c r="H295" s="344" t="n">
        <v>1.797</v>
      </c>
      <c r="I295" s="344" t="n">
        <v>1.998</v>
      </c>
      <c r="J295" s="344" t="n">
        <v>2.208</v>
      </c>
      <c r="K295" s="344" t="n">
        <v>2.462</v>
      </c>
      <c r="L295" s="344" t="n">
        <v>2.782</v>
      </c>
      <c r="M295" s="344" t="n">
        <v>3.086</v>
      </c>
      <c r="N295" s="344" t="n">
        <v>3.213</v>
      </c>
      <c r="O295" s="344" t="n">
        <v>3.258</v>
      </c>
      <c r="P295" s="344" t="n">
        <v>3.328</v>
      </c>
      <c r="Q295" s="344" t="n">
        <v>3.383</v>
      </c>
      <c r="R295" s="344" t="n">
        <v>3.428</v>
      </c>
      <c r="S295" s="344" t="n">
        <v>3.5</v>
      </c>
      <c r="T295" s="344" t="n">
        <v>3.5</v>
      </c>
      <c r="U295" s="344" t="n">
        <v>3.5</v>
      </c>
      <c r="V295" s="344" t="n">
        <v>3.5</v>
      </c>
      <c r="W295" s="344" t="n">
        <v>3.5</v>
      </c>
      <c r="X295" s="344" t="n">
        <v>3.5</v>
      </c>
      <c r="Y295" s="332" t="n">
        <v>1000</v>
      </c>
    </row>
    <row r="296" customFormat="false" ht="12" hidden="false" customHeight="false" outlineLevel="0" collapsed="false">
      <c r="A296" s="345" t="s">
        <v>229</v>
      </c>
      <c r="B296" s="346" t="n">
        <v>0</v>
      </c>
      <c r="C296" s="347" t="n">
        <v>1474.12</v>
      </c>
      <c r="D296" s="347" t="n">
        <v>1436.5</v>
      </c>
      <c r="E296" s="347" t="n">
        <v>1523.49</v>
      </c>
      <c r="F296" s="347" t="n">
        <v>1775.06</v>
      </c>
      <c r="G296" s="347" t="n">
        <v>1807.97</v>
      </c>
      <c r="H296" s="347" t="n">
        <v>1807.97</v>
      </c>
      <c r="I296" s="347" t="n">
        <v>1786.81</v>
      </c>
      <c r="J296" s="347" t="n">
        <v>1737.44</v>
      </c>
      <c r="K296" s="347" t="n">
        <v>1572.86</v>
      </c>
      <c r="L296" s="347" t="n">
        <v>1415.34</v>
      </c>
      <c r="M296" s="347" t="n">
        <v>1309.55</v>
      </c>
      <c r="N296" s="347" t="n">
        <v>1290.74</v>
      </c>
      <c r="O296" s="347" t="n">
        <v>1309.55</v>
      </c>
      <c r="P296" s="347" t="n">
        <v>679.459</v>
      </c>
      <c r="Q296" s="347" t="n">
        <v>173.979</v>
      </c>
      <c r="R296" s="347" t="n">
        <v>68.181</v>
      </c>
      <c r="S296" s="347" t="n">
        <v>0</v>
      </c>
      <c r="T296" s="347" t="n">
        <v>0</v>
      </c>
      <c r="U296" s="347" t="n">
        <v>0</v>
      </c>
      <c r="V296" s="347" t="n">
        <v>0</v>
      </c>
      <c r="W296" s="347" t="n">
        <v>0</v>
      </c>
      <c r="X296" s="347" t="n">
        <v>0</v>
      </c>
      <c r="Y296" s="348" t="n">
        <v>0</v>
      </c>
    </row>
    <row r="297" customFormat="false" ht="12.75" hidden="false" customHeight="false" outlineLevel="0" collapsed="false">
      <c r="A297" s="333" t="s">
        <v>230</v>
      </c>
      <c r="B297" s="349" t="n">
        <f aca="false">(C296+B296)*(C295-B295)/2</f>
        <v>27.27122</v>
      </c>
      <c r="C297" s="350" t="n">
        <f aca="false">(D296+C296)*(D295-C295)/2</f>
        <v>122.24604</v>
      </c>
      <c r="D297" s="350" t="n">
        <f aca="false">(E296+D296)*(E295-D295)/2</f>
        <v>306.358965</v>
      </c>
      <c r="E297" s="350" t="n">
        <f aca="false">(F296+E296)*(F295-E295)/2</f>
        <v>1601.446025</v>
      </c>
      <c r="F297" s="350" t="n">
        <f aca="false">(G296+F296)*(G295-F295)/2</f>
        <v>440.71269</v>
      </c>
      <c r="G297" s="350" t="n">
        <f aca="false">(H296+G296)*(H295-G295)/2</f>
        <v>455.60844</v>
      </c>
      <c r="H297" s="350" t="n">
        <f aca="false">(I296+H296)*(I295-H295)/2</f>
        <v>361.27539</v>
      </c>
      <c r="I297" s="350" t="n">
        <f aca="false">(J296+I296)*(J295-I295)/2</f>
        <v>370.04625</v>
      </c>
      <c r="J297" s="350" t="n">
        <f aca="false">(K296+J296)*(K295-J295)/2</f>
        <v>420.4081</v>
      </c>
      <c r="K297" s="350" t="n">
        <f aca="false">(L296+K296)*(L295-K295)/2</f>
        <v>478.112</v>
      </c>
      <c r="L297" s="350" t="n">
        <f aca="false">(M296+L296)*(M295-L295)/2</f>
        <v>414.18328</v>
      </c>
      <c r="M297" s="350" t="n">
        <f aca="false">(N296+M296)*(N295-M295)/2</f>
        <v>165.118415</v>
      </c>
      <c r="N297" s="350" t="n">
        <f aca="false">(O296+N296)*(O295-N295)/2</f>
        <v>58.5065249999999</v>
      </c>
      <c r="O297" s="350" t="n">
        <f aca="false">(P296+O296)*(P295-O295)/2</f>
        <v>69.6153149999998</v>
      </c>
      <c r="P297" s="350" t="n">
        <f aca="false">(Q296+P296)*(Q295-P295)/2</f>
        <v>23.4695450000001</v>
      </c>
      <c r="Q297" s="350" t="n">
        <f aca="false">(R296+Q296)*(R295-Q295)/2</f>
        <v>5.44859999999999</v>
      </c>
      <c r="R297" s="350" t="n">
        <f aca="false">(S296+R296)*(S295-R295)/2</f>
        <v>2.454516</v>
      </c>
      <c r="S297" s="350" t="n">
        <f aca="false">(T296+S296)*(T295-S295)/2</f>
        <v>0</v>
      </c>
      <c r="T297" s="350" t="n">
        <f aca="false">(U296+T296)*(U295-T295)/2</f>
        <v>0</v>
      </c>
      <c r="U297" s="350" t="n">
        <f aca="false">(V296+U296)*(V295-U295)/2</f>
        <v>0</v>
      </c>
      <c r="V297" s="350" t="n">
        <f aca="false">(W296+V296)*(W295-V295)/2</f>
        <v>0</v>
      </c>
      <c r="W297" s="350" t="n">
        <f aca="false">(X296+W296)*(X295-W295)/2</f>
        <v>0</v>
      </c>
      <c r="X297" s="350" t="n">
        <f aca="false">(Y296+X296)*(Y295-X295)/2</f>
        <v>0</v>
      </c>
      <c r="Y297" s="336"/>
    </row>
    <row r="298" customFormat="false" ht="12.75" hidden="false" customHeight="false" outlineLevel="0" collapsed="false">
      <c r="A298" s="337"/>
      <c r="L298" s="337"/>
      <c r="M298" s="337"/>
      <c r="N298" s="337"/>
      <c r="O298" s="337"/>
      <c r="P298" s="337"/>
      <c r="Q298" s="337"/>
      <c r="R298" s="337"/>
      <c r="S298" s="337"/>
      <c r="T298" s="337"/>
      <c r="U298" s="337"/>
      <c r="V298" s="337"/>
      <c r="W298" s="337"/>
      <c r="X298" s="337"/>
      <c r="Y298" s="337"/>
    </row>
    <row r="299" customFormat="false" ht="13.5" hidden="false" customHeight="false" outlineLevel="0" collapsed="false">
      <c r="A299" s="338" t="s">
        <v>299</v>
      </c>
      <c r="B299" s="339" t="n">
        <f aca="false">ROW(A299)</f>
        <v>299</v>
      </c>
      <c r="C299" s="322" t="s">
        <v>213</v>
      </c>
      <c r="D299" s="323" t="n">
        <f aca="false">SUM(B302:Y302)</f>
        <v>7412.437141</v>
      </c>
      <c r="E299" s="322" t="s">
        <v>214</v>
      </c>
      <c r="F299" s="324" t="n">
        <f aca="false">D299/g/J299</f>
        <v>223.28608637999</v>
      </c>
      <c r="G299" s="322" t="s">
        <v>215</v>
      </c>
      <c r="H299" s="340" t="n">
        <v>6.25</v>
      </c>
      <c r="I299" s="322" t="s">
        <v>226</v>
      </c>
      <c r="J299" s="325" t="n">
        <f aca="false">H299-L299</f>
        <v>3.384</v>
      </c>
      <c r="K299" s="322" t="s">
        <v>227</v>
      </c>
      <c r="L299" s="340" t="n">
        <v>2.866</v>
      </c>
      <c r="M299" s="322" t="s">
        <v>218</v>
      </c>
      <c r="N299" s="341" t="n">
        <v>290</v>
      </c>
      <c r="O299" s="322" t="s">
        <v>219</v>
      </c>
      <c r="P299" s="341" t="n">
        <v>290</v>
      </c>
      <c r="Q299" s="322" t="s">
        <v>220</v>
      </c>
      <c r="R299" s="341" t="n">
        <v>579</v>
      </c>
      <c r="S299" s="322" t="s">
        <v>221</v>
      </c>
      <c r="T299" s="341" t="n">
        <v>98</v>
      </c>
      <c r="U299" s="322" t="s">
        <v>8</v>
      </c>
      <c r="V299" s="342" t="s">
        <v>79</v>
      </c>
      <c r="W299" s="337"/>
      <c r="X299" s="337"/>
      <c r="Y299" s="337"/>
    </row>
    <row r="300" customFormat="false" ht="12" hidden="false" customHeight="false" outlineLevel="0" collapsed="false">
      <c r="A300" s="320" t="s">
        <v>228</v>
      </c>
      <c r="B300" s="343" t="n">
        <v>0</v>
      </c>
      <c r="C300" s="344" t="n">
        <v>0.017</v>
      </c>
      <c r="D300" s="344" t="n">
        <v>0.052</v>
      </c>
      <c r="E300" s="344" t="n">
        <v>0.088</v>
      </c>
      <c r="F300" s="344" t="n">
        <v>0.108</v>
      </c>
      <c r="G300" s="344" t="n">
        <v>0.127</v>
      </c>
      <c r="H300" s="344" t="n">
        <v>0.174</v>
      </c>
      <c r="I300" s="344" t="n">
        <v>0.257</v>
      </c>
      <c r="J300" s="344" t="n">
        <v>0.403</v>
      </c>
      <c r="K300" s="344" t="n">
        <v>0.762</v>
      </c>
      <c r="L300" s="344" t="n">
        <v>0.977</v>
      </c>
      <c r="M300" s="344" t="n">
        <v>1.341</v>
      </c>
      <c r="N300" s="344" t="n">
        <v>1.501</v>
      </c>
      <c r="O300" s="344" t="n">
        <v>1.661</v>
      </c>
      <c r="P300" s="344" t="n">
        <v>1.96</v>
      </c>
      <c r="Q300" s="344" t="n">
        <v>2.404</v>
      </c>
      <c r="R300" s="344" t="n">
        <v>2.641</v>
      </c>
      <c r="S300" s="344" t="n">
        <v>2.716</v>
      </c>
      <c r="T300" s="344" t="n">
        <v>2.821</v>
      </c>
      <c r="U300" s="344" t="n">
        <v>2.892</v>
      </c>
      <c r="V300" s="344" t="n">
        <v>2.92</v>
      </c>
      <c r="W300" s="344" t="n">
        <v>2.97</v>
      </c>
      <c r="X300" s="344" t="n">
        <v>3</v>
      </c>
      <c r="Y300" s="332" t="n">
        <v>1000</v>
      </c>
    </row>
    <row r="301" customFormat="false" ht="12" hidden="false" customHeight="false" outlineLevel="0" collapsed="false">
      <c r="A301" s="345" t="s">
        <v>229</v>
      </c>
      <c r="B301" s="346" t="n">
        <v>0</v>
      </c>
      <c r="C301" s="347" t="n">
        <v>329.847</v>
      </c>
      <c r="D301" s="347" t="n">
        <v>1003.68</v>
      </c>
      <c r="E301" s="347" t="n">
        <v>2346.62</v>
      </c>
      <c r="F301" s="347" t="n">
        <v>2549.24</v>
      </c>
      <c r="G301" s="347" t="n">
        <v>2605.79</v>
      </c>
      <c r="H301" s="347" t="n">
        <v>2520.97</v>
      </c>
      <c r="I301" s="347" t="n">
        <v>2516.26</v>
      </c>
      <c r="J301" s="347" t="n">
        <v>2596.37</v>
      </c>
      <c r="K301" s="347" t="n">
        <v>2808.41</v>
      </c>
      <c r="L301" s="347" t="n">
        <v>2954.49</v>
      </c>
      <c r="M301" s="347" t="n">
        <v>2959.2</v>
      </c>
      <c r="N301" s="347" t="n">
        <v>2907.36</v>
      </c>
      <c r="O301" s="347" t="n">
        <v>2869.67</v>
      </c>
      <c r="P301" s="347" t="n">
        <v>2695.32</v>
      </c>
      <c r="Q301" s="347" t="n">
        <v>2351.34</v>
      </c>
      <c r="R301" s="347" t="n">
        <v>2228.82</v>
      </c>
      <c r="S301" s="347" t="n">
        <v>2007.35</v>
      </c>
      <c r="T301" s="347" t="n">
        <v>1427.77</v>
      </c>
      <c r="U301" s="347" t="n">
        <v>504.194</v>
      </c>
      <c r="V301" s="347" t="n">
        <v>334.559</v>
      </c>
      <c r="W301" s="347" t="n">
        <v>122.515</v>
      </c>
      <c r="X301" s="347" t="n">
        <v>0</v>
      </c>
      <c r="Y301" s="348" t="n">
        <v>0</v>
      </c>
    </row>
    <row r="302" customFormat="false" ht="12.75" hidden="false" customHeight="false" outlineLevel="0" collapsed="false">
      <c r="A302" s="333" t="s">
        <v>230</v>
      </c>
      <c r="B302" s="349" t="n">
        <f aca="false">(C301+B301)*(C300-B300)/2</f>
        <v>2.8036995</v>
      </c>
      <c r="C302" s="350" t="n">
        <f aca="false">(D301+C301)*(D300-C300)/2</f>
        <v>23.3367225</v>
      </c>
      <c r="D302" s="350" t="n">
        <f aca="false">(E301+D301)*(E300-D300)/2</f>
        <v>60.3054</v>
      </c>
      <c r="E302" s="350" t="n">
        <f aca="false">(F301+E301)*(F300-E300)/2</f>
        <v>48.9586</v>
      </c>
      <c r="F302" s="350" t="n">
        <f aca="false">(G301+F301)*(G300-F300)/2</f>
        <v>48.972785</v>
      </c>
      <c r="G302" s="350" t="n">
        <f aca="false">(H301+G301)*(H300-G300)/2</f>
        <v>120.47886</v>
      </c>
      <c r="H302" s="350" t="n">
        <f aca="false">(I301+H301)*(I300-H300)/2</f>
        <v>209.045045</v>
      </c>
      <c r="I302" s="350" t="n">
        <f aca="false">(J301+I301)*(J300-I300)/2</f>
        <v>373.22199</v>
      </c>
      <c r="J302" s="350" t="n">
        <f aca="false">(K301+J301)*(K300-J300)/2</f>
        <v>970.15801</v>
      </c>
      <c r="K302" s="350" t="n">
        <f aca="false">(L301+K301)*(L300-K300)/2</f>
        <v>619.51175</v>
      </c>
      <c r="L302" s="350" t="n">
        <f aca="false">(M301+L301)*(M300-L300)/2</f>
        <v>1076.29158</v>
      </c>
      <c r="M302" s="350" t="n">
        <f aca="false">(N301+M301)*(N300-M300)/2</f>
        <v>469.3248</v>
      </c>
      <c r="N302" s="350" t="n">
        <f aca="false">(O301+N301)*(O300-N300)/2</f>
        <v>462.1624</v>
      </c>
      <c r="O302" s="350" t="n">
        <f aca="false">(P301+O301)*(P300-O300)/2</f>
        <v>831.966005</v>
      </c>
      <c r="P302" s="350" t="n">
        <f aca="false">(Q301+P301)*(Q300-P300)/2</f>
        <v>1120.35852</v>
      </c>
      <c r="Q302" s="350" t="n">
        <f aca="false">(R301+Q301)*(R300-Q300)/2</f>
        <v>542.74896</v>
      </c>
      <c r="R302" s="350" t="n">
        <f aca="false">(S301+R301)*(S300-R300)/2</f>
        <v>158.856375</v>
      </c>
      <c r="S302" s="350" t="n">
        <f aca="false">(T301+S301)*(T300-S300)/2</f>
        <v>180.3438</v>
      </c>
      <c r="T302" s="350" t="n">
        <f aca="false">(U301+T301)*(U300-T300)/2</f>
        <v>68.5847219999997</v>
      </c>
      <c r="U302" s="350" t="n">
        <f aca="false">(V301+U301)*(V300-U300)/2</f>
        <v>11.742542</v>
      </c>
      <c r="V302" s="350" t="n">
        <f aca="false">(W301+V301)*(W300-V300)/2</f>
        <v>11.4268500000001</v>
      </c>
      <c r="W302" s="350" t="n">
        <f aca="false">(X301+W301)*(X300-W300)/2</f>
        <v>1.83772499999999</v>
      </c>
      <c r="X302" s="350" t="n">
        <f aca="false">(Y301+X301)*(Y300-X300)/2</f>
        <v>0</v>
      </c>
      <c r="Y302" s="336"/>
    </row>
    <row r="303" customFormat="false" ht="12.75" hidden="false" customHeight="false" outlineLevel="0" collapsed="false">
      <c r="B303" s="337"/>
      <c r="C303" s="337"/>
      <c r="D303" s="337"/>
      <c r="E303" s="337"/>
      <c r="F303" s="337"/>
      <c r="G303" s="337"/>
      <c r="H303" s="337"/>
      <c r="I303" s="337"/>
      <c r="J303" s="337"/>
      <c r="K303" s="337"/>
      <c r="L303" s="337"/>
      <c r="M303" s="337"/>
      <c r="N303" s="337"/>
      <c r="O303" s="337"/>
      <c r="P303" s="337"/>
      <c r="Q303" s="337"/>
      <c r="R303" s="337"/>
      <c r="S303" s="337"/>
      <c r="T303" s="337"/>
      <c r="U303" s="337"/>
      <c r="V303" s="337"/>
      <c r="W303" s="337"/>
      <c r="X303" s="337"/>
      <c r="Y303" s="337"/>
    </row>
    <row r="304" customFormat="false" ht="13.5" hidden="false" customHeight="false" outlineLevel="0" collapsed="false">
      <c r="A304" s="338" t="s">
        <v>300</v>
      </c>
      <c r="B304" s="339" t="n">
        <f aca="false">ROW(A304)</f>
        <v>304</v>
      </c>
      <c r="C304" s="322" t="s">
        <v>213</v>
      </c>
      <c r="D304" s="323" t="n">
        <f aca="false">SUM(B307:Y307)</f>
        <v>17734.9773505</v>
      </c>
      <c r="E304" s="322" t="s">
        <v>214</v>
      </c>
      <c r="F304" s="324" t="n">
        <f aca="false">D304/g/J304</f>
        <v>192.734203061799</v>
      </c>
      <c r="G304" s="322" t="s">
        <v>215</v>
      </c>
      <c r="H304" s="340" t="n">
        <v>14.748</v>
      </c>
      <c r="I304" s="322" t="s">
        <v>226</v>
      </c>
      <c r="J304" s="325" t="n">
        <f aca="false">H304-L304</f>
        <v>9.38</v>
      </c>
      <c r="K304" s="322" t="s">
        <v>227</v>
      </c>
      <c r="L304" s="340" t="n">
        <v>5.368</v>
      </c>
      <c r="M304" s="322" t="s">
        <v>218</v>
      </c>
      <c r="N304" s="341" t="n">
        <v>500</v>
      </c>
      <c r="O304" s="322" t="s">
        <v>219</v>
      </c>
      <c r="P304" s="341" t="n">
        <v>500</v>
      </c>
      <c r="Q304" s="322" t="s">
        <v>220</v>
      </c>
      <c r="R304" s="341" t="n">
        <v>1046</v>
      </c>
      <c r="S304" s="322" t="s">
        <v>221</v>
      </c>
      <c r="T304" s="341" t="n">
        <v>98</v>
      </c>
      <c r="U304" s="322" t="s">
        <v>8</v>
      </c>
      <c r="V304" s="342" t="s">
        <v>79</v>
      </c>
      <c r="W304" s="337"/>
      <c r="X304" s="337"/>
      <c r="Y304" s="337"/>
    </row>
    <row r="305" customFormat="false" ht="12" hidden="false" customHeight="false" outlineLevel="0" collapsed="false">
      <c r="A305" s="320" t="s">
        <v>228</v>
      </c>
      <c r="B305" s="343" t="n">
        <v>0</v>
      </c>
      <c r="C305" s="344" t="n">
        <v>0.003</v>
      </c>
      <c r="D305" s="344" t="n">
        <v>0.05</v>
      </c>
      <c r="E305" s="344" t="n">
        <v>0.078</v>
      </c>
      <c r="F305" s="344" t="n">
        <v>0.121</v>
      </c>
      <c r="G305" s="344" t="n">
        <v>0.652</v>
      </c>
      <c r="H305" s="344" t="n">
        <v>1.123</v>
      </c>
      <c r="I305" s="344" t="n">
        <v>1.655</v>
      </c>
      <c r="J305" s="344" t="n">
        <v>2.353</v>
      </c>
      <c r="K305" s="344" t="n">
        <v>3.035</v>
      </c>
      <c r="L305" s="344" t="n">
        <v>3.7</v>
      </c>
      <c r="M305" s="344" t="n">
        <v>3.733</v>
      </c>
      <c r="N305" s="344" t="n">
        <v>3.887</v>
      </c>
      <c r="O305" s="344" t="n">
        <v>4.036</v>
      </c>
      <c r="P305" s="344" t="n">
        <v>4.197</v>
      </c>
      <c r="Q305" s="344" t="n">
        <v>4.262</v>
      </c>
      <c r="R305" s="344" t="n">
        <v>4.3</v>
      </c>
      <c r="S305" s="344" t="n">
        <v>5</v>
      </c>
      <c r="T305" s="344" t="n">
        <v>5</v>
      </c>
      <c r="U305" s="344" t="n">
        <v>5</v>
      </c>
      <c r="V305" s="344" t="n">
        <v>5</v>
      </c>
      <c r="W305" s="344" t="n">
        <v>5</v>
      </c>
      <c r="X305" s="344" t="n">
        <v>5</v>
      </c>
      <c r="Y305" s="332" t="n">
        <v>1000</v>
      </c>
    </row>
    <row r="306" customFormat="false" ht="12" hidden="false" customHeight="false" outlineLevel="0" collapsed="false">
      <c r="A306" s="345" t="s">
        <v>229</v>
      </c>
      <c r="B306" s="346" t="n">
        <v>0</v>
      </c>
      <c r="C306" s="347" t="n">
        <v>203.877</v>
      </c>
      <c r="D306" s="347" t="n">
        <v>2362.879</v>
      </c>
      <c r="E306" s="347" t="n">
        <v>3946.845</v>
      </c>
      <c r="F306" s="347" t="n">
        <v>4281.412</v>
      </c>
      <c r="G306" s="347" t="n">
        <v>4370.281</v>
      </c>
      <c r="H306" s="347" t="n">
        <v>4453.923</v>
      </c>
      <c r="I306" s="347" t="n">
        <v>4772.807</v>
      </c>
      <c r="J306" s="347" t="n">
        <v>4621.206</v>
      </c>
      <c r="K306" s="347" t="n">
        <v>4511.427</v>
      </c>
      <c r="L306" s="347" t="n">
        <v>4375.509</v>
      </c>
      <c r="M306" s="347" t="n">
        <v>4182.087</v>
      </c>
      <c r="N306" s="347" t="n">
        <v>2969.282</v>
      </c>
      <c r="O306" s="347" t="n">
        <v>1589.193</v>
      </c>
      <c r="P306" s="347" t="n">
        <v>533.216</v>
      </c>
      <c r="Q306" s="347" t="n">
        <v>240.47</v>
      </c>
      <c r="R306" s="347" t="n">
        <v>0</v>
      </c>
      <c r="S306" s="347" t="n">
        <v>0</v>
      </c>
      <c r="T306" s="347" t="n">
        <v>0</v>
      </c>
      <c r="U306" s="347" t="n">
        <v>0</v>
      </c>
      <c r="V306" s="347" t="n">
        <v>0</v>
      </c>
      <c r="W306" s="347" t="n">
        <v>0</v>
      </c>
      <c r="X306" s="347" t="n">
        <v>0</v>
      </c>
      <c r="Y306" s="348" t="n">
        <v>0</v>
      </c>
    </row>
    <row r="307" customFormat="false" ht="12.75" hidden="false" customHeight="false" outlineLevel="0" collapsed="false">
      <c r="A307" s="333" t="s">
        <v>230</v>
      </c>
      <c r="B307" s="349" t="n">
        <f aca="false">(C306+B306)*(C305-B305)/2</f>
        <v>0.3058155</v>
      </c>
      <c r="C307" s="350" t="n">
        <f aca="false">(D306+C306)*(D305-C305)/2</f>
        <v>60.318766</v>
      </c>
      <c r="D307" s="350" t="n">
        <f aca="false">(E306+D306)*(E305-D305)/2</f>
        <v>88.336136</v>
      </c>
      <c r="E307" s="350" t="n">
        <f aca="false">(F306+E306)*(F305-E305)/2</f>
        <v>176.9075255</v>
      </c>
      <c r="F307" s="350" t="n">
        <f aca="false">(G306+F306)*(G305-F305)/2</f>
        <v>2297.0244915</v>
      </c>
      <c r="G307" s="350" t="n">
        <f aca="false">(H306+G306)*(H305-G305)/2</f>
        <v>2078.100042</v>
      </c>
      <c r="H307" s="350" t="n">
        <f aca="false">(I306+H306)*(I305-H305)/2</f>
        <v>2454.31018</v>
      </c>
      <c r="I307" s="350" t="n">
        <f aca="false">(J306+I306)*(J305-I305)/2</f>
        <v>3278.510537</v>
      </c>
      <c r="J307" s="350" t="n">
        <f aca="false">(K306+J306)*(K305-J305)/2</f>
        <v>3114.227853</v>
      </c>
      <c r="K307" s="350" t="n">
        <f aca="false">(L306+K306)*(L305-K305)/2</f>
        <v>2954.90622</v>
      </c>
      <c r="L307" s="350" t="n">
        <f aca="false">(M306+L306)*(M305-L305)/2</f>
        <v>141.200334</v>
      </c>
      <c r="M307" s="350" t="n">
        <f aca="false">(N306+M306)*(N305-M305)/2</f>
        <v>550.655413</v>
      </c>
      <c r="N307" s="350" t="n">
        <f aca="false">(O306+N306)*(O305-N305)/2</f>
        <v>339.606387499999</v>
      </c>
      <c r="O307" s="350" t="n">
        <f aca="false">(P306+O306)*(P305-O305)/2</f>
        <v>170.853924500001</v>
      </c>
      <c r="P307" s="350" t="n">
        <f aca="false">(Q306+P306)*(Q305-P305)/2</f>
        <v>25.1447949999998</v>
      </c>
      <c r="Q307" s="350" t="n">
        <f aca="false">(R306+Q306)*(R305-Q305)/2</f>
        <v>4.56893000000003</v>
      </c>
      <c r="R307" s="350" t="n">
        <f aca="false">(S306+R306)*(S305-R305)/2</f>
        <v>0</v>
      </c>
      <c r="S307" s="350" t="n">
        <f aca="false">(T306+S306)*(T305-S305)/2</f>
        <v>0</v>
      </c>
      <c r="T307" s="350" t="n">
        <f aca="false">(U306+T306)*(U305-T305)/2</f>
        <v>0</v>
      </c>
      <c r="U307" s="350" t="n">
        <f aca="false">(V306+U306)*(V305-U305)/2</f>
        <v>0</v>
      </c>
      <c r="V307" s="350" t="n">
        <f aca="false">(W306+V306)*(W305-V305)/2</f>
        <v>0</v>
      </c>
      <c r="W307" s="350" t="n">
        <f aca="false">(X306+W306)*(X305-W305)/2</f>
        <v>0</v>
      </c>
      <c r="X307" s="350" t="n">
        <f aca="false">(Y306+X306)*(Y305-X305)/2</f>
        <v>0</v>
      </c>
      <c r="Y307" s="336"/>
    </row>
    <row r="308" customFormat="false" ht="12.75" hidden="false" customHeight="false" outlineLevel="0" collapsed="false">
      <c r="B308" s="337"/>
      <c r="C308" s="337"/>
      <c r="D308" s="337"/>
      <c r="E308" s="337"/>
      <c r="F308" s="337"/>
      <c r="G308" s="337"/>
      <c r="H308" s="337"/>
      <c r="I308" s="337"/>
      <c r="J308" s="337"/>
      <c r="K308" s="337"/>
      <c r="L308" s="337"/>
      <c r="M308" s="337"/>
      <c r="N308" s="337"/>
      <c r="O308" s="337"/>
      <c r="P308" s="337"/>
      <c r="Q308" s="337"/>
      <c r="R308" s="337"/>
      <c r="S308" s="337"/>
      <c r="T308" s="337"/>
      <c r="U308" s="337"/>
      <c r="V308" s="337"/>
      <c r="W308" s="337"/>
      <c r="X308" s="337"/>
      <c r="Y308" s="337"/>
    </row>
    <row r="309" customFormat="false" ht="13.5" hidden="false" customHeight="false" outlineLevel="0" collapsed="false">
      <c r="A309" s="338" t="s">
        <v>301</v>
      </c>
      <c r="B309" s="339" t="n">
        <f aca="false">ROW(A309)</f>
        <v>309</v>
      </c>
      <c r="C309" s="322" t="s">
        <v>213</v>
      </c>
      <c r="D309" s="323" t="n">
        <f aca="false">SUM(B312:Y312)</f>
        <v>0.001</v>
      </c>
      <c r="E309" s="322" t="s">
        <v>214</v>
      </c>
      <c r="F309" s="324" t="n">
        <f aca="false">D309/g/J309</f>
        <v>1.01936799184506</v>
      </c>
      <c r="G309" s="322" t="s">
        <v>215</v>
      </c>
      <c r="H309" s="340" t="n">
        <v>0.0001</v>
      </c>
      <c r="I309" s="322" t="s">
        <v>226</v>
      </c>
      <c r="J309" s="325" t="n">
        <f aca="false">H309-L309</f>
        <v>0.0001</v>
      </c>
      <c r="K309" s="322" t="s">
        <v>227</v>
      </c>
      <c r="L309" s="340" t="n">
        <v>0</v>
      </c>
      <c r="M309" s="322" t="s">
        <v>218</v>
      </c>
      <c r="N309" s="341" t="n">
        <v>0</v>
      </c>
      <c r="O309" s="322" t="s">
        <v>219</v>
      </c>
      <c r="P309" s="341" t="n">
        <v>0</v>
      </c>
      <c r="Q309" s="322" t="s">
        <v>220</v>
      </c>
      <c r="R309" s="341" t="n">
        <v>0</v>
      </c>
      <c r="S309" s="322" t="s">
        <v>221</v>
      </c>
      <c r="T309" s="341" t="n">
        <v>0</v>
      </c>
      <c r="U309" s="322" t="s">
        <v>8</v>
      </c>
      <c r="V309" s="342" t="s">
        <v>79</v>
      </c>
      <c r="W309" s="337"/>
      <c r="X309" s="337"/>
      <c r="Y309" s="337"/>
    </row>
    <row r="310" customFormat="false" ht="12" hidden="false" customHeight="false" outlineLevel="0" collapsed="false">
      <c r="A310" s="320" t="s">
        <v>228</v>
      </c>
      <c r="B310" s="343" t="n">
        <v>0</v>
      </c>
      <c r="C310" s="344" t="n">
        <v>0.1</v>
      </c>
      <c r="D310" s="344" t="n">
        <v>0.2</v>
      </c>
      <c r="E310" s="344" t="n">
        <v>1</v>
      </c>
      <c r="F310" s="344" t="n">
        <v>1</v>
      </c>
      <c r="G310" s="344" t="n">
        <v>1</v>
      </c>
      <c r="H310" s="344" t="n">
        <v>1</v>
      </c>
      <c r="I310" s="344" t="n">
        <v>1</v>
      </c>
      <c r="J310" s="344" t="n">
        <v>1</v>
      </c>
      <c r="K310" s="344" t="n">
        <v>1</v>
      </c>
      <c r="L310" s="344" t="n">
        <v>1</v>
      </c>
      <c r="M310" s="344" t="n">
        <v>1</v>
      </c>
      <c r="N310" s="344" t="n">
        <v>1</v>
      </c>
      <c r="O310" s="344" t="n">
        <v>1</v>
      </c>
      <c r="P310" s="344" t="n">
        <v>1</v>
      </c>
      <c r="Q310" s="344" t="n">
        <v>1</v>
      </c>
      <c r="R310" s="344" t="n">
        <v>1</v>
      </c>
      <c r="S310" s="344" t="n">
        <v>1</v>
      </c>
      <c r="T310" s="344" t="n">
        <v>1</v>
      </c>
      <c r="U310" s="344" t="n">
        <v>1</v>
      </c>
      <c r="V310" s="344" t="n">
        <v>1</v>
      </c>
      <c r="W310" s="344" t="n">
        <v>1</v>
      </c>
      <c r="X310" s="344" t="n">
        <v>1</v>
      </c>
      <c r="Y310" s="332" t="n">
        <v>1000</v>
      </c>
    </row>
    <row r="311" customFormat="false" ht="12" hidden="false" customHeight="false" outlineLevel="0" collapsed="false">
      <c r="A311" s="345" t="s">
        <v>229</v>
      </c>
      <c r="B311" s="346" t="n">
        <v>0</v>
      </c>
      <c r="C311" s="347" t="n">
        <v>0.01</v>
      </c>
      <c r="D311" s="347" t="n">
        <v>0</v>
      </c>
      <c r="E311" s="347" t="n">
        <v>0</v>
      </c>
      <c r="F311" s="347" t="n">
        <v>0</v>
      </c>
      <c r="G311" s="347" t="n">
        <v>0</v>
      </c>
      <c r="H311" s="347" t="n">
        <v>0</v>
      </c>
      <c r="I311" s="347" t="n">
        <v>0</v>
      </c>
      <c r="J311" s="347" t="n">
        <v>0</v>
      </c>
      <c r="K311" s="347" t="n">
        <v>0</v>
      </c>
      <c r="L311" s="347" t="n">
        <v>0</v>
      </c>
      <c r="M311" s="347" t="n">
        <v>0</v>
      </c>
      <c r="N311" s="347" t="n">
        <v>0</v>
      </c>
      <c r="O311" s="347" t="n">
        <v>0</v>
      </c>
      <c r="P311" s="347" t="n">
        <v>0</v>
      </c>
      <c r="Q311" s="347" t="n">
        <v>0</v>
      </c>
      <c r="R311" s="347" t="n">
        <v>0</v>
      </c>
      <c r="S311" s="347" t="n">
        <v>0</v>
      </c>
      <c r="T311" s="347" t="n">
        <v>0</v>
      </c>
      <c r="U311" s="347" t="n">
        <v>0</v>
      </c>
      <c r="V311" s="347" t="n">
        <v>0</v>
      </c>
      <c r="W311" s="347" t="n">
        <v>0</v>
      </c>
      <c r="X311" s="347" t="n">
        <v>0</v>
      </c>
      <c r="Y311" s="348" t="n">
        <v>0</v>
      </c>
    </row>
    <row r="312" customFormat="false" ht="12.75" hidden="false" customHeight="false" outlineLevel="0" collapsed="false">
      <c r="A312" s="333" t="s">
        <v>230</v>
      </c>
      <c r="B312" s="349" t="n">
        <f aca="false">(C311+B311)*(C310-B310)/2</f>
        <v>0.0005</v>
      </c>
      <c r="C312" s="350" t="n">
        <f aca="false">(D311+C311)*(D310-C310)/2</f>
        <v>0.0005</v>
      </c>
      <c r="D312" s="350" t="n">
        <f aca="false">(E311+D311)*(E310-D310)/2</f>
        <v>0</v>
      </c>
      <c r="E312" s="350" t="n">
        <f aca="false">(F311+E311)*(F310-E310)/2</f>
        <v>0</v>
      </c>
      <c r="F312" s="350" t="n">
        <f aca="false">(G311+F311)*(G310-F310)/2</f>
        <v>0</v>
      </c>
      <c r="G312" s="350" t="n">
        <f aca="false">(H311+G311)*(H310-G310)/2</f>
        <v>0</v>
      </c>
      <c r="H312" s="350" t="n">
        <f aca="false">(I311+H311)*(I310-H310)/2</f>
        <v>0</v>
      </c>
      <c r="I312" s="350" t="n">
        <f aca="false">(J311+I311)*(J310-I310)/2</f>
        <v>0</v>
      </c>
      <c r="J312" s="350" t="n">
        <f aca="false">(K311+J311)*(K310-J310)/2</f>
        <v>0</v>
      </c>
      <c r="K312" s="350" t="n">
        <f aca="false">(L311+K311)*(L310-K310)/2</f>
        <v>0</v>
      </c>
      <c r="L312" s="350" t="n">
        <f aca="false">(M311+L311)*(M310-L310)/2</f>
        <v>0</v>
      </c>
      <c r="M312" s="350" t="n">
        <f aca="false">(N311+M311)*(N310-M310)/2</f>
        <v>0</v>
      </c>
      <c r="N312" s="350" t="n">
        <f aca="false">(O311+N311)*(O310-N310)/2</f>
        <v>0</v>
      </c>
      <c r="O312" s="350" t="n">
        <f aca="false">(P311+O311)*(P310-O310)/2</f>
        <v>0</v>
      </c>
      <c r="P312" s="350" t="n">
        <f aca="false">(Q311+P311)*(Q310-P310)/2</f>
        <v>0</v>
      </c>
      <c r="Q312" s="350" t="n">
        <f aca="false">(R311+Q311)*(R310-Q310)/2</f>
        <v>0</v>
      </c>
      <c r="R312" s="350" t="n">
        <f aca="false">(S311+R311)*(S310-R310)/2</f>
        <v>0</v>
      </c>
      <c r="S312" s="350" t="n">
        <f aca="false">(T311+S311)*(T310-S310)/2</f>
        <v>0</v>
      </c>
      <c r="T312" s="350" t="n">
        <f aca="false">(U311+T311)*(U310-T310)/2</f>
        <v>0</v>
      </c>
      <c r="U312" s="350" t="n">
        <f aca="false">(V311+U311)*(V310-U310)/2</f>
        <v>0</v>
      </c>
      <c r="V312" s="350" t="n">
        <f aca="false">(W311+V311)*(W310-V310)/2</f>
        <v>0</v>
      </c>
      <c r="W312" s="350" t="n">
        <f aca="false">(X311+W311)*(X310-W310)/2</f>
        <v>0</v>
      </c>
      <c r="X312" s="350" t="n">
        <f aca="false">(Y311+X311)*(Y310-X310)/2</f>
        <v>0</v>
      </c>
      <c r="Y312" s="336"/>
    </row>
    <row r="314" customFormat="false" ht="12" hidden="false" customHeight="false" outlineLevel="0" collapsed="false">
      <c r="B314" s="337"/>
      <c r="C314" s="337"/>
      <c r="D314" s="337"/>
      <c r="E314" s="337"/>
      <c r="F314" s="337"/>
      <c r="G314" s="337"/>
      <c r="H314" s="337"/>
      <c r="I314" s="337"/>
      <c r="J314" s="337"/>
      <c r="K314" s="337"/>
      <c r="L314" s="337"/>
      <c r="M314" s="337"/>
      <c r="N314" s="337"/>
      <c r="O314" s="337"/>
      <c r="P314" s="337"/>
      <c r="Q314" s="337"/>
      <c r="R314" s="337"/>
      <c r="S314" s="337"/>
      <c r="T314" s="337"/>
      <c r="U314" s="337"/>
      <c r="V314" s="337"/>
      <c r="W314" s="337"/>
      <c r="X314" s="337"/>
      <c r="Y314" s="337"/>
    </row>
    <row r="316" customFormat="false" ht="12" hidden="false" customHeight="false" outlineLevel="0" collapsed="false">
      <c r="A316" s="360" t="str">
        <f aca="false">IF(Lang="Français","Liste des propu affichés :","Motor list (shown):")</f>
        <v>Liste des propu affichés :</v>
      </c>
      <c r="C316" s="361" t="s">
        <v>224</v>
      </c>
      <c r="D316" s="361"/>
      <c r="F316" s="361" t="s">
        <v>238</v>
      </c>
      <c r="G316" s="361"/>
      <c r="H316" s="362"/>
      <c r="I316" s="361" t="s">
        <v>27</v>
      </c>
      <c r="J316" s="361"/>
      <c r="K316" s="362"/>
      <c r="L316" s="361" t="s">
        <v>302</v>
      </c>
      <c r="M316" s="361"/>
      <c r="O316" s="361" t="s">
        <v>83</v>
      </c>
      <c r="P316" s="361"/>
      <c r="R316" s="361" t="s">
        <v>79</v>
      </c>
      <c r="S316" s="361"/>
    </row>
    <row r="317" customFormat="false" ht="12" hidden="false" customHeight="false" outlineLevel="0" collapsed="false">
      <c r="A317" s="363" t="str">
        <f aca="false" t="array" ref="A317:A346">IF(RIGHT(Type_fusee,1)=".",Liste_fusex, IF(LEFT(Type_fusee,4)="Mini",Liste_minif, IF(LEFT(Type_fusee,5)="Micro",Liste_µfu, IF(RIGHT(Type_fusee,1)=" ",Liste_H2O, IF(LEFT(Type_fusee,1)="R",Liste_RC, IF(LEFT(Type_fusee,1)=",",Liste_minifT))))))</f>
        <v>Barasinga (Pro54-5G C)</v>
      </c>
      <c r="C317" s="364" t="str">
        <f aca="false">A26</f>
        <v>H2O 1.5L 300g 6bar</v>
      </c>
      <c r="D317" s="364"/>
      <c r="F317" s="364" t="str">
        <f aca="false">A67</f>
        <v>µ-propu A8-3</v>
      </c>
      <c r="G317" s="364"/>
      <c r="H317" s="365"/>
      <c r="I317" s="366" t="str">
        <f aca="false">A148</f>
        <v>p29-1G 56F31</v>
      </c>
      <c r="J317" s="366"/>
      <c r="K317" s="365"/>
      <c r="L317" s="366" t="str">
        <f aca="false">A148</f>
        <v>p29-1G 56F31</v>
      </c>
      <c r="M317" s="366"/>
      <c r="O317" s="364" t="str">
        <f aca="false">A108</f>
        <v>p24-1G 24E22</v>
      </c>
      <c r="P317" s="364"/>
      <c r="R317" s="364" t="str">
        <f aca="false">A279</f>
        <v>Barasinga (Pro54-5G C)</v>
      </c>
      <c r="S317" s="364"/>
    </row>
    <row r="318" customFormat="false" ht="12" hidden="false" customHeight="false" outlineLevel="0" collapsed="false">
      <c r="A318" s="363" t="str">
        <v>Orignal (Pro75-3G C)</v>
      </c>
      <c r="C318" s="364" t="str">
        <f aca="false">A31</f>
        <v>H2O 1.5L 450g 6bar</v>
      </c>
      <c r="D318" s="364"/>
      <c r="F318" s="364" t="str">
        <f aca="false">A72</f>
        <v>µ-propu B4-4</v>
      </c>
      <c r="G318" s="364"/>
      <c r="H318" s="365"/>
      <c r="I318" s="366" t="str">
        <f aca="false">A153</f>
        <v>p29-1G 56F120</v>
      </c>
      <c r="J318" s="366"/>
      <c r="K318" s="365"/>
      <c r="L318" s="366" t="str">
        <f aca="false">A153</f>
        <v>p29-1G 56F120</v>
      </c>
      <c r="M318" s="366"/>
      <c r="O318" s="364" t="str">
        <f aca="false">A113</f>
        <v>p24-1G 25E75 (Rufina)</v>
      </c>
      <c r="P318" s="364"/>
      <c r="R318" s="364" t="str">
        <f aca="false">A289</f>
        <v>Orignal (Pro75-3G C)</v>
      </c>
      <c r="S318" s="364"/>
    </row>
    <row r="319" customFormat="false" ht="12" hidden="false" customHeight="false" outlineLevel="0" collapsed="false">
      <c r="A319" s="363" t="str">
        <v> </v>
      </c>
      <c r="C319" s="364" t="str">
        <f aca="false">A36</f>
        <v>H2O 1.5L 600g 6bar</v>
      </c>
      <c r="D319" s="364"/>
      <c r="F319" s="364" t="str">
        <f aca="false">A77</f>
        <v>µ-propu C6-3</v>
      </c>
      <c r="G319" s="364"/>
      <c r="H319" s="365"/>
      <c r="I319" s="366" t="str">
        <f aca="false">A158</f>
        <v>p29-1G 57F59</v>
      </c>
      <c r="J319" s="366"/>
      <c r="K319" s="365"/>
      <c r="L319" s="366" t="str">
        <f aca="false">A158</f>
        <v>p29-1G 57F59</v>
      </c>
      <c r="M319" s="366"/>
      <c r="O319" s="364" t="str">
        <f aca="false">A118</f>
        <v>p24-1G 26E31</v>
      </c>
      <c r="P319" s="364"/>
      <c r="R319" s="364" t="s">
        <v>94</v>
      </c>
      <c r="S319" s="364"/>
    </row>
    <row r="320" customFormat="false" ht="12" hidden="false" customHeight="false" outlineLevel="0" collapsed="false">
      <c r="A320" s="363" t="str">
        <v> </v>
      </c>
      <c r="C320" s="364" t="str">
        <f aca="false">A41</f>
        <v>H2O 1.5L 750g 6bar</v>
      </c>
      <c r="D320" s="364"/>
      <c r="F320" s="364" t="str">
        <f aca="false">A82</f>
        <v>µ-propu C6-3 x2</v>
      </c>
      <c r="G320" s="364"/>
      <c r="H320" s="365"/>
      <c r="I320" s="366" t="str">
        <f aca="false">A183</f>
        <v>p24-3G 74F85</v>
      </c>
      <c r="J320" s="366"/>
      <c r="K320" s="365"/>
      <c r="L320" s="366" t="str">
        <f aca="false">A228</f>
        <v>p29-2G 116G126</v>
      </c>
      <c r="M320" s="366"/>
      <c r="O320" s="364" t="str">
        <f aca="false">A123</f>
        <v>p24-2G 50E51</v>
      </c>
      <c r="P320" s="364"/>
      <c r="R320" s="364" t="s">
        <v>94</v>
      </c>
      <c r="S320" s="364"/>
    </row>
    <row r="321" customFormat="false" ht="12" hidden="false" customHeight="false" outlineLevel="0" collapsed="false">
      <c r="A321" s="363" t="str">
        <v> </v>
      </c>
      <c r="C321" s="364" t="str">
        <f aca="false">A46</f>
        <v>H2O 2.0L 400g 6bar</v>
      </c>
      <c r="D321" s="364"/>
      <c r="F321" s="364" t="str">
        <f aca="false">A87</f>
        <v>µ-propu C6-3 x3</v>
      </c>
      <c r="G321" s="364"/>
      <c r="H321" s="365"/>
      <c r="I321" s="366" t="str">
        <f aca="false">A188</f>
        <v>p24-3G 75F51</v>
      </c>
      <c r="J321" s="366"/>
      <c r="K321" s="365"/>
      <c r="L321" s="366" t="s">
        <v>94</v>
      </c>
      <c r="M321" s="366"/>
      <c r="O321" s="364" t="str">
        <f aca="false">A128</f>
        <v>p24-1G 53E70</v>
      </c>
      <c r="P321" s="364"/>
      <c r="R321" s="364" t="s">
        <v>94</v>
      </c>
      <c r="S321" s="364"/>
    </row>
    <row r="322" customFormat="false" ht="12" hidden="false" customHeight="false" outlineLevel="0" collapsed="false">
      <c r="A322" s="363" t="str">
        <v> </v>
      </c>
      <c r="C322" s="364" t="str">
        <f aca="false">A51</f>
        <v>H2O 2.0L 600g 6bar</v>
      </c>
      <c r="D322" s="364"/>
      <c r="F322" s="364" t="s">
        <v>94</v>
      </c>
      <c r="G322" s="364"/>
      <c r="H322" s="365"/>
      <c r="I322" s="366" t="s">
        <v>94</v>
      </c>
      <c r="J322" s="366"/>
      <c r="K322" s="365"/>
      <c r="L322" s="364" t="str">
        <f aca="false">A198</f>
        <v>Pandora (Pro24-6G BS)</v>
      </c>
      <c r="M322" s="364"/>
      <c r="O322" s="364" t="str">
        <f aca="false">A133</f>
        <v>p29-1G 41F36</v>
      </c>
      <c r="P322" s="364"/>
      <c r="R322" s="364" t="s">
        <v>94</v>
      </c>
      <c r="S322" s="364"/>
    </row>
    <row r="323" customFormat="false" ht="12" hidden="false" customHeight="false" outlineLevel="0" collapsed="false">
      <c r="A323" s="363" t="str">
        <v> </v>
      </c>
      <c r="C323" s="364" t="str">
        <f aca="false">A56</f>
        <v>H2O 2.0L 800g 6bar</v>
      </c>
      <c r="D323" s="364"/>
      <c r="F323" s="364" t="s">
        <v>94</v>
      </c>
      <c r="G323" s="364"/>
      <c r="H323" s="365"/>
      <c r="I323" s="366" t="s">
        <v>94</v>
      </c>
      <c r="J323" s="366"/>
      <c r="K323" s="365"/>
      <c r="L323" s="364" t="s">
        <v>94</v>
      </c>
      <c r="M323" s="364"/>
      <c r="O323" s="364" t="str">
        <f aca="false">A138</f>
        <v>p29-1G 51F36</v>
      </c>
      <c r="P323" s="364"/>
      <c r="R323" s="364" t="s">
        <v>94</v>
      </c>
      <c r="S323" s="364"/>
    </row>
    <row r="324" customFormat="false" ht="12" hidden="false" customHeight="false" outlineLevel="0" collapsed="false">
      <c r="A324" s="363" t="str">
        <v> </v>
      </c>
      <c r="C324" s="364" t="str">
        <f aca="false">A61</f>
        <v>H2O 2.0L 1000g 6bar</v>
      </c>
      <c r="D324" s="364"/>
      <c r="F324" s="364" t="s">
        <v>94</v>
      </c>
      <c r="G324" s="364"/>
      <c r="H324" s="365"/>
      <c r="I324" s="366" t="s">
        <v>94</v>
      </c>
      <c r="J324" s="366"/>
      <c r="K324" s="365"/>
      <c r="L324" s="364" t="str">
        <f aca="false">A92</f>
        <v>Klima D9-7</v>
      </c>
      <c r="M324" s="364"/>
      <c r="O324" s="364" t="str">
        <f aca="false">A143</f>
        <v>p29-1G 55F29</v>
      </c>
      <c r="P324" s="364"/>
      <c r="R324" s="364" t="s">
        <v>94</v>
      </c>
      <c r="S324" s="364"/>
    </row>
    <row r="325" customFormat="false" ht="12" hidden="false" customHeight="false" outlineLevel="0" collapsed="false">
      <c r="A325" s="363" t="str">
        <v> </v>
      </c>
      <c r="C325" s="364" t="s">
        <v>94</v>
      </c>
      <c r="D325" s="364"/>
      <c r="F325" s="364" t="s">
        <v>94</v>
      </c>
      <c r="G325" s="364"/>
      <c r="H325" s="365"/>
      <c r="I325" s="366" t="s">
        <v>94</v>
      </c>
      <c r="J325" s="366"/>
      <c r="K325" s="365"/>
      <c r="L325" s="364" t="str">
        <f aca="false">A97</f>
        <v>Klima D9-7 x2</v>
      </c>
      <c r="M325" s="364"/>
      <c r="O325" s="364" t="str">
        <f aca="false">A153</f>
        <v>p29-1G 56F120</v>
      </c>
      <c r="P325" s="364"/>
      <c r="R325" s="364" t="s">
        <v>94</v>
      </c>
      <c r="S325" s="364"/>
    </row>
    <row r="326" customFormat="false" ht="12" hidden="false" customHeight="false" outlineLevel="0" collapsed="false">
      <c r="A326" s="363" t="str">
        <v> </v>
      </c>
      <c r="C326" s="364" t="s">
        <v>94</v>
      </c>
      <c r="D326" s="364"/>
      <c r="F326" s="364" t="s">
        <v>94</v>
      </c>
      <c r="G326" s="364"/>
      <c r="H326" s="365"/>
      <c r="I326" s="366" t="s">
        <v>94</v>
      </c>
      <c r="J326" s="366"/>
      <c r="K326" s="365"/>
      <c r="L326" s="364" t="str">
        <f aca="false">A102</f>
        <v>Klima D9-7 x3</v>
      </c>
      <c r="M326" s="364"/>
      <c r="O326" s="364" t="str">
        <f aca="false">A158</f>
        <v>p29-1G 57F59</v>
      </c>
      <c r="P326" s="364"/>
      <c r="R326" s="364" t="s">
        <v>94</v>
      </c>
      <c r="S326" s="364"/>
    </row>
    <row r="327" customFormat="false" ht="12" hidden="false" customHeight="false" outlineLevel="0" collapsed="false">
      <c r="A327" s="363" t="str">
        <v> </v>
      </c>
      <c r="C327" s="364" t="s">
        <v>94</v>
      </c>
      <c r="D327" s="364"/>
      <c r="F327" s="364" t="s">
        <v>94</v>
      </c>
      <c r="G327" s="364"/>
      <c r="H327" s="365"/>
      <c r="I327" s="366" t="s">
        <v>94</v>
      </c>
      <c r="J327" s="366"/>
      <c r="K327" s="365"/>
      <c r="L327" s="364" t="s">
        <v>94</v>
      </c>
      <c r="M327" s="364"/>
      <c r="O327" s="364" t="str">
        <f aca="false">A163</f>
        <v>p24-3G 60F50</v>
      </c>
      <c r="P327" s="364"/>
      <c r="R327" s="364" t="s">
        <v>94</v>
      </c>
      <c r="S327" s="364"/>
    </row>
    <row r="328" customFormat="false" ht="12" hidden="false" customHeight="false" outlineLevel="0" collapsed="false">
      <c r="A328" s="363" t="str">
        <v> </v>
      </c>
      <c r="C328" s="364" t="s">
        <v>94</v>
      </c>
      <c r="D328" s="364"/>
      <c r="F328" s="364" t="s">
        <v>94</v>
      </c>
      <c r="G328" s="364"/>
      <c r="H328" s="365"/>
      <c r="I328" s="366" t="s">
        <v>94</v>
      </c>
      <c r="J328" s="366"/>
      <c r="K328" s="365"/>
      <c r="L328" s="364" t="s">
        <v>94</v>
      </c>
      <c r="M328" s="364"/>
      <c r="O328" s="364" t="str">
        <f aca="false">A168</f>
        <v>p24-3G 68F79</v>
      </c>
      <c r="P328" s="364"/>
      <c r="R328" s="364" t="s">
        <v>94</v>
      </c>
      <c r="S328" s="364"/>
    </row>
    <row r="329" customFormat="false" ht="12" hidden="false" customHeight="false" outlineLevel="0" collapsed="false">
      <c r="A329" s="363" t="str">
        <v> </v>
      </c>
      <c r="C329" s="364" t="s">
        <v>94</v>
      </c>
      <c r="D329" s="364"/>
      <c r="F329" s="364" t="s">
        <v>94</v>
      </c>
      <c r="G329" s="364"/>
      <c r="H329" s="365"/>
      <c r="I329" s="366" t="s">
        <v>94</v>
      </c>
      <c r="J329" s="366"/>
      <c r="K329" s="365"/>
      <c r="L329" s="364" t="s">
        <v>94</v>
      </c>
      <c r="M329" s="364"/>
      <c r="O329" s="364" t="str">
        <f aca="false">A173</f>
        <v>p24-3G 68F240</v>
      </c>
      <c r="P329" s="364"/>
      <c r="R329" s="364" t="s">
        <v>94</v>
      </c>
      <c r="S329" s="364"/>
    </row>
    <row r="330" customFormat="false" ht="12" hidden="false" customHeight="false" outlineLevel="0" collapsed="false">
      <c r="A330" s="363" t="str">
        <v> </v>
      </c>
      <c r="C330" s="364" t="s">
        <v>94</v>
      </c>
      <c r="D330" s="364"/>
      <c r="F330" s="364" t="s">
        <v>94</v>
      </c>
      <c r="G330" s="364"/>
      <c r="H330" s="365"/>
      <c r="I330" s="366" t="s">
        <v>94</v>
      </c>
      <c r="J330" s="366"/>
      <c r="K330" s="365"/>
      <c r="L330" s="364" t="s">
        <v>94</v>
      </c>
      <c r="M330" s="364"/>
      <c r="O330" s="364" t="str">
        <f aca="false">A178</f>
        <v>p24-3G 73F30</v>
      </c>
      <c r="P330" s="364"/>
      <c r="R330" s="364" t="s">
        <v>94</v>
      </c>
      <c r="S330" s="364"/>
    </row>
    <row r="331" customFormat="false" ht="12" hidden="false" customHeight="false" outlineLevel="0" collapsed="false">
      <c r="A331" s="363" t="str">
        <v> </v>
      </c>
      <c r="C331" s="364" t="s">
        <v>94</v>
      </c>
      <c r="D331" s="364"/>
      <c r="F331" s="364" t="s">
        <v>94</v>
      </c>
      <c r="G331" s="364"/>
      <c r="H331" s="365"/>
      <c r="I331" s="364" t="s">
        <v>94</v>
      </c>
      <c r="J331" s="364"/>
      <c r="K331" s="365"/>
      <c r="L331" s="364" t="s">
        <v>94</v>
      </c>
      <c r="M331" s="364"/>
      <c r="O331" s="364" t="str">
        <f aca="false">A183</f>
        <v>p24-3G 74F85</v>
      </c>
      <c r="P331" s="364"/>
      <c r="R331" s="364" t="s">
        <v>94</v>
      </c>
      <c r="S331" s="364"/>
    </row>
    <row r="332" customFormat="false" ht="12" hidden="false" customHeight="false" outlineLevel="0" collapsed="false">
      <c r="A332" s="367" t="str">
        <v> </v>
      </c>
      <c r="C332" s="368" t="s">
        <v>94</v>
      </c>
      <c r="D332" s="368"/>
      <c r="F332" s="368" t="s">
        <v>94</v>
      </c>
      <c r="G332" s="368"/>
      <c r="H332" s="365"/>
      <c r="I332" s="368" t="s">
        <v>94</v>
      </c>
      <c r="J332" s="368"/>
      <c r="K332" s="365"/>
      <c r="L332" s="368" t="s">
        <v>94</v>
      </c>
      <c r="M332" s="368"/>
      <c r="O332" s="364" t="str">
        <f aca="false">A188</f>
        <v>p24-3G 75F51</v>
      </c>
      <c r="P332" s="364"/>
      <c r="R332" s="368" t="s">
        <v>94</v>
      </c>
      <c r="S332" s="368"/>
    </row>
    <row r="333" customFormat="false" ht="12" hidden="false" customHeight="false" outlineLevel="0" collapsed="false">
      <c r="A333" s="363" t="str">
        <v> </v>
      </c>
      <c r="C333" s="369" t="s">
        <v>94</v>
      </c>
      <c r="D333" s="369"/>
      <c r="F333" s="369" t="s">
        <v>94</v>
      </c>
      <c r="G333" s="369"/>
      <c r="I333" s="370" t="s">
        <v>94</v>
      </c>
      <c r="J333" s="370"/>
      <c r="L333" s="370" t="s">
        <v>94</v>
      </c>
      <c r="M333" s="370"/>
      <c r="O333" s="364" t="str">
        <f aca="false">A213</f>
        <v>p29-2G 84G88</v>
      </c>
      <c r="P333" s="364"/>
      <c r="R333" s="371" t="s">
        <v>94</v>
      </c>
      <c r="S333" s="371"/>
    </row>
    <row r="334" customFormat="false" ht="12" hidden="false" customHeight="false" outlineLevel="0" collapsed="false">
      <c r="A334" s="363" t="str">
        <v>Isard</v>
      </c>
      <c r="C334" s="362" t="s">
        <v>94</v>
      </c>
      <c r="D334" s="362"/>
      <c r="F334" s="362" t="s">
        <v>94</v>
      </c>
      <c r="G334" s="362"/>
      <c r="I334" s="370" t="s">
        <v>94</v>
      </c>
      <c r="J334" s="370"/>
      <c r="L334" s="370" t="s">
        <v>94</v>
      </c>
      <c r="M334" s="370"/>
      <c r="O334" s="364" t="str">
        <f aca="false">A218</f>
        <v>p29-2G 93G80</v>
      </c>
      <c r="P334" s="364"/>
      <c r="R334" s="372" t="str">
        <f aca="false">A269</f>
        <v>Isard</v>
      </c>
      <c r="S334" s="372"/>
    </row>
    <row r="335" customFormat="false" ht="12" hidden="false" customHeight="false" outlineLevel="0" collapsed="false">
      <c r="A335" s="363" t="str">
        <v>Chamois</v>
      </c>
      <c r="C335" s="362" t="s">
        <v>94</v>
      </c>
      <c r="D335" s="362"/>
      <c r="F335" s="362" t="s">
        <v>94</v>
      </c>
      <c r="G335" s="362"/>
      <c r="I335" s="370" t="s">
        <v>94</v>
      </c>
      <c r="J335" s="370"/>
      <c r="L335" s="370" t="s">
        <v>94</v>
      </c>
      <c r="M335" s="370"/>
      <c r="O335" s="364" t="str">
        <f aca="false">A223</f>
        <v>p29-2G 110G250</v>
      </c>
      <c r="P335" s="364"/>
      <c r="R335" s="372" t="str">
        <f aca="false">A274</f>
        <v>Chamois</v>
      </c>
      <c r="S335" s="372"/>
    </row>
    <row r="336" customFormat="false" ht="12" hidden="false" customHeight="false" outlineLevel="0" collapsed="false">
      <c r="A336" s="363" t="str">
        <v>Pro75-2G</v>
      </c>
      <c r="C336" s="362" t="s">
        <v>94</v>
      </c>
      <c r="D336" s="362"/>
      <c r="F336" s="362" t="s">
        <v>94</v>
      </c>
      <c r="G336" s="362"/>
      <c r="I336" s="370" t="s">
        <v>94</v>
      </c>
      <c r="J336" s="370"/>
      <c r="L336" s="370" t="s">
        <v>94</v>
      </c>
      <c r="M336" s="370"/>
      <c r="O336" s="364" t="str">
        <f aca="false">A228</f>
        <v>p29-2G 116G126</v>
      </c>
      <c r="P336" s="364"/>
      <c r="R336" s="372" t="str">
        <f aca="false">A284</f>
        <v>Pro75-2G</v>
      </c>
      <c r="S336" s="372"/>
    </row>
    <row r="337" customFormat="false" ht="12" hidden="false" customHeight="false" outlineLevel="0" collapsed="false">
      <c r="A337" s="363" t="str">
        <v>Pro98-2G WT</v>
      </c>
      <c r="C337" s="362" t="s">
        <v>94</v>
      </c>
      <c r="D337" s="362"/>
      <c r="F337" s="362" t="s">
        <v>94</v>
      </c>
      <c r="G337" s="362"/>
      <c r="I337" s="370" t="s">
        <v>94</v>
      </c>
      <c r="J337" s="370"/>
      <c r="L337" s="370" t="s">
        <v>94</v>
      </c>
      <c r="M337" s="370"/>
      <c r="O337" s="364" t="str">
        <f aca="false">A233</f>
        <v>p29-3G 125G131</v>
      </c>
      <c r="P337" s="364"/>
      <c r="R337" s="372" t="str">
        <f aca="false">A294</f>
        <v>Pro98-2G WT</v>
      </c>
      <c r="S337" s="372"/>
    </row>
    <row r="338" customFormat="false" ht="12" hidden="false" customHeight="false" outlineLevel="0" collapsed="false">
      <c r="A338" s="363" t="str">
        <v>Pro98-3G WT</v>
      </c>
      <c r="C338" s="362" t="s">
        <v>94</v>
      </c>
      <c r="D338" s="362"/>
      <c r="F338" s="362" t="s">
        <v>94</v>
      </c>
      <c r="G338" s="362"/>
      <c r="I338" s="370" t="s">
        <v>94</v>
      </c>
      <c r="J338" s="370"/>
      <c r="L338" s="370" t="s">
        <v>94</v>
      </c>
      <c r="M338" s="370"/>
      <c r="O338" s="364" t="str">
        <f aca="false">A248</f>
        <v>p38-1G 128G185</v>
      </c>
      <c r="P338" s="364"/>
      <c r="R338" s="372" t="str">
        <f aca="false">A299</f>
        <v>Pro98-3G WT</v>
      </c>
      <c r="S338" s="372"/>
    </row>
    <row r="339" customFormat="false" ht="12" hidden="false" customHeight="false" outlineLevel="0" collapsed="false">
      <c r="A339" s="363" t="str">
        <v>Aucun (2e ét. inerte)</v>
      </c>
      <c r="C339" s="362" t="s">
        <v>94</v>
      </c>
      <c r="D339" s="362"/>
      <c r="F339" s="362" t="s">
        <v>94</v>
      </c>
      <c r="G339" s="362"/>
      <c r="I339" s="370" t="s">
        <v>94</v>
      </c>
      <c r="J339" s="370"/>
      <c r="L339" s="370" t="s">
        <v>94</v>
      </c>
      <c r="M339" s="370"/>
      <c r="O339" s="364" t="str">
        <f aca="false">A243</f>
        <v>p38-1G 137G58</v>
      </c>
      <c r="P339" s="364"/>
      <c r="R339" s="372" t="str">
        <f aca="false">A309</f>
        <v>Aucun (2e ét. inerte)</v>
      </c>
      <c r="S339" s="372"/>
    </row>
    <row r="340" customFormat="false" ht="12" hidden="false" customHeight="false" outlineLevel="0" collapsed="false">
      <c r="A340" s="363" t="str">
        <v> </v>
      </c>
      <c r="C340" s="362" t="s">
        <v>94</v>
      </c>
      <c r="D340" s="362"/>
      <c r="F340" s="362" t="s">
        <v>94</v>
      </c>
      <c r="G340" s="362"/>
      <c r="I340" s="370" t="s">
        <v>94</v>
      </c>
      <c r="J340" s="370"/>
      <c r="L340" s="370" t="s">
        <v>94</v>
      </c>
      <c r="M340" s="370"/>
      <c r="O340" s="364" t="str">
        <f aca="false">A253</f>
        <v>p38-1G 141G78</v>
      </c>
      <c r="P340" s="364"/>
      <c r="R340" s="370" t="s">
        <v>94</v>
      </c>
      <c r="S340" s="370"/>
    </row>
    <row r="341" customFormat="false" ht="12" hidden="false" customHeight="false" outlineLevel="0" collapsed="false">
      <c r="A341" s="363" t="str">
        <v> </v>
      </c>
      <c r="C341" s="362" t="s">
        <v>94</v>
      </c>
      <c r="D341" s="362"/>
      <c r="F341" s="362" t="s">
        <v>94</v>
      </c>
      <c r="G341" s="362"/>
      <c r="I341" s="362" t="s">
        <v>94</v>
      </c>
      <c r="J341" s="362"/>
      <c r="L341" s="370" t="s">
        <v>94</v>
      </c>
      <c r="M341" s="370"/>
      <c r="O341" s="364" t="str">
        <f aca="false">A193</f>
        <v>p24-6G 140G145 PK</v>
      </c>
      <c r="P341" s="364"/>
      <c r="R341" s="362" t="s">
        <v>94</v>
      </c>
      <c r="S341" s="362"/>
    </row>
    <row r="342" customFormat="false" ht="12" hidden="false" customHeight="false" outlineLevel="0" collapsed="false">
      <c r="A342" s="363" t="str">
        <v> </v>
      </c>
      <c r="C342" s="362" t="s">
        <v>94</v>
      </c>
      <c r="D342" s="362"/>
      <c r="F342" s="362" t="s">
        <v>94</v>
      </c>
      <c r="G342" s="362"/>
      <c r="I342" s="362" t="s">
        <v>94</v>
      </c>
      <c r="J342" s="362"/>
      <c r="L342" s="370" t="s">
        <v>94</v>
      </c>
      <c r="M342" s="370"/>
      <c r="O342" s="364" t="str">
        <f aca="false">A198</f>
        <v>Pandora (Pro24-6G BS)</v>
      </c>
      <c r="P342" s="364"/>
      <c r="R342" s="362" t="s">
        <v>94</v>
      </c>
      <c r="S342" s="362"/>
    </row>
    <row r="343" customFormat="false" ht="12" hidden="false" customHeight="false" outlineLevel="0" collapsed="false">
      <c r="A343" s="363" t="str">
        <v> </v>
      </c>
      <c r="C343" s="362" t="s">
        <v>94</v>
      </c>
      <c r="D343" s="362"/>
      <c r="F343" s="362" t="s">
        <v>94</v>
      </c>
      <c r="G343" s="362"/>
      <c r="I343" s="362" t="s">
        <v>94</v>
      </c>
      <c r="J343" s="362"/>
      <c r="L343" s="362" t="s">
        <v>94</v>
      </c>
      <c r="M343" s="362"/>
      <c r="O343" s="366" t="str">
        <f aca="false">A203</f>
        <v>p24-6G 142G117 WT</v>
      </c>
      <c r="P343" s="366"/>
      <c r="R343" s="362" t="s">
        <v>94</v>
      </c>
      <c r="S343" s="362"/>
    </row>
    <row r="344" customFormat="false" ht="12" hidden="false" customHeight="false" outlineLevel="0" collapsed="false">
      <c r="A344" s="363" t="str">
        <v> </v>
      </c>
      <c r="C344" s="362" t="s">
        <v>94</v>
      </c>
      <c r="D344" s="362"/>
      <c r="F344" s="362" t="s">
        <v>94</v>
      </c>
      <c r="G344" s="362"/>
      <c r="I344" s="362" t="s">
        <v>94</v>
      </c>
      <c r="J344" s="362"/>
      <c r="L344" s="362" t="s">
        <v>94</v>
      </c>
      <c r="M344" s="362"/>
      <c r="O344" s="366" t="str">
        <f aca="false">A208</f>
        <v>p24-6G 139G107 DT</v>
      </c>
      <c r="P344" s="366"/>
      <c r="R344" s="362" t="s">
        <v>94</v>
      </c>
      <c r="S344" s="362"/>
    </row>
    <row r="345" customFormat="false" ht="12" hidden="false" customHeight="false" outlineLevel="0" collapsed="false">
      <c r="A345" s="363" t="str">
        <v> </v>
      </c>
      <c r="C345" s="362" t="s">
        <v>94</v>
      </c>
      <c r="D345" s="362"/>
      <c r="F345" s="362" t="s">
        <v>94</v>
      </c>
      <c r="G345" s="362"/>
      <c r="I345" s="362" t="s">
        <v>94</v>
      </c>
      <c r="J345" s="362"/>
      <c r="L345" s="362" t="s">
        <v>94</v>
      </c>
      <c r="M345" s="362"/>
      <c r="O345" s="366" t="str">
        <f aca="false">A263</f>
        <v>Cariacou</v>
      </c>
      <c r="P345" s="366"/>
      <c r="R345" s="362" t="s">
        <v>94</v>
      </c>
      <c r="S345" s="362"/>
    </row>
    <row r="346" customFormat="false" ht="12" hidden="false" customHeight="false" outlineLevel="0" collapsed="false">
      <c r="A346" s="373" t="str">
        <v> </v>
      </c>
      <c r="C346" s="362" t="s">
        <v>94</v>
      </c>
      <c r="D346" s="362"/>
      <c r="F346" s="362" t="s">
        <v>94</v>
      </c>
      <c r="G346" s="362"/>
      <c r="I346" s="362" t="s">
        <v>94</v>
      </c>
      <c r="J346" s="362"/>
      <c r="L346" s="362" t="s">
        <v>94</v>
      </c>
      <c r="M346" s="362"/>
      <c r="O346" s="374" t="str">
        <f aca="false">A258</f>
        <v>Wapiti</v>
      </c>
      <c r="P346" s="374"/>
      <c r="R346" s="362" t="s">
        <v>94</v>
      </c>
      <c r="S346" s="362"/>
    </row>
  </sheetData>
  <sheetProtection sheet="true" password="c6ac" objects="true" scenarios="true"/>
  <mergeCells count="186">
    <mergeCell ref="C316:D316"/>
    <mergeCell ref="F316:G316"/>
    <mergeCell ref="I316:J316"/>
    <mergeCell ref="L316:M316"/>
    <mergeCell ref="O316:P316"/>
    <mergeCell ref="R316:S316"/>
    <mergeCell ref="C317:D317"/>
    <mergeCell ref="F317:G317"/>
    <mergeCell ref="I317:J317"/>
    <mergeCell ref="L317:M317"/>
    <mergeCell ref="O317:P317"/>
    <mergeCell ref="R317:S317"/>
    <mergeCell ref="C318:D318"/>
    <mergeCell ref="F318:G318"/>
    <mergeCell ref="I318:J318"/>
    <mergeCell ref="L318:M318"/>
    <mergeCell ref="O318:P318"/>
    <mergeCell ref="R318:S318"/>
    <mergeCell ref="C319:D319"/>
    <mergeCell ref="F319:G319"/>
    <mergeCell ref="I319:J319"/>
    <mergeCell ref="L319:M319"/>
    <mergeCell ref="O319:P319"/>
    <mergeCell ref="R319:S319"/>
    <mergeCell ref="C320:D320"/>
    <mergeCell ref="F320:G320"/>
    <mergeCell ref="I320:J320"/>
    <mergeCell ref="L320:M320"/>
    <mergeCell ref="O320:P320"/>
    <mergeCell ref="R320:S320"/>
    <mergeCell ref="C321:D321"/>
    <mergeCell ref="F321:G321"/>
    <mergeCell ref="I321:J321"/>
    <mergeCell ref="L321:M321"/>
    <mergeCell ref="O321:P321"/>
    <mergeCell ref="R321:S321"/>
    <mergeCell ref="C322:D322"/>
    <mergeCell ref="F322:G322"/>
    <mergeCell ref="I322:J322"/>
    <mergeCell ref="L322:M322"/>
    <mergeCell ref="O322:P322"/>
    <mergeCell ref="R322:S322"/>
    <mergeCell ref="C323:D323"/>
    <mergeCell ref="F323:G323"/>
    <mergeCell ref="I323:J323"/>
    <mergeCell ref="L323:M323"/>
    <mergeCell ref="O323:P323"/>
    <mergeCell ref="R323:S323"/>
    <mergeCell ref="C324:D324"/>
    <mergeCell ref="F324:G324"/>
    <mergeCell ref="I324:J324"/>
    <mergeCell ref="L324:M324"/>
    <mergeCell ref="O324:P324"/>
    <mergeCell ref="R324:S324"/>
    <mergeCell ref="C325:D325"/>
    <mergeCell ref="F325:G325"/>
    <mergeCell ref="I325:J325"/>
    <mergeCell ref="L325:M325"/>
    <mergeCell ref="O325:P325"/>
    <mergeCell ref="R325:S325"/>
    <mergeCell ref="C326:D326"/>
    <mergeCell ref="F326:G326"/>
    <mergeCell ref="I326:J326"/>
    <mergeCell ref="L326:M326"/>
    <mergeCell ref="O326:P326"/>
    <mergeCell ref="R326:S326"/>
    <mergeCell ref="C327:D327"/>
    <mergeCell ref="F327:G327"/>
    <mergeCell ref="I327:J327"/>
    <mergeCell ref="L327:M327"/>
    <mergeCell ref="O327:P327"/>
    <mergeCell ref="R327:S327"/>
    <mergeCell ref="C328:D328"/>
    <mergeCell ref="F328:G328"/>
    <mergeCell ref="I328:J328"/>
    <mergeCell ref="L328:M328"/>
    <mergeCell ref="O328:P328"/>
    <mergeCell ref="R328:S328"/>
    <mergeCell ref="C329:D329"/>
    <mergeCell ref="F329:G329"/>
    <mergeCell ref="I329:J329"/>
    <mergeCell ref="L329:M329"/>
    <mergeCell ref="O329:P329"/>
    <mergeCell ref="R329:S329"/>
    <mergeCell ref="C330:D330"/>
    <mergeCell ref="F330:G330"/>
    <mergeCell ref="I330:J330"/>
    <mergeCell ref="L330:M330"/>
    <mergeCell ref="O330:P330"/>
    <mergeCell ref="R330:S330"/>
    <mergeCell ref="C331:D331"/>
    <mergeCell ref="F331:G331"/>
    <mergeCell ref="I331:J331"/>
    <mergeCell ref="L331:M331"/>
    <mergeCell ref="O331:P331"/>
    <mergeCell ref="R331:S331"/>
    <mergeCell ref="C332:D332"/>
    <mergeCell ref="F332:G332"/>
    <mergeCell ref="I332:J332"/>
    <mergeCell ref="L332:M332"/>
    <mergeCell ref="O332:P332"/>
    <mergeCell ref="R332:S332"/>
    <mergeCell ref="C333:D333"/>
    <mergeCell ref="F333:G333"/>
    <mergeCell ref="I333:J333"/>
    <mergeCell ref="L333:M333"/>
    <mergeCell ref="O333:P333"/>
    <mergeCell ref="R333:S333"/>
    <mergeCell ref="C334:D334"/>
    <mergeCell ref="F334:G334"/>
    <mergeCell ref="I334:J334"/>
    <mergeCell ref="L334:M334"/>
    <mergeCell ref="O334:P334"/>
    <mergeCell ref="R334:S334"/>
    <mergeCell ref="C335:D335"/>
    <mergeCell ref="F335:G335"/>
    <mergeCell ref="I335:J335"/>
    <mergeCell ref="L335:M335"/>
    <mergeCell ref="O335:P335"/>
    <mergeCell ref="R335:S335"/>
    <mergeCell ref="C336:D336"/>
    <mergeCell ref="F336:G336"/>
    <mergeCell ref="I336:J336"/>
    <mergeCell ref="L336:M336"/>
    <mergeCell ref="O336:P336"/>
    <mergeCell ref="R336:S336"/>
    <mergeCell ref="C337:D337"/>
    <mergeCell ref="F337:G337"/>
    <mergeCell ref="I337:J337"/>
    <mergeCell ref="L337:M337"/>
    <mergeCell ref="O337:P337"/>
    <mergeCell ref="R337:S337"/>
    <mergeCell ref="C338:D338"/>
    <mergeCell ref="F338:G338"/>
    <mergeCell ref="I338:J338"/>
    <mergeCell ref="L338:M338"/>
    <mergeCell ref="O338:P338"/>
    <mergeCell ref="R338:S338"/>
    <mergeCell ref="C339:D339"/>
    <mergeCell ref="F339:G339"/>
    <mergeCell ref="I339:J339"/>
    <mergeCell ref="L339:M339"/>
    <mergeCell ref="O339:P339"/>
    <mergeCell ref="R339:S339"/>
    <mergeCell ref="C340:D340"/>
    <mergeCell ref="F340:G340"/>
    <mergeCell ref="I340:J340"/>
    <mergeCell ref="L340:M340"/>
    <mergeCell ref="O340:P340"/>
    <mergeCell ref="R340:S340"/>
    <mergeCell ref="C341:D341"/>
    <mergeCell ref="F341:G341"/>
    <mergeCell ref="I341:J341"/>
    <mergeCell ref="L341:M341"/>
    <mergeCell ref="O341:P341"/>
    <mergeCell ref="R341:S341"/>
    <mergeCell ref="C342:D342"/>
    <mergeCell ref="F342:G342"/>
    <mergeCell ref="I342:J342"/>
    <mergeCell ref="L342:M342"/>
    <mergeCell ref="O342:P342"/>
    <mergeCell ref="R342:S342"/>
    <mergeCell ref="C343:D343"/>
    <mergeCell ref="F343:G343"/>
    <mergeCell ref="I343:J343"/>
    <mergeCell ref="L343:M343"/>
    <mergeCell ref="O343:P343"/>
    <mergeCell ref="R343:S343"/>
    <mergeCell ref="C344:D344"/>
    <mergeCell ref="F344:G344"/>
    <mergeCell ref="I344:J344"/>
    <mergeCell ref="L344:M344"/>
    <mergeCell ref="O344:P344"/>
    <mergeCell ref="R344:S344"/>
    <mergeCell ref="C345:D345"/>
    <mergeCell ref="F345:G345"/>
    <mergeCell ref="I345:J345"/>
    <mergeCell ref="L345:M345"/>
    <mergeCell ref="O345:P345"/>
    <mergeCell ref="R345:S345"/>
    <mergeCell ref="C346:D346"/>
    <mergeCell ref="F346:G346"/>
    <mergeCell ref="I346:J346"/>
    <mergeCell ref="L346:M346"/>
    <mergeCell ref="O346:P346"/>
    <mergeCell ref="R346:S346"/>
  </mergeCells>
  <printOptions headings="false" gridLines="false" gridLinesSet="true" horizontalCentered="false" verticalCentered="false"/>
  <pageMargins left="0.39375" right="0.39375" top="0.39375" bottom="0.39375" header="0.511811023622047" footer="0.511811023622047"/>
  <pageSetup paperSize="1" scale="100" fitToWidth="1" fitToHeight="3"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H107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7" topLeftCell="D8" activePane="bottomRight" state="frozen"/>
      <selection pane="topLeft" activeCell="A1" activeCellId="0" sqref="A1"/>
      <selection pane="topRight" activeCell="D1" activeCellId="0" sqref="D1"/>
      <selection pane="bottomLeft" activeCell="A8" activeCellId="0" sqref="A8"/>
      <selection pane="bottomRight" activeCell="B219" activeCellId="0" sqref="B219"/>
    </sheetView>
  </sheetViews>
  <sheetFormatPr defaultColWidth="11.6328125" defaultRowHeight="12" zeroHeight="false" outlineLevelRow="0" outlineLevelCol="0"/>
  <cols>
    <col collapsed="false" customWidth="true" hidden="false" outlineLevel="0" max="1" min="1" style="375" width="4.63"/>
    <col collapsed="false" customWidth="true" hidden="false" outlineLevel="0" max="2" min="2" style="375" width="6"/>
    <col collapsed="false" customWidth="true" hidden="false" outlineLevel="0" max="3" min="3" style="376" width="1.36"/>
    <col collapsed="false" customWidth="true" hidden="false" outlineLevel="0" max="4" min="4" style="375" width="7.18"/>
    <col collapsed="false" customWidth="true" hidden="false" outlineLevel="0" max="6" min="5" style="375" width="7.36"/>
    <col collapsed="false" customWidth="true" hidden="false" outlineLevel="0" max="7" min="7" style="375" width="7.18"/>
    <col collapsed="false" customWidth="true" hidden="false" outlineLevel="0" max="8" min="8" style="375" width="7.36"/>
    <col collapsed="false" customWidth="true" hidden="false" outlineLevel="0" max="9" min="9" style="375" width="7.18"/>
    <col collapsed="false" customWidth="true" hidden="false" outlineLevel="0" max="12" min="10" style="375" width="7.63"/>
    <col collapsed="false" customWidth="true" hidden="false" outlineLevel="0" max="13" min="13" style="375" width="5.73"/>
    <col collapsed="false" customWidth="true" hidden="false" outlineLevel="0" max="14" min="14" style="375" width="6.36"/>
    <col collapsed="false" customWidth="true" hidden="false" outlineLevel="0" max="15" min="15" style="376" width="1.36"/>
    <col collapsed="false" customWidth="true" hidden="false" outlineLevel="0" max="16" min="16" style="375" width="4"/>
    <col collapsed="false" customWidth="true" hidden="false" outlineLevel="0" max="17" min="17" style="375" width="8.63"/>
    <col collapsed="false" customWidth="true" hidden="false" outlineLevel="0" max="18" min="18" style="375" width="5.73"/>
    <col collapsed="false" customWidth="true" hidden="false" outlineLevel="0" max="19" min="19" style="375" width="5.27"/>
    <col collapsed="false" customWidth="true" hidden="false" outlineLevel="0" max="20" min="20" style="375" width="6"/>
    <col collapsed="false" customWidth="true" hidden="false" outlineLevel="0" max="21" min="21" style="375" width="8.73"/>
    <col collapsed="false" customWidth="true" hidden="false" outlineLevel="0" max="22" min="22" style="375" width="6.73"/>
    <col collapsed="false" customWidth="true" hidden="false" outlineLevel="0" max="23" min="23" style="375" width="7.18"/>
    <col collapsed="false" customWidth="true" hidden="false" outlineLevel="0" max="24" min="24" style="376" width="1.36"/>
    <col collapsed="false" customWidth="true" hidden="false" outlineLevel="0" max="25" min="25" style="375" width="15.73"/>
    <col collapsed="false" customWidth="true" hidden="false" outlineLevel="0" max="26" min="26" style="375" width="5.73"/>
    <col collapsed="false" customWidth="true" hidden="false" outlineLevel="0" max="27" min="27" style="375" width="7.73"/>
    <col collapsed="false" customWidth="true" hidden="false" outlineLevel="0" max="28" min="28" style="375" width="1.63"/>
    <col collapsed="false" customWidth="true" hidden="false" outlineLevel="0" max="29" min="29" style="375" width="7.27"/>
    <col collapsed="false" customWidth="true" hidden="false" outlineLevel="0" max="31" min="30" style="375" width="6.73"/>
    <col collapsed="false" customWidth="true" hidden="false" outlineLevel="0" max="32" min="32" style="375" width="1.82"/>
    <col collapsed="false" customWidth="true" hidden="false" outlineLevel="0" max="238" min="33" style="375" width="11.36"/>
    <col collapsed="false" customWidth="true" hidden="false" outlineLevel="0" max="239" min="239" style="375" width="11"/>
  </cols>
  <sheetData>
    <row r="1" customFormat="false" ht="12.75" hidden="false" customHeight="false" outlineLevel="0" collapsed="false">
      <c r="D1" s="377" t="s">
        <v>303</v>
      </c>
      <c r="E1" s="377"/>
      <c r="F1" s="377"/>
      <c r="G1" s="377"/>
      <c r="H1" s="377"/>
      <c r="I1" s="377"/>
      <c r="J1" s="377"/>
      <c r="K1" s="377"/>
      <c r="L1" s="377"/>
      <c r="M1" s="377"/>
      <c r="N1" s="377"/>
      <c r="P1" s="377" t="s">
        <v>304</v>
      </c>
      <c r="Q1" s="377"/>
      <c r="R1" s="377"/>
      <c r="S1" s="377"/>
      <c r="T1" s="377"/>
      <c r="U1" s="377"/>
      <c r="V1" s="377"/>
      <c r="W1" s="377"/>
      <c r="Y1" s="378"/>
      <c r="Z1" s="378"/>
      <c r="AA1" s="378"/>
      <c r="AC1" s="377" t="s">
        <v>305</v>
      </c>
      <c r="AD1" s="377"/>
      <c r="AE1" s="377"/>
      <c r="AG1" s="379" t="s">
        <v>306</v>
      </c>
      <c r="AH1" s="379"/>
    </row>
    <row r="2" s="337" customFormat="true" ht="12" hidden="false" customHeight="false" outlineLevel="0" collapsed="false">
      <c r="A2" s="380" t="s">
        <v>307</v>
      </c>
      <c r="B2" s="381" t="s">
        <v>204</v>
      </c>
      <c r="C2" s="382"/>
      <c r="D2" s="383" t="s">
        <v>308</v>
      </c>
      <c r="E2" s="384" t="s">
        <v>309</v>
      </c>
      <c r="F2" s="381" t="s">
        <v>310</v>
      </c>
      <c r="G2" s="383" t="s">
        <v>311</v>
      </c>
      <c r="H2" s="384" t="s">
        <v>312</v>
      </c>
      <c r="I2" s="381" t="s">
        <v>313</v>
      </c>
      <c r="J2" s="383" t="s">
        <v>314</v>
      </c>
      <c r="K2" s="384" t="s">
        <v>315</v>
      </c>
      <c r="L2" s="381" t="s">
        <v>316</v>
      </c>
      <c r="M2" s="380" t="s">
        <v>317</v>
      </c>
      <c r="N2" s="381" t="s">
        <v>318</v>
      </c>
      <c r="O2" s="382"/>
      <c r="P2" s="380" t="s">
        <v>319</v>
      </c>
      <c r="Q2" s="381" t="s">
        <v>320</v>
      </c>
      <c r="R2" s="380" t="s">
        <v>321</v>
      </c>
      <c r="S2" s="384" t="s">
        <v>176</v>
      </c>
      <c r="T2" s="381" t="s">
        <v>322</v>
      </c>
      <c r="U2" s="385" t="s">
        <v>323</v>
      </c>
      <c r="V2" s="380" t="s">
        <v>324</v>
      </c>
      <c r="W2" s="381" t="s">
        <v>325</v>
      </c>
      <c r="X2" s="386"/>
      <c r="Y2" s="387" t="s">
        <v>326</v>
      </c>
      <c r="Z2" s="387"/>
      <c r="AA2" s="387"/>
      <c r="AC2" s="380" t="s">
        <v>327</v>
      </c>
      <c r="AD2" s="384" t="s">
        <v>203</v>
      </c>
      <c r="AE2" s="381" t="s">
        <v>202</v>
      </c>
      <c r="AG2" s="388" t="s">
        <v>328</v>
      </c>
      <c r="AH2" s="381" t="s">
        <v>329</v>
      </c>
    </row>
    <row r="3" s="337" customFormat="true" ht="12" hidden="false" customHeight="false" outlineLevel="0" collapsed="false">
      <c r="A3" s="389" t="s">
        <v>175</v>
      </c>
      <c r="B3" s="390" t="s">
        <v>175</v>
      </c>
      <c r="C3" s="382"/>
      <c r="D3" s="391" t="s">
        <v>178</v>
      </c>
      <c r="E3" s="392" t="s">
        <v>178</v>
      </c>
      <c r="F3" s="390" t="s">
        <v>178</v>
      </c>
      <c r="G3" s="391" t="s">
        <v>177</v>
      </c>
      <c r="H3" s="392" t="s">
        <v>177</v>
      </c>
      <c r="I3" s="390" t="s">
        <v>177</v>
      </c>
      <c r="J3" s="391" t="s">
        <v>176</v>
      </c>
      <c r="K3" s="392" t="s">
        <v>176</v>
      </c>
      <c r="L3" s="390" t="s">
        <v>176</v>
      </c>
      <c r="M3" s="389" t="s">
        <v>330</v>
      </c>
      <c r="N3" s="390" t="s">
        <v>179</v>
      </c>
      <c r="O3" s="382"/>
      <c r="P3" s="391" t="s">
        <v>12</v>
      </c>
      <c r="Q3" s="393" t="s">
        <v>331</v>
      </c>
      <c r="R3" s="391" t="s">
        <v>332</v>
      </c>
      <c r="S3" s="394" t="s">
        <v>333</v>
      </c>
      <c r="T3" s="393" t="s">
        <v>331</v>
      </c>
      <c r="U3" s="395" t="s">
        <v>331</v>
      </c>
      <c r="V3" s="391" t="s">
        <v>334</v>
      </c>
      <c r="W3" s="393" t="s">
        <v>331</v>
      </c>
      <c r="X3" s="386"/>
      <c r="Y3" s="396"/>
      <c r="Z3" s="397"/>
      <c r="AA3" s="398"/>
      <c r="AC3" s="391" t="s">
        <v>175</v>
      </c>
      <c r="AD3" s="394" t="s">
        <v>176</v>
      </c>
      <c r="AE3" s="393" t="s">
        <v>176</v>
      </c>
      <c r="AG3" s="396" t="s">
        <v>178</v>
      </c>
      <c r="AH3" s="393" t="s">
        <v>178</v>
      </c>
    </row>
    <row r="4" customFormat="false" ht="12" hidden="false" customHeight="false" outlineLevel="0" collapsed="false">
      <c r="A4" s="399" t="s">
        <v>12</v>
      </c>
      <c r="B4" s="400" t="n">
        <f aca="false">T_ini</f>
        <v>0</v>
      </c>
      <c r="C4" s="401"/>
      <c r="D4" s="399" t="s">
        <v>12</v>
      </c>
      <c r="E4" s="402" t="s">
        <v>12</v>
      </c>
      <c r="F4" s="403" t="s">
        <v>12</v>
      </c>
      <c r="G4" s="399" t="n">
        <f aca="false">vit_xz*COS(Beta)</f>
        <v>0</v>
      </c>
      <c r="H4" s="402" t="n">
        <f aca="false">vit_xz*SIN(Beta)</f>
        <v>0</v>
      </c>
      <c r="I4" s="400" t="n">
        <f aca="false">V_ini</f>
        <v>0</v>
      </c>
      <c r="J4" s="404" t="n">
        <f aca="false">X_ini</f>
        <v>0</v>
      </c>
      <c r="K4" s="405" t="n">
        <f aca="false">Z_ini</f>
        <v>0</v>
      </c>
      <c r="L4" s="406" t="n">
        <f aca="false">SQRT(pos_x^2+pos_z^2)</f>
        <v>0</v>
      </c>
      <c r="M4" s="399" t="n">
        <f aca="false">RADIANS(N4)</f>
        <v>1.39626340159546</v>
      </c>
      <c r="N4" s="400" t="n">
        <f aca="false">Beta_rampe</f>
        <v>80</v>
      </c>
      <c r="O4" s="401"/>
      <c r="P4" s="399" t="s">
        <v>12</v>
      </c>
      <c r="Q4" s="403" t="s">
        <v>12</v>
      </c>
      <c r="R4" s="399" t="s">
        <v>12</v>
      </c>
      <c r="S4" s="405" t="n">
        <f aca="false">m_tot</f>
        <v>8.411</v>
      </c>
      <c r="T4" s="406" t="n">
        <f aca="false">m*g</f>
        <v>82.51191</v>
      </c>
      <c r="U4" s="407" t="n">
        <f aca="false">IF(pos_xz&lt;L_rampe,Poids*COS(Beta),0)</f>
        <v>14.3280428073181</v>
      </c>
      <c r="V4" s="408" t="n">
        <f aca="false">Rho_moyen*(20000-Alt_rampe-pos_z)/(20000+Alt_rampe+pos_z)</f>
        <v>1.225</v>
      </c>
      <c r="W4" s="406" t="n">
        <f aca="false">1/2*Rho*Sref*Cx*vit_xz^2</f>
        <v>0</v>
      </c>
      <c r="X4" s="401"/>
      <c r="Y4" s="409" t="s">
        <v>12</v>
      </c>
      <c r="Z4" s="410" t="s">
        <v>12</v>
      </c>
      <c r="AA4" s="411" t="s">
        <v>12</v>
      </c>
      <c r="AB4" s="412"/>
      <c r="AC4" s="413" t="n">
        <f aca="false">IF(ABS(t-ROUND(t,0))&lt;0.001,t,-1)</f>
        <v>0</v>
      </c>
      <c r="AD4" s="414" t="n">
        <f aca="false">IF(ABS(t-ROUND(t,0))&lt;0.001,pos_x,-1)</f>
        <v>0</v>
      </c>
      <c r="AE4" s="415" t="n">
        <f aca="false">IF(t&lt;T_para, pos_z, NA())</f>
        <v>0</v>
      </c>
      <c r="AF4" s="412"/>
      <c r="AG4" s="399" t="s">
        <v>12</v>
      </c>
      <c r="AH4" s="403" t="s">
        <v>12</v>
      </c>
    </row>
    <row r="5" customFormat="false" ht="12" hidden="false" customHeight="false" outlineLevel="0" collapsed="false">
      <c r="A5" s="416" t="n">
        <f aca="false">IF(B4+0.01&lt;=T_ini+ROUNDUP(Temps_fin_propu,0), 0.01, IF(K4&gt;0, 0.1, 0.0001))</f>
        <v>0.01</v>
      </c>
      <c r="B5" s="417" t="n">
        <f aca="false">B4+pas</f>
        <v>0.01</v>
      </c>
      <c r="C5" s="401"/>
      <c r="D5" s="418" t="n">
        <f aca="false">IF(AND(L4&lt;L_rampe,Poussee&lt;Poids*SIN(M4)),0,(-W4+Poussee)/m*COS(M4)-U4/m*SIN(M4))</f>
        <v>0.166031272295798</v>
      </c>
      <c r="E5" s="419" t="n">
        <f aca="false">IF(AND(L4&lt;L_rampe,Poussee&lt;Poids*SIN(M4)),0,(-W4+Poussee)/m*SIN(M4)+U4/m*COS(M4)-Poids/m)</f>
        <v>0.942132860554413</v>
      </c>
      <c r="F5" s="417" t="n">
        <f aca="false">SQRT(acc_x^2+acc_z^2)</f>
        <v>0.956650777617727</v>
      </c>
      <c r="G5" s="418" t="n">
        <f aca="false">G4+acc_x*pas</f>
        <v>0.00166031272295798</v>
      </c>
      <c r="H5" s="419" t="n">
        <f aca="false">H4+acc_z*pas</f>
        <v>0.00942132860554413</v>
      </c>
      <c r="I5" s="417" t="n">
        <f aca="false">SQRT(vit_x^2+vit_z^2)</f>
        <v>0.00956650777617727</v>
      </c>
      <c r="J5" s="418" t="n">
        <f aca="false">J4+0.5*(vit_x+G4)*pas*(K4&gt;=0)</f>
        <v>8.30156361478988E-006</v>
      </c>
      <c r="K5" s="419" t="n">
        <f aca="false">K4+0.5*(vit_z+H4)*pas</f>
        <v>4.71066430277206E-005</v>
      </c>
      <c r="L5" s="417" t="n">
        <f aca="false">SQRT(pos_x^2+pos_z^2)</f>
        <v>4.78325388808864E-005</v>
      </c>
      <c r="M5" s="418" t="n">
        <f aca="false">IF(AND(L4&gt;L_rampe,G5&gt;0),ATAN2(G5,H5),$M$4)</f>
        <v>1.39626340159546</v>
      </c>
      <c r="N5" s="417" t="n">
        <f aca="false">DEGREES(Beta)</f>
        <v>79.9999999999998</v>
      </c>
      <c r="O5" s="401"/>
      <c r="P5" s="420" t="n">
        <f aca="false">MATCH(t-pas/2-T_ini,CdP_t)</f>
        <v>1</v>
      </c>
      <c r="Q5" s="417" t="n">
        <f aca="false">(INDEX(CdP,2,i_P+1)-INDEX(CdP,2,i_P+0))/(INDEX(CdP,1,i_P+1)-INDEX(CdP,1,i_P+0))*(t-pas/2-T_ini-INDEX(CdP,1,i_P+0))+INDEX(CdP,2,i_P+0)</f>
        <v>89.3</v>
      </c>
      <c r="R5" s="418" t="n">
        <f aca="false">Poussee/(g*ISP)</f>
        <v>0.0448155093593475</v>
      </c>
      <c r="S5" s="419" t="n">
        <f aca="false">S4-Débit*pas</f>
        <v>8.41055184490641</v>
      </c>
      <c r="T5" s="417" t="n">
        <f aca="false">m*g</f>
        <v>82.5075135985318</v>
      </c>
      <c r="U5" s="421" t="n">
        <f aca="false">IF(pos_xz&lt;L_rampe,Poids*COS(Beta),0)</f>
        <v>14.3272793802148</v>
      </c>
      <c r="V5" s="418" t="n">
        <f aca="false">Rho_moyen*(20000-Alt_rampe-pos_z)/(20000+Alt_rampe+pos_z)</f>
        <v>1.22499999422944</v>
      </c>
      <c r="W5" s="417" t="n">
        <f aca="false">1/2*Rho*Sref*Cx*vit_xz^2</f>
        <v>3.44729664372215E-007</v>
      </c>
      <c r="X5" s="401"/>
      <c r="Y5" s="422" t="str">
        <f aca="false">IF(AND(pos_z&lt;=0,K4&gt;0),"Impact balistique","") &amp; IF(AND(H6&lt;0,vit_z&gt;=0),"Apogée","") &amp; IF(AND(Poussee=0,Q4&gt;0),"Fin de propulsion","") &amp; IF(AND(L6&gt;L_rampe,pos_xz&lt;=L_rampe),"Sortie de rampe","")</f>
        <v/>
      </c>
      <c r="Z5" s="423" t="str">
        <f aca="false">IF(ABS(t-T_para)&lt;pas/2,"Para","")</f>
        <v/>
      </c>
      <c r="AA5" s="424" t="str">
        <f aca="false">IF(ABS(t-T_satellite)&lt;pas/2,"Satellite","")</f>
        <v/>
      </c>
      <c r="AB5" s="412"/>
      <c r="AC5" s="420" t="e">
        <f aca="false">IF(ABS(t-ROUND(t,0))&lt;0.001,t,NA())</f>
        <v>#N/A</v>
      </c>
      <c r="AD5" s="425" t="e">
        <f aca="false">IF(ABS(t-ROUND(t,0))&lt;0.001,pos_x,NA())</f>
        <v>#N/A</v>
      </c>
      <c r="AE5" s="426" t="n">
        <f aca="false">IF(t&lt;T_para, pos_z, NA())</f>
        <v>4.71066430277206E-005</v>
      </c>
      <c r="AF5" s="412"/>
      <c r="AG5" s="418" t="n">
        <f aca="false">IF(AND(L4&lt;L_rampe,Poussee&lt;Poids*SIN(M4)),0,(-W4+Poussee)/m-Poids*SIN(M4)/m)</f>
        <v>0.956650773311443</v>
      </c>
      <c r="AH5" s="417" t="n">
        <f aca="false">IF(AND(L4&lt;L_rampe,Poussee&lt;Poids*SIN(M4)), g*SIN(M4), (-W4+Poussee)/m)</f>
        <v>10.6176148303612</v>
      </c>
    </row>
    <row r="6" customFormat="false" ht="12" hidden="false" customHeight="false" outlineLevel="0" collapsed="false">
      <c r="A6" s="416" t="n">
        <f aca="false">IF(B5+0.01&lt;=T_ini+ROUNDUP(Temps_fin_propu,0), 0.01, IF(K5&gt;0, 0.1, 0.0001))</f>
        <v>0.01</v>
      </c>
      <c r="B6" s="417" t="n">
        <f aca="false">B5+pas</f>
        <v>0.02</v>
      </c>
      <c r="C6" s="401"/>
      <c r="D6" s="418" t="n">
        <f aca="false">IF(AND(L5&lt;L_rampe,Poussee&lt;Poids*SIN(M5)),0,(-W5+Poussee)/m*COS(M5)-U5/m*SIN(M5))</f>
        <v>3.85419570011191</v>
      </c>
      <c r="E6" s="419" t="n">
        <f aca="false">IF(AND(L5&lt;L_rampe,Poussee&lt;Poids*SIN(M5)),0,(-W5+Poussee)/m*SIN(M5)+U5/m*COS(M5)-Poids/m)</f>
        <v>21.8597984274986</v>
      </c>
      <c r="F6" s="417" t="n">
        <f aca="false">SQRT(acc_x^2+acc_z^2)</f>
        <v>22.1969730320517</v>
      </c>
      <c r="G6" s="418" t="n">
        <f aca="false">G5+acc_x*pas</f>
        <v>0.0402022697240771</v>
      </c>
      <c r="H6" s="419" t="n">
        <f aca="false">H5+acc_z*pas</f>
        <v>0.22801931288053</v>
      </c>
      <c r="I6" s="417" t="n">
        <f aca="false">SQRT(vit_x^2+vit_z^2)</f>
        <v>0.231536238065398</v>
      </c>
      <c r="J6" s="418" t="n">
        <f aca="false">J5+0.5*(vit_x+G5)*pas*(K5&gt;=0)</f>
        <v>0.000217614475849965</v>
      </c>
      <c r="K6" s="419" t="n">
        <f aca="false">K5+0.5*(vit_z+H5)*pas</f>
        <v>0.00123430985045809</v>
      </c>
      <c r="L6" s="417" t="n">
        <f aca="false">SQRT(pos_x^2+pos_z^2)</f>
        <v>0.00125334626781163</v>
      </c>
      <c r="M6" s="418" t="n">
        <f aca="false">IF(AND(L5&gt;L_rampe,G6&gt;0),ATAN2(G6,H6),$M$4)</f>
        <v>1.39626340159546</v>
      </c>
      <c r="N6" s="417" t="n">
        <f aca="false">DEGREES(Beta)</f>
        <v>79.9999999999998</v>
      </c>
      <c r="O6" s="401"/>
      <c r="P6" s="420" t="n">
        <f aca="false">MATCH(t-pas/2-T_ini,CdP_t)</f>
        <v>1</v>
      </c>
      <c r="Q6" s="417" t="n">
        <f aca="false">(INDEX(CdP,2,i_P+1)-INDEX(CdP,2,i_P+0))/(INDEX(CdP,1,i_P+1)-INDEX(CdP,1,i_P+0))*(t-pas/2-T_ini-INDEX(CdP,1,i_P+0))+INDEX(CdP,2,i_P+0)</f>
        <v>267.9</v>
      </c>
      <c r="R6" s="418" t="n">
        <f aca="false">Poussee/(g*ISP)</f>
        <v>0.134446528078043</v>
      </c>
      <c r="S6" s="419" t="n">
        <f aca="false">S5-Débit*pas</f>
        <v>8.40920737962563</v>
      </c>
      <c r="T6" s="417" t="n">
        <f aca="false">m*g</f>
        <v>82.4943243941274</v>
      </c>
      <c r="U6" s="421" t="n">
        <f aca="false">IF(pos_xz&lt;L_rampe,Poids*COS(Beta),0)</f>
        <v>14.3249890989051</v>
      </c>
      <c r="V6" s="418" t="n">
        <f aca="false">Rho_moyen*(20000-Alt_rampe-pos_z)/(20000+Alt_rampe+pos_z)</f>
        <v>1.22499984879705</v>
      </c>
      <c r="W6" s="417" t="n">
        <f aca="false">1/2*Rho*Sref*Cx*vit_xz^2</f>
        <v>0.000201934113748484</v>
      </c>
      <c r="X6" s="401"/>
      <c r="Y6" s="422" t="str">
        <f aca="false">IF(AND(pos_z&lt;=0,K5&gt;0),"Impact balistique","") &amp; IF(AND(H7&lt;0,vit_z&gt;=0),"Apogée","") &amp; IF(AND(Poussee=0,Q5&gt;0),"Fin de propulsion","") &amp; IF(AND(L7&gt;L_rampe,pos_xz&lt;=L_rampe),"Sortie de rampe","")</f>
        <v/>
      </c>
      <c r="Z6" s="423" t="str">
        <f aca="false">IF(ABS(t-T_para)&lt;pas/2,"Para","")</f>
        <v/>
      </c>
      <c r="AA6" s="424" t="str">
        <f aca="false">IF(ABS(t-T_satellite)&lt;pas/2,"Satellite","")</f>
        <v/>
      </c>
      <c r="AB6" s="412"/>
      <c r="AC6" s="420" t="e">
        <f aca="false">IF(ABS(t-ROUND(t,0))&lt;0.001,t,NA())</f>
        <v>#N/A</v>
      </c>
      <c r="AD6" s="425" t="e">
        <f aca="false">IF(ABS(t-ROUND(t,0))&lt;0.001,pos_x,NA())</f>
        <v>#N/A</v>
      </c>
      <c r="AE6" s="426" t="n">
        <f aca="false">IF(t&lt;T_para, pos_z, NA())</f>
        <v>0.00123430985045809</v>
      </c>
      <c r="AF6" s="412"/>
      <c r="AG6" s="418" t="n">
        <f aca="false">IF(AND(L5&lt;L_rampe,Poussee&lt;Poids*SIN(M5)),0,(-W5+Poussee)/m-Poids*SIN(M5)/m)</f>
        <v>22.1969730303808</v>
      </c>
      <c r="AH6" s="417" t="n">
        <f aca="false">IF(AND(L5&lt;L_rampe,Poussee&lt;Poids*SIN(M5)), g*SIN(M5), (-W5+Poussee)/m)</f>
        <v>31.8579370874306</v>
      </c>
    </row>
    <row r="7" customFormat="false" ht="12" hidden="false" customHeight="false" outlineLevel="0" collapsed="false">
      <c r="A7" s="416" t="n">
        <f aca="false">IF(B6+0.01&lt;=T_ini+ROUNDUP(Temps_fin_propu,0), 0.01, IF(K6&gt;0, 0.1, 0.0001))</f>
        <v>0.01</v>
      </c>
      <c r="B7" s="417" t="n">
        <f aca="false">B6+pas</f>
        <v>0.03</v>
      </c>
      <c r="C7" s="401"/>
      <c r="D7" s="418" t="n">
        <f aca="false">IF(AND(L6&lt;L_rampe,Poussee&lt;Poids*SIN(M6)),0,(-W6+Poussee)/m*COS(M6)-U6/m*SIN(M6))</f>
        <v>7.54451860258497</v>
      </c>
      <c r="E7" s="419" t="n">
        <f aca="false">IF(AND(L6&lt;L_rampe,Poussee&lt;Poids*SIN(M6)),0,(-W6+Poussee)/m*SIN(M6)+U6/m*COS(M6)-Poids/m)</f>
        <v>42.7897059256905</v>
      </c>
      <c r="F7" s="417" t="n">
        <f aca="false">SQRT(acc_x^2+acc_z^2)</f>
        <v>43.4497260538179</v>
      </c>
      <c r="G7" s="418" t="n">
        <f aca="false">G6+acc_x*pas</f>
        <v>0.115647455749927</v>
      </c>
      <c r="H7" s="419" t="n">
        <f aca="false">H6+acc_z*pas</f>
        <v>0.655916372137435</v>
      </c>
      <c r="I7" s="417" t="n">
        <f aca="false">SQRT(vit_x^2+vit_z^2)</f>
        <v>0.666033498601508</v>
      </c>
      <c r="J7" s="418" t="n">
        <f aca="false">J6+0.5*(vit_x+G6)*pas*(K6&gt;=0)</f>
        <v>0.000996863103219984</v>
      </c>
      <c r="K7" s="419" t="n">
        <f aca="false">K6+0.5*(vit_z+H6)*pas</f>
        <v>0.00565398827554792</v>
      </c>
      <c r="L7" s="417" t="n">
        <f aca="false">SQRT(pos_x^2+pos_z^2)</f>
        <v>0.0057411949511051</v>
      </c>
      <c r="M7" s="418" t="n">
        <f aca="false">IF(AND(L6&gt;L_rampe,G7&gt;0),ATAN2(G7,H7),$M$4)</f>
        <v>1.39626340159546</v>
      </c>
      <c r="N7" s="417" t="n">
        <f aca="false">DEGREES(Beta)</f>
        <v>79.9999999999998</v>
      </c>
      <c r="O7" s="401"/>
      <c r="P7" s="420" t="n">
        <f aca="false">MATCH(t-pas/2-T_ini,CdP_t)</f>
        <v>1</v>
      </c>
      <c r="Q7" s="417" t="n">
        <f aca="false">(INDEX(CdP,2,i_P+1)-INDEX(CdP,2,i_P+0))/(INDEX(CdP,1,i_P+1)-INDEX(CdP,1,i_P+0))*(t-pas/2-T_ini-INDEX(CdP,1,i_P+0))+INDEX(CdP,2,i_P+0)</f>
        <v>446.5</v>
      </c>
      <c r="R7" s="418" t="n">
        <f aca="false">Poussee/(g*ISP)</f>
        <v>0.224077546796738</v>
      </c>
      <c r="S7" s="419" t="n">
        <f aca="false">S6-Débit*pas</f>
        <v>8.40696660415766</v>
      </c>
      <c r="T7" s="417" t="n">
        <f aca="false">m*g</f>
        <v>82.4723423867866</v>
      </c>
      <c r="U7" s="421" t="n">
        <f aca="false">IF(pos_xz&lt;L_rampe,Poids*COS(Beta),0)</f>
        <v>14.3211719633889</v>
      </c>
      <c r="V7" s="418" t="n">
        <f aca="false">Rho_moyen*(20000-Alt_rampe-pos_z)/(20000+Alt_rampe+pos_z)</f>
        <v>1.22499930738663</v>
      </c>
      <c r="W7" s="417" t="n">
        <f aca="false">1/2*Rho*Sref*Cx*vit_xz^2</f>
        <v>0.00167095094790021</v>
      </c>
      <c r="X7" s="401"/>
      <c r="Y7" s="422" t="str">
        <f aca="false">IF(AND(pos_z&lt;=0,K6&gt;0),"Impact balistique","") &amp; IF(AND(H8&lt;0,vit_z&gt;=0),"Apogée","") &amp; IF(AND(Poussee=0,Q6&gt;0),"Fin de propulsion","") &amp; IF(AND(L8&gt;L_rampe,pos_xz&lt;=L_rampe),"Sortie de rampe","")</f>
        <v/>
      </c>
      <c r="Z7" s="423" t="str">
        <f aca="false">IF(ABS(t-T_para)&lt;pas/2,"Para","")</f>
        <v/>
      </c>
      <c r="AA7" s="424" t="str">
        <f aca="false">IF(ABS(t-T_satellite)&lt;pas/2,"Satellite","")</f>
        <v/>
      </c>
      <c r="AB7" s="412"/>
      <c r="AC7" s="420" t="e">
        <f aca="false">IF(ABS(t-ROUND(t,0))&lt;0.001,t,NA())</f>
        <v>#N/A</v>
      </c>
      <c r="AD7" s="425" t="e">
        <f aca="false">IF(ABS(t-ROUND(t,0))&lt;0.001,pos_x,NA())</f>
        <v>#N/A</v>
      </c>
      <c r="AE7" s="426" t="n">
        <f aca="false">IF(t&lt;T_para, pos_z, NA())</f>
        <v>0.00565398827554792</v>
      </c>
      <c r="AF7" s="412"/>
      <c r="AG7" s="418" t="n">
        <f aca="false">IF(AND(L6&lt;L_rampe,Poussee&lt;Poids*SIN(M6)),0,(-W6+Poussee)/m-Poids*SIN(M6)/m)</f>
        <v>43.4497260514455</v>
      </c>
      <c r="AH7" s="417" t="n">
        <f aca="false">IF(AND(L6&lt;L_rampe,Poussee&lt;Poids*SIN(M6)), g*SIN(M6), (-W6+Poussee)/m)</f>
        <v>53.1106901084953</v>
      </c>
    </row>
    <row r="8" customFormat="false" ht="12" hidden="false" customHeight="false" outlineLevel="0" collapsed="false">
      <c r="A8" s="416" t="n">
        <f aca="false">IF(B7+0.01&lt;=T_ini+ROUNDUP(Temps_fin_propu,0), 0.01, IF(K7&gt;0, 0.1, 0.0001))</f>
        <v>0.01</v>
      </c>
      <c r="B8" s="417" t="n">
        <f aca="false">B7+pas</f>
        <v>0.04</v>
      </c>
      <c r="C8" s="401"/>
      <c r="D8" s="418" t="n">
        <f aca="false">IF(AND(L7&lt;L_rampe,Poussee&lt;Poids*SIN(M7)),0,(-W7+Poussee)/m*COS(M7)-U7/m*SIN(M7))</f>
        <v>11.2381604496275</v>
      </c>
      <c r="E8" s="419" t="n">
        <f aca="false">IF(AND(L7&lt;L_rampe,Poussee&lt;Poids*SIN(M7)),0,(-W7+Poussee)/m*SIN(M7)+U7/m*COS(M7)-Poids/m)</f>
        <v>63.738437042321</v>
      </c>
      <c r="F8" s="417" t="n">
        <f aca="false">SQRT(acc_x^2+acc_z^2)</f>
        <v>64.7215930496885</v>
      </c>
      <c r="G8" s="418" t="n">
        <f aca="false">G7+acc_x*pas</f>
        <v>0.228029060246202</v>
      </c>
      <c r="H8" s="419" t="n">
        <f aca="false">H7+acc_z*pas</f>
        <v>1.29330074256064</v>
      </c>
      <c r="I8" s="417" t="n">
        <f aca="false">SQRT(vit_x^2+vit_z^2)</f>
        <v>1.31324942909741</v>
      </c>
      <c r="J8" s="418" t="n">
        <f aca="false">J7+0.5*(vit_x+G7)*pas*(K7&gt;=0)</f>
        <v>0.00271524568320063</v>
      </c>
      <c r="K8" s="419" t="n">
        <f aca="false">K7+0.5*(vit_z+H7)*pas</f>
        <v>0.0154000738490383</v>
      </c>
      <c r="L8" s="417" t="n">
        <f aca="false">SQRT(pos_x^2+pos_z^2)</f>
        <v>0.0156376095895752</v>
      </c>
      <c r="M8" s="418" t="n">
        <f aca="false">IF(AND(L7&gt;L_rampe,G8&gt;0),ATAN2(G8,H8),$M$4)</f>
        <v>1.39626340159546</v>
      </c>
      <c r="N8" s="417" t="n">
        <f aca="false">DEGREES(Beta)</f>
        <v>79.9999999999998</v>
      </c>
      <c r="O8" s="401"/>
      <c r="P8" s="420" t="n">
        <f aca="false">MATCH(t-pas/2-T_ini,CdP_t)</f>
        <v>1</v>
      </c>
      <c r="Q8" s="417" t="n">
        <f aca="false">(INDEX(CdP,2,i_P+1)-INDEX(CdP,2,i_P+0))/(INDEX(CdP,1,i_P+1)-INDEX(CdP,1,i_P+0))*(t-pas/2-T_ini-INDEX(CdP,1,i_P+0))+INDEX(CdP,2,i_P+0)</f>
        <v>625.1</v>
      </c>
      <c r="R8" s="418" t="n">
        <f aca="false">Poussee/(g*ISP)</f>
        <v>0.313708565515433</v>
      </c>
      <c r="S8" s="419" t="n">
        <f aca="false">S7-Débit*pas</f>
        <v>8.4038295185025</v>
      </c>
      <c r="T8" s="417" t="n">
        <f aca="false">m*g</f>
        <v>82.4415675765096</v>
      </c>
      <c r="U8" s="421" t="n">
        <f aca="false">IF(pos_xz&lt;L_rampe,Poids*COS(Beta),0)</f>
        <v>14.3158279736663</v>
      </c>
      <c r="V8" s="418" t="n">
        <f aca="false">Rho_moyen*(20000-Alt_rampe-pos_z)/(20000+Alt_rampe+pos_z)</f>
        <v>1.22499811349241</v>
      </c>
      <c r="W8" s="417" t="n">
        <f aca="false">1/2*Rho*Sref*Cx*vit_xz^2</f>
        <v>0.00649629253474139</v>
      </c>
      <c r="X8" s="401"/>
      <c r="Y8" s="422" t="str">
        <f aca="false">IF(AND(pos_z&lt;=0,K7&gt;0),"Impact balistique","") &amp; IF(AND(H9&lt;0,vit_z&gt;=0),"Apogée","") &amp; IF(AND(Poussee=0,Q7&gt;0),"Fin de propulsion","") &amp; IF(AND(L9&gt;L_rampe,pos_xz&lt;=L_rampe),"Sortie de rampe","")</f>
        <v/>
      </c>
      <c r="Z8" s="423" t="str">
        <f aca="false">IF(ABS(t-T_para)&lt;pas/2,"Para","")</f>
        <v/>
      </c>
      <c r="AA8" s="424" t="str">
        <f aca="false">IF(ABS(t-T_satellite)&lt;pas/2,"Satellite","")</f>
        <v/>
      </c>
      <c r="AB8" s="412"/>
      <c r="AC8" s="420" t="e">
        <f aca="false">IF(ABS(t-ROUND(t,0))&lt;0.001,t,NA())</f>
        <v>#N/A</v>
      </c>
      <c r="AD8" s="425" t="e">
        <f aca="false">IF(ABS(t-ROUND(t,0))&lt;0.001,pos_x,NA())</f>
        <v>#N/A</v>
      </c>
      <c r="AE8" s="426" t="n">
        <f aca="false">IF(t&lt;T_para, pos_z, NA())</f>
        <v>0.0154000738490383</v>
      </c>
      <c r="AF8" s="412"/>
      <c r="AG8" s="418" t="n">
        <f aca="false">IF(AND(L7&lt;L_rampe,Poussee&lt;Poids*SIN(M7)),0,(-W7+Poussee)/m-Poids*SIN(M7)/m)</f>
        <v>64.7215930465646</v>
      </c>
      <c r="AH8" s="417" t="n">
        <f aca="false">IF(AND(L7&lt;L_rampe,Poussee&lt;Poids*SIN(M7)), g*SIN(M7), (-W7+Poussee)/m)</f>
        <v>74.3825571036143</v>
      </c>
    </row>
    <row r="9" customFormat="false" ht="12" hidden="false" customHeight="false" outlineLevel="0" collapsed="false">
      <c r="A9" s="416" t="n">
        <f aca="false">IF(B8+0.01&lt;=T_ini+ROUNDUP(Temps_fin_propu,0), 0.01, IF(K8&gt;0, 0.1, 0.0001))</f>
        <v>0.01</v>
      </c>
      <c r="B9" s="417" t="n">
        <f aca="false">B8+pas</f>
        <v>0.05</v>
      </c>
      <c r="C9" s="401"/>
      <c r="D9" s="418" t="n">
        <f aca="false">IF(AND(L8&lt;L_rampe,Poussee&lt;Poids*SIN(M8)),0,(-W8+Poussee)/m*COS(M8)-U8/m*SIN(M8))</f>
        <v>14.9362641795365</v>
      </c>
      <c r="E9" s="419" t="n">
        <f aca="false">IF(AND(L8&lt;L_rampe,Poussee&lt;Poids*SIN(M8)),0,(-W8+Poussee)/m*SIN(M8)+U8/m*COS(M8)-Poids/m)</f>
        <v>84.7124740388857</v>
      </c>
      <c r="F9" s="417" t="n">
        <f aca="false">SQRT(acc_x^2+acc_z^2)</f>
        <v>86.0191562701575</v>
      </c>
      <c r="G9" s="418" t="n">
        <f aca="false">G8+acc_x*pas</f>
        <v>0.377391702041567</v>
      </c>
      <c r="H9" s="419" t="n">
        <f aca="false">H8+acc_z*pas</f>
        <v>2.1404254829495</v>
      </c>
      <c r="I9" s="417" t="n">
        <f aca="false">SQRT(vit_x^2+vit_z^2)</f>
        <v>2.17344099179836</v>
      </c>
      <c r="J9" s="418" t="n">
        <f aca="false">J8+0.5*(vit_x+G8)*pas*(K8&gt;=0)</f>
        <v>0.00574234949463947</v>
      </c>
      <c r="K9" s="419" t="n">
        <f aca="false">K8+0.5*(vit_z+H8)*pas</f>
        <v>0.032568704976589</v>
      </c>
      <c r="L9" s="417" t="n">
        <f aca="false">SQRT(pos_x^2+pos_z^2)</f>
        <v>0.0330710616940352</v>
      </c>
      <c r="M9" s="418" t="n">
        <f aca="false">IF(AND(L8&gt;L_rampe,G9&gt;0),ATAN2(G9,H9),$M$4)</f>
        <v>1.39626340159546</v>
      </c>
      <c r="N9" s="417" t="n">
        <f aca="false">DEGREES(Beta)</f>
        <v>79.9999999999998</v>
      </c>
      <c r="O9" s="401"/>
      <c r="P9" s="420" t="n">
        <f aca="false">MATCH(t-pas/2-T_ini,CdP_t)</f>
        <v>1</v>
      </c>
      <c r="Q9" s="417" t="n">
        <f aca="false">(INDEX(CdP,2,i_P+1)-INDEX(CdP,2,i_P+0))/(INDEX(CdP,1,i_P+1)-INDEX(CdP,1,i_P+0))*(t-pas/2-T_ini-INDEX(CdP,1,i_P+0))+INDEX(CdP,2,i_P+0)</f>
        <v>803.7</v>
      </c>
      <c r="R9" s="418" t="n">
        <f aca="false">Poussee/(g*ISP)</f>
        <v>0.403339584234128</v>
      </c>
      <c r="S9" s="419" t="n">
        <f aca="false">S8-Débit*pas</f>
        <v>8.39979612266016</v>
      </c>
      <c r="T9" s="417" t="n">
        <f aca="false">m*g</f>
        <v>82.4019999632962</v>
      </c>
      <c r="U9" s="421" t="n">
        <f aca="false">IF(pos_xz&lt;L_rampe,Poids*COS(Beta),0)</f>
        <v>14.3089571297371</v>
      </c>
      <c r="V9" s="418" t="n">
        <f aca="false">Rho_moyen*(20000-Alt_rampe-pos_z)/(20000+Alt_rampe+pos_z)</f>
        <v>1.22499601034014</v>
      </c>
      <c r="W9" s="417" t="n">
        <f aca="false">1/2*Rho*Sref*Cx*vit_xz^2</f>
        <v>0.0177936930251462</v>
      </c>
      <c r="X9" s="401"/>
      <c r="Y9" s="422" t="str">
        <f aca="false">IF(AND(pos_z&lt;=0,K8&gt;0),"Impact balistique","") &amp; IF(AND(H10&lt;0,vit_z&gt;=0),"Apogée","") &amp; IF(AND(Poussee=0,Q8&gt;0),"Fin de propulsion","") &amp; IF(AND(L10&gt;L_rampe,pos_xz&lt;=L_rampe),"Sortie de rampe","")</f>
        <v/>
      </c>
      <c r="Z9" s="423" t="str">
        <f aca="false">IF(ABS(t-T_para)&lt;pas/2,"Para","")</f>
        <v/>
      </c>
      <c r="AA9" s="424" t="str">
        <f aca="false">IF(ABS(t-T_satellite)&lt;pas/2,"Satellite","")</f>
        <v/>
      </c>
      <c r="AB9" s="412"/>
      <c r="AC9" s="420" t="e">
        <f aca="false">IF(ABS(t-ROUND(t,0))&lt;0.001,t,NA())</f>
        <v>#N/A</v>
      </c>
      <c r="AD9" s="425" t="e">
        <f aca="false">IF(ABS(t-ROUND(t,0))&lt;0.001,pos_x,NA())</f>
        <v>#N/A</v>
      </c>
      <c r="AE9" s="426" t="n">
        <f aca="false">IF(t&lt;T_para, pos_z, NA())</f>
        <v>0.032568704976589</v>
      </c>
      <c r="AF9" s="412"/>
      <c r="AG9" s="418" t="n">
        <f aca="false">IF(AND(L8&lt;L_rampe,Poussee&lt;Poids*SIN(M8)),0,(-W8+Poussee)/m-Poids*SIN(M8)/m)</f>
        <v>86.0191562662684</v>
      </c>
      <c r="AH9" s="417" t="n">
        <f aca="false">IF(AND(L8&lt;L_rampe,Poussee&lt;Poids*SIN(M8)), g*SIN(M8), (-W8+Poussee)/m)</f>
        <v>95.6801203233181</v>
      </c>
    </row>
    <row r="10" customFormat="false" ht="12" hidden="false" customHeight="false" outlineLevel="0" collapsed="false">
      <c r="A10" s="416" t="n">
        <f aca="false">IF(B9+0.01&lt;=T_ini+ROUNDUP(Temps_fin_propu,0), 0.01, IF(K9&gt;0, 0.1, 0.0001))</f>
        <v>0.01</v>
      </c>
      <c r="B10" s="417" t="n">
        <f aca="false">B9+pas</f>
        <v>0.06</v>
      </c>
      <c r="C10" s="401"/>
      <c r="D10" s="418" t="n">
        <f aca="false">IF(AND(L9&lt;L_rampe,Poussee&lt;Poids*SIN(M9)),0,(-W9+Poussee)/m*COS(M9)-U9/m*SIN(M9))</f>
        <v>16.7700418557534</v>
      </c>
      <c r="E10" s="419" t="n">
        <f aca="false">IF(AND(L9&lt;L_rampe,Poussee&lt;Poids*SIN(M9)),0,(-W9+Poussee)/m*SIN(M9)+U9/m*COS(M9)-Poids/m)</f>
        <v>95.112864029733</v>
      </c>
      <c r="F10" s="417" t="n">
        <f aca="false">SQRT(acc_x^2+acc_z^2)</f>
        <v>96.5799731195976</v>
      </c>
      <c r="G10" s="418" t="n">
        <f aca="false">G9+acc_x*pas</f>
        <v>0.545092120599102</v>
      </c>
      <c r="H10" s="419" t="n">
        <f aca="false">H9+acc_z*pas</f>
        <v>3.09155412324683</v>
      </c>
      <c r="I10" s="417" t="n">
        <f aca="false">SQRT(vit_x^2+vit_z^2)</f>
        <v>3.13924072299397</v>
      </c>
      <c r="J10" s="418" t="n">
        <f aca="false">J9+0.5*(vit_x+G9)*pas*(K9&gt;=0)</f>
        <v>0.0103547686078428</v>
      </c>
      <c r="K10" s="419" t="n">
        <f aca="false">K9+0.5*(vit_z+H9)*pas</f>
        <v>0.0587286030075707</v>
      </c>
      <c r="L10" s="417" t="n">
        <f aca="false">SQRT(pos_x^2+pos_z^2)</f>
        <v>0.0596344702679819</v>
      </c>
      <c r="M10" s="418" t="n">
        <f aca="false">IF(AND(L9&gt;L_rampe,G10&gt;0),ATAN2(G10,H10),$M$4)</f>
        <v>1.39626340159546</v>
      </c>
      <c r="N10" s="417" t="n">
        <f aca="false">DEGREES(Beta)</f>
        <v>79.9999999999998</v>
      </c>
      <c r="O10" s="401"/>
      <c r="P10" s="420" t="n">
        <f aca="false">MATCH(t-pas/2-T_ini,CdP_t)</f>
        <v>2</v>
      </c>
      <c r="Q10" s="417" t="n">
        <f aca="false">(INDEX(CdP,2,i_P+1)-INDEX(CdP,2,i_P+0))/(INDEX(CdP,1,i_P+1)-INDEX(CdP,1,i_P+0))*(t-pas/2-T_ini-INDEX(CdP,1,i_P+0))+INDEX(CdP,2,i_P+0)</f>
        <v>891.944444444445</v>
      </c>
      <c r="R10" s="418" t="n">
        <f aca="false">Poussee/(g*ISP)</f>
        <v>0.447625359440291</v>
      </c>
      <c r="S10" s="419" t="n">
        <f aca="false">S9-Débit*pas</f>
        <v>8.39531986906576</v>
      </c>
      <c r="T10" s="417" t="n">
        <f aca="false">m*g</f>
        <v>82.3580879155351</v>
      </c>
      <c r="U10" s="421" t="n">
        <f aca="false">IF(pos_xz&lt;L_rampe,Poids*COS(Beta),0)</f>
        <v>14.3013318826658</v>
      </c>
      <c r="V10" s="418" t="n">
        <f aca="false">Rho_moyen*(20000-Alt_rampe-pos_z)/(20000+Alt_rampe+pos_z)</f>
        <v>1.22499280576726</v>
      </c>
      <c r="W10" s="417" t="n">
        <f aca="false">1/2*Rho*Sref*Cx*vit_xz^2</f>
        <v>0.0371208993286663</v>
      </c>
      <c r="X10" s="401"/>
      <c r="Y10" s="422" t="str">
        <f aca="false">IF(AND(pos_z&lt;=0,K9&gt;0),"Impact balistique","") &amp; IF(AND(H11&lt;0,vit_z&gt;=0),"Apogée","") &amp; IF(AND(Poussee=0,Q9&gt;0),"Fin de propulsion","") &amp; IF(AND(L11&gt;L_rampe,pos_xz&lt;=L_rampe),"Sortie de rampe","")</f>
        <v/>
      </c>
      <c r="Z10" s="423" t="str">
        <f aca="false">IF(ABS(t-T_para)&lt;pas/2,"Para","")</f>
        <v/>
      </c>
      <c r="AA10" s="424" t="str">
        <f aca="false">IF(ABS(t-T_satellite)&lt;pas/2,"Satellite","")</f>
        <v/>
      </c>
      <c r="AB10" s="412"/>
      <c r="AC10" s="420" t="e">
        <f aca="false">IF(ABS(t-ROUND(t,0))&lt;0.001,t,NA())</f>
        <v>#N/A</v>
      </c>
      <c r="AD10" s="425" t="e">
        <f aca="false">IF(ABS(t-ROUND(t,0))&lt;0.001,pos_x,NA())</f>
        <v>#N/A</v>
      </c>
      <c r="AE10" s="426" t="n">
        <f aca="false">IF(t&lt;T_para, pos_z, NA())</f>
        <v>0.0587286030075707</v>
      </c>
      <c r="AF10" s="412"/>
      <c r="AG10" s="418" t="n">
        <f aca="false">IF(AND(L9&lt;L_rampe,Poussee&lt;Poids*SIN(M9)),0,(-W9+Poussee)/m-Poids*SIN(M9)/m)</f>
        <v>96.5799731153267</v>
      </c>
      <c r="AH10" s="417" t="n">
        <f aca="false">IF(AND(L9&lt;L_rampe,Poussee&lt;Poids*SIN(M9)), g*SIN(M9), (-W9+Poussee)/m)</f>
        <v>106.240937172376</v>
      </c>
    </row>
    <row r="11" customFormat="false" ht="12" hidden="false" customHeight="false" outlineLevel="0" collapsed="false">
      <c r="A11" s="416" t="n">
        <f aca="false">IF(B10+0.01&lt;=T_ini+ROUNDUP(Temps_fin_propu,0), 0.01, IF(K10&gt;0, 0.1, 0.0001))</f>
        <v>0.01</v>
      </c>
      <c r="B11" s="417" t="n">
        <f aca="false">B10+pas</f>
        <v>0.07</v>
      </c>
      <c r="C11" s="401"/>
      <c r="D11" s="418" t="n">
        <f aca="false">IF(AND(L10&lt;L_rampe,Poussee&lt;Poids*SIN(M10)),0,(-W10+Poussee)/m*COS(M10)-U10/m*SIN(M10))</f>
        <v>16.7357726341751</v>
      </c>
      <c r="E11" s="419" t="n">
        <f aca="false">IF(AND(L10&lt;L_rampe,Poussee&lt;Poids*SIN(M10)),0,(-W10+Poussee)/m*SIN(M10)+U10/m*COS(M10)-Poids/m)</f>
        <v>94.9185040135822</v>
      </c>
      <c r="F11" s="417" t="n">
        <f aca="false">SQRT(acc_x^2+acc_z^2)</f>
        <v>96.3826150809326</v>
      </c>
      <c r="G11" s="418" t="n">
        <f aca="false">G10+acc_x*pas</f>
        <v>0.712449846940852</v>
      </c>
      <c r="H11" s="419" t="n">
        <f aca="false">H10+acc_z*pas</f>
        <v>4.04073916338265</v>
      </c>
      <c r="I11" s="417" t="n">
        <f aca="false">SQRT(vit_x^2+vit_z^2)</f>
        <v>4.10306687380311</v>
      </c>
      <c r="J11" s="418" t="n">
        <f aca="false">J10+0.5*(vit_x+G10)*pas*(K10&gt;=0)</f>
        <v>0.0166424784455426</v>
      </c>
      <c r="K11" s="419" t="n">
        <f aca="false">K10+0.5*(vit_z+H10)*pas</f>
        <v>0.0943900694407182</v>
      </c>
      <c r="L11" s="417" t="n">
        <f aca="false">SQRT(pos_x^2+pos_z^2)</f>
        <v>0.0958460082519556</v>
      </c>
      <c r="M11" s="418" t="n">
        <f aca="false">IF(AND(L10&gt;L_rampe,G11&gt;0),ATAN2(G11,H11),$M$4)</f>
        <v>1.39626340159546</v>
      </c>
      <c r="N11" s="417" t="n">
        <f aca="false">DEGREES(Beta)</f>
        <v>79.9999999999998</v>
      </c>
      <c r="O11" s="401"/>
      <c r="P11" s="420" t="n">
        <f aca="false">MATCH(t-pas/2-T_ini,CdP_t)</f>
        <v>2</v>
      </c>
      <c r="Q11" s="417" t="n">
        <f aca="false">(INDEX(CdP,2,i_P+1)-INDEX(CdP,2,i_P+0))/(INDEX(CdP,1,i_P+1)-INDEX(CdP,1,i_P+0))*(t-pas/2-T_ini-INDEX(CdP,1,i_P+0))+INDEX(CdP,2,i_P+0)</f>
        <v>889.833333333333</v>
      </c>
      <c r="R11" s="418" t="n">
        <f aca="false">Poussee/(g*ISP)</f>
        <v>0.446565891133924</v>
      </c>
      <c r="S11" s="419" t="n">
        <f aca="false">S10-Débit*pas</f>
        <v>8.39085421015442</v>
      </c>
      <c r="T11" s="417" t="n">
        <f aca="false">m*g</f>
        <v>82.3142798016149</v>
      </c>
      <c r="U11" s="421" t="n">
        <f aca="false">IF(pos_xz&lt;L_rampe,Poids*COS(Beta),0)</f>
        <v>14.2937246835165</v>
      </c>
      <c r="V11" s="418" t="n">
        <f aca="false">Rho_moyen*(20000-Alt_rampe-pos_z)/(20000+Alt_rampe+pos_z)</f>
        <v>1.22498843727106</v>
      </c>
      <c r="W11" s="417" t="n">
        <f aca="false">1/2*Rho*Sref*Cx*vit_xz^2</f>
        <v>0.0634139626215385</v>
      </c>
      <c r="X11" s="401"/>
      <c r="Y11" s="422" t="str">
        <f aca="false">IF(AND(pos_z&lt;=0,K10&gt;0),"Impact balistique","") &amp; IF(AND(H12&lt;0,vit_z&gt;=0),"Apogée","") &amp; IF(AND(Poussee=0,Q10&gt;0),"Fin de propulsion","") &amp; IF(AND(L12&gt;L_rampe,pos_xz&lt;=L_rampe),"Sortie de rampe","")</f>
        <v/>
      </c>
      <c r="Z11" s="423" t="str">
        <f aca="false">IF(ABS(t-T_para)&lt;pas/2,"Para","")</f>
        <v/>
      </c>
      <c r="AA11" s="424" t="str">
        <f aca="false">IF(ABS(t-T_satellite)&lt;pas/2,"Satellite","")</f>
        <v/>
      </c>
      <c r="AB11" s="412"/>
      <c r="AC11" s="420" t="e">
        <f aca="false">IF(ABS(t-ROUND(t,0))&lt;0.001,t,NA())</f>
        <v>#N/A</v>
      </c>
      <c r="AD11" s="425" t="e">
        <f aca="false">IF(ABS(t-ROUND(t,0))&lt;0.001,pos_x,NA())</f>
        <v>#N/A</v>
      </c>
      <c r="AE11" s="426" t="n">
        <f aca="false">IF(t&lt;T_para, pos_z, NA())</f>
        <v>0.0943900694407182</v>
      </c>
      <c r="AF11" s="412"/>
      <c r="AG11" s="418" t="n">
        <f aca="false">IF(AND(L10&lt;L_rampe,Poussee&lt;Poids*SIN(M10)),0,(-W10+Poussee)/m-Poids*SIN(M10)/m)</f>
        <v>96.3826150766687</v>
      </c>
      <c r="AH11" s="417" t="n">
        <f aca="false">IF(AND(L10&lt;L_rampe,Poussee&lt;Poids*SIN(M10)), g*SIN(M10), (-W10+Poussee)/m)</f>
        <v>106.043579133718</v>
      </c>
    </row>
    <row r="12" customFormat="false" ht="12" hidden="false" customHeight="false" outlineLevel="0" collapsed="false">
      <c r="A12" s="416" t="n">
        <f aca="false">IF(B11+0.01&lt;=T_ini+ROUNDUP(Temps_fin_propu,0), 0.01, IF(K11&gt;0, 0.1, 0.0001))</f>
        <v>0.01</v>
      </c>
      <c r="B12" s="417" t="n">
        <f aca="false">B11+pas</f>
        <v>0.08</v>
      </c>
      <c r="C12" s="401"/>
      <c r="D12" s="418" t="n">
        <f aca="false">IF(AND(L11&lt;L_rampe,Poussee&lt;Poids*SIN(M11)),0,(-W11+Poussee)/m*COS(M11)-U11/m*SIN(M11))</f>
        <v>16.7012994634976</v>
      </c>
      <c r="E12" s="419" t="n">
        <f aca="false">IF(AND(L11&lt;L_rampe,Poussee&lt;Poids*SIN(M11)),0,(-W11+Poussee)/m*SIN(M11)+U11/m*COS(M11)-Poids/m)</f>
        <v>94.7229873278032</v>
      </c>
      <c r="F12" s="417" t="n">
        <f aca="false">SQRT(acc_x^2+acc_z^2)</f>
        <v>96.1840825296607</v>
      </c>
      <c r="G12" s="418" t="n">
        <f aca="false">G11+acc_x*pas</f>
        <v>0.879462841575828</v>
      </c>
      <c r="H12" s="419" t="n">
        <f aca="false">H11+acc_z*pas</f>
        <v>4.98796903666069</v>
      </c>
      <c r="I12" s="417" t="n">
        <f aca="false">SQRT(vit_x^2+vit_z^2)</f>
        <v>5.0649076990996</v>
      </c>
      <c r="J12" s="418" t="n">
        <f aca="false">J11+0.5*(vit_x+G11)*pas*(K11&gt;=0)</f>
        <v>0.024602041888126</v>
      </c>
      <c r="K12" s="419" t="n">
        <f aca="false">K11+0.5*(vit_z+H11)*pas</f>
        <v>0.139533610440935</v>
      </c>
      <c r="L12" s="417" t="n">
        <f aca="false">SQRT(pos_x^2+pos_z^2)</f>
        <v>0.14168588111646</v>
      </c>
      <c r="M12" s="418" t="n">
        <f aca="false">IF(AND(L11&gt;L_rampe,G12&gt;0),ATAN2(G12,H12),$M$4)</f>
        <v>1.39626340159546</v>
      </c>
      <c r="N12" s="417" t="n">
        <f aca="false">DEGREES(Beta)</f>
        <v>79.9999999999998</v>
      </c>
      <c r="O12" s="401"/>
      <c r="P12" s="420" t="n">
        <f aca="false">MATCH(t-pas/2-T_ini,CdP_t)</f>
        <v>2</v>
      </c>
      <c r="Q12" s="417" t="n">
        <f aca="false">(INDEX(CdP,2,i_P+1)-INDEX(CdP,2,i_P+0))/(INDEX(CdP,1,i_P+1)-INDEX(CdP,1,i_P+0))*(t-pas/2-T_ini-INDEX(CdP,1,i_P+0))+INDEX(CdP,2,i_P+0)</f>
        <v>887.722222222222</v>
      </c>
      <c r="R12" s="418" t="n">
        <f aca="false">Poussee/(g*ISP)</f>
        <v>0.445506422827556</v>
      </c>
      <c r="S12" s="419" t="n">
        <f aca="false">S11-Débit*pas</f>
        <v>8.38639914592614</v>
      </c>
      <c r="T12" s="417" t="n">
        <f aca="false">m*g</f>
        <v>82.2705756215355</v>
      </c>
      <c r="U12" s="421" t="n">
        <f aca="false">IF(pos_xz&lt;L_rampe,Poids*COS(Beta),0)</f>
        <v>14.2861355322893</v>
      </c>
      <c r="V12" s="418" t="n">
        <f aca="false">Rho_moyen*(20000-Alt_rampe-pos_z)/(20000+Alt_rampe+pos_z)</f>
        <v>1.22498290725197</v>
      </c>
      <c r="W12" s="417" t="n">
        <f aca="false">1/2*Rho*Sref*Cx*vit_xz^2</f>
        <v>0.0966292951638863</v>
      </c>
      <c r="X12" s="401"/>
      <c r="Y12" s="422" t="str">
        <f aca="false">IF(AND(pos_z&lt;=0,K11&gt;0),"Impact balistique","") &amp; IF(AND(H13&lt;0,vit_z&gt;=0),"Apogée","") &amp; IF(AND(Poussee=0,Q11&gt;0),"Fin de propulsion","") &amp; IF(AND(L13&gt;L_rampe,pos_xz&lt;=L_rampe),"Sortie de rampe","")</f>
        <v/>
      </c>
      <c r="Z12" s="423" t="str">
        <f aca="false">IF(ABS(t-T_para)&lt;pas/2,"Para","")</f>
        <v/>
      </c>
      <c r="AA12" s="424" t="str">
        <f aca="false">IF(ABS(t-T_satellite)&lt;pas/2,"Satellite","")</f>
        <v/>
      </c>
      <c r="AB12" s="412"/>
      <c r="AC12" s="420" t="e">
        <f aca="false">IF(ABS(t-ROUND(t,0))&lt;0.001,t,NA())</f>
        <v>#N/A</v>
      </c>
      <c r="AD12" s="425" t="e">
        <f aca="false">IF(ABS(t-ROUND(t,0))&lt;0.001,pos_x,NA())</f>
        <v>#N/A</v>
      </c>
      <c r="AE12" s="426" t="n">
        <f aca="false">IF(t&lt;T_para, pos_z, NA())</f>
        <v>0.139533610440935</v>
      </c>
      <c r="AF12" s="412"/>
      <c r="AG12" s="418" t="n">
        <f aca="false">IF(AND(L11&lt;L_rampe,Poussee&lt;Poids*SIN(M11)),0,(-W11+Poussee)/m-Poids*SIN(M11)/m)</f>
        <v>96.1840825254037</v>
      </c>
      <c r="AH12" s="417" t="n">
        <f aca="false">IF(AND(L11&lt;L_rampe,Poussee&lt;Poids*SIN(M11)), g*SIN(M11), (-W11+Poussee)/m)</f>
        <v>105.845046582453</v>
      </c>
    </row>
    <row r="13" customFormat="false" ht="12" hidden="false" customHeight="false" outlineLevel="0" collapsed="false">
      <c r="A13" s="416" t="n">
        <f aca="false">IF(B12+0.01&lt;=T_ini+ROUNDUP(Temps_fin_propu,0), 0.01, IF(K12&gt;0, 0.1, 0.0001))</f>
        <v>0.01</v>
      </c>
      <c r="B13" s="417" t="n">
        <f aca="false">B12+pas</f>
        <v>0.09</v>
      </c>
      <c r="C13" s="401"/>
      <c r="D13" s="418" t="n">
        <f aca="false">IF(AND(L12&lt;L_rampe,Poussee&lt;Poids*SIN(M12)),0,(-W12+Poussee)/m*COS(M12)-U12/m*SIN(M12))</f>
        <v>16.6666230522442</v>
      </c>
      <c r="E13" s="419" t="n">
        <f aca="false">IF(AND(L12&lt;L_rampe,Poussee&lt;Poids*SIN(M12)),0,(-W12+Poussee)/m*SIN(M12)+U12/m*COS(M12)-Poids/m)</f>
        <v>94.5263179906405</v>
      </c>
      <c r="F13" s="417" t="n">
        <f aca="false">SQRT(acc_x^2+acc_z^2)</f>
        <v>95.9843795460141</v>
      </c>
      <c r="G13" s="418" t="n">
        <f aca="false">G12+acc_x*pas</f>
        <v>1.04612907209827</v>
      </c>
      <c r="H13" s="419" t="n">
        <f aca="false">H12+acc_z*pas</f>
        <v>5.93323221656709</v>
      </c>
      <c r="I13" s="417" t="n">
        <f aca="false">SQRT(vit_x^2+vit_z^2)</f>
        <v>6.02475149455966</v>
      </c>
      <c r="J13" s="418" t="n">
        <f aca="false">J12+0.5*(vit_x+G12)*pas*(K12&gt;=0)</f>
        <v>0.0342300014564965</v>
      </c>
      <c r="K13" s="419" t="n">
        <f aca="false">K12+0.5*(vit_z+H12)*pas</f>
        <v>0.194139616707074</v>
      </c>
      <c r="L13" s="417" t="n">
        <f aca="false">SQRT(pos_x^2+pos_z^2)</f>
        <v>0.197134177084749</v>
      </c>
      <c r="M13" s="418" t="n">
        <f aca="false">IF(AND(L12&gt;L_rampe,G13&gt;0),ATAN2(G13,H13),$M$4)</f>
        <v>1.39626340159546</v>
      </c>
      <c r="N13" s="417" t="n">
        <f aca="false">DEGREES(Beta)</f>
        <v>79.9999999999998</v>
      </c>
      <c r="O13" s="401"/>
      <c r="P13" s="420" t="n">
        <f aca="false">MATCH(t-pas/2-T_ini,CdP_t)</f>
        <v>2</v>
      </c>
      <c r="Q13" s="417" t="n">
        <f aca="false">(INDEX(CdP,2,i_P+1)-INDEX(CdP,2,i_P+0))/(INDEX(CdP,1,i_P+1)-INDEX(CdP,1,i_P+0))*(t-pas/2-T_ini-INDEX(CdP,1,i_P+0))+INDEX(CdP,2,i_P+0)</f>
        <v>885.611111111111</v>
      </c>
      <c r="R13" s="418" t="n">
        <f aca="false">Poussee/(g*ISP)</f>
        <v>0.444446954521189</v>
      </c>
      <c r="S13" s="419" t="n">
        <f aca="false">S12-Débit*pas</f>
        <v>8.38195467638093</v>
      </c>
      <c r="T13" s="417" t="n">
        <f aca="false">m*g</f>
        <v>82.226975375297</v>
      </c>
      <c r="U13" s="421" t="n">
        <f aca="false">IF(pos_xz&lt;L_rampe,Poids*COS(Beta),0)</f>
        <v>14.2785644289842</v>
      </c>
      <c r="V13" s="418" t="n">
        <f aca="false">Rho_moyen*(20000-Alt_rampe-pos_z)/(20000+Alt_rampe+pos_z)</f>
        <v>1.2249762181278</v>
      </c>
      <c r="W13" s="417" t="n">
        <f aca="false">1/2*Rho*Sref*Cx*vit_xz^2</f>
        <v>0.136723020931129</v>
      </c>
      <c r="X13" s="401"/>
      <c r="Y13" s="422" t="str">
        <f aca="false">IF(AND(pos_z&lt;=0,K12&gt;0),"Impact balistique","") &amp; IF(AND(H14&lt;0,vit_z&gt;=0),"Apogée","") &amp; IF(AND(Poussee=0,Q12&gt;0),"Fin de propulsion","") &amp; IF(AND(L14&gt;L_rampe,pos_xz&lt;=L_rampe),"Sortie de rampe","")</f>
        <v/>
      </c>
      <c r="Z13" s="423" t="str">
        <f aca="false">IF(ABS(t-T_para)&lt;pas/2,"Para","")</f>
        <v/>
      </c>
      <c r="AA13" s="424" t="str">
        <f aca="false">IF(ABS(t-T_satellite)&lt;pas/2,"Satellite","")</f>
        <v/>
      </c>
      <c r="AB13" s="412"/>
      <c r="AC13" s="420" t="e">
        <f aca="false">IF(ABS(t-ROUND(t,0))&lt;0.001,t,NA())</f>
        <v>#N/A</v>
      </c>
      <c r="AD13" s="425" t="e">
        <f aca="false">IF(ABS(t-ROUND(t,0))&lt;0.001,pos_x,NA())</f>
        <v>#N/A</v>
      </c>
      <c r="AE13" s="426" t="n">
        <f aca="false">IF(t&lt;T_para, pos_z, NA())</f>
        <v>0.194139616707074</v>
      </c>
      <c r="AF13" s="412"/>
      <c r="AG13" s="418" t="n">
        <f aca="false">IF(AND(L12&lt;L_rampe,Poussee&lt;Poids*SIN(M12)),0,(-W12+Poussee)/m-Poids*SIN(M12)/m)</f>
        <v>95.984379541764</v>
      </c>
      <c r="AH13" s="417" t="n">
        <f aca="false">IF(AND(L12&lt;L_rampe,Poussee&lt;Poids*SIN(M12)), g*SIN(M12), (-W12+Poussee)/m)</f>
        <v>105.645343598814</v>
      </c>
    </row>
    <row r="14" customFormat="false" ht="12" hidden="false" customHeight="false" outlineLevel="0" collapsed="false">
      <c r="A14" s="416" t="n">
        <f aca="false">IF(B13+0.01&lt;=T_ini+ROUNDUP(Temps_fin_propu,0), 0.01, IF(K13&gt;0, 0.1, 0.0001))</f>
        <v>0.01</v>
      </c>
      <c r="B14" s="417" t="n">
        <f aca="false">B13+pas</f>
        <v>0.1</v>
      </c>
      <c r="C14" s="401"/>
      <c r="D14" s="418" t="n">
        <f aca="false">IF(AND(L13&lt;L_rampe,Poussee&lt;Poids*SIN(M13)),0,(-W13+Poussee)/m*COS(M13)-U13/m*SIN(M13))</f>
        <v>16.6317441179613</v>
      </c>
      <c r="E14" s="419" t="n">
        <f aca="false">IF(AND(L13&lt;L_rampe,Poussee&lt;Poids*SIN(M13)),0,(-W13+Poussee)/m*SIN(M13)+U13/m*COS(M13)-Poids/m)</f>
        <v>94.3285000715112</v>
      </c>
      <c r="F14" s="417" t="n">
        <f aca="false">SQRT(acc_x^2+acc_z^2)</f>
        <v>95.7835102621867</v>
      </c>
      <c r="G14" s="418" t="n">
        <f aca="false">G13+acc_x*pas</f>
        <v>1.21244651327788</v>
      </c>
      <c r="H14" s="419" t="n">
        <f aca="false">H13+acc_z*pas</f>
        <v>6.8765172172822</v>
      </c>
      <c r="I14" s="417" t="n">
        <f aca="false">SQRT(vit_x^2+vit_z^2)</f>
        <v>6.98258659718147</v>
      </c>
      <c r="J14" s="418" t="n">
        <f aca="false">J13+0.5*(vit_x+G13)*pas*(K13&gt;=0)</f>
        <v>0.0455228793833773</v>
      </c>
      <c r="K14" s="419" t="n">
        <f aca="false">K13+0.5*(vit_z+H13)*pas</f>
        <v>0.25818836387632</v>
      </c>
      <c r="L14" s="417" t="n">
        <f aca="false">SQRT(pos_x^2+pos_z^2)</f>
        <v>0.262170867543449</v>
      </c>
      <c r="M14" s="418" t="n">
        <f aca="false">IF(AND(L13&gt;L_rampe,G14&gt;0),ATAN2(G14,H14),$M$4)</f>
        <v>1.39626340159546</v>
      </c>
      <c r="N14" s="417" t="n">
        <f aca="false">DEGREES(Beta)</f>
        <v>79.9999999999998</v>
      </c>
      <c r="O14" s="401"/>
      <c r="P14" s="420" t="n">
        <f aca="false">MATCH(t-pas/2-T_ini,CdP_t)</f>
        <v>2</v>
      </c>
      <c r="Q14" s="417" t="n">
        <f aca="false">(INDEX(CdP,2,i_P+1)-INDEX(CdP,2,i_P+0))/(INDEX(CdP,1,i_P+1)-INDEX(CdP,1,i_P+0))*(t-pas/2-T_ini-INDEX(CdP,1,i_P+0))+INDEX(CdP,2,i_P+0)</f>
        <v>883.5</v>
      </c>
      <c r="R14" s="418" t="n">
        <f aca="false">Poussee/(g*ISP)</f>
        <v>0.443387486214821</v>
      </c>
      <c r="S14" s="419" t="n">
        <f aca="false">S13-Débit*pas</f>
        <v>8.37752080151878</v>
      </c>
      <c r="T14" s="417" t="n">
        <f aca="false">m*g</f>
        <v>82.1834790628993</v>
      </c>
      <c r="U14" s="421" t="n">
        <f aca="false">IF(pos_xz&lt;L_rampe,Poids*COS(Beta),0)</f>
        <v>14.2710113736011</v>
      </c>
      <c r="V14" s="418" t="n">
        <f aca="false">Rho_moyen*(20000-Alt_rampe-pos_z)/(20000+Alt_rampe+pos_z)</f>
        <v>1.22496837233372</v>
      </c>
      <c r="W14" s="417" t="n">
        <f aca="false">1/2*Rho*Sref*Cx*vit_xz^2</f>
        <v>0.183650979433239</v>
      </c>
      <c r="X14" s="401"/>
      <c r="Y14" s="422" t="str">
        <f aca="false">IF(AND(pos_z&lt;=0,K13&gt;0),"Impact balistique","") &amp; IF(AND(H15&lt;0,vit_z&gt;=0),"Apogée","") &amp; IF(AND(Poussee=0,Q13&gt;0),"Fin de propulsion","") &amp; IF(AND(L15&gt;L_rampe,pos_xz&lt;=L_rampe),"Sortie de rampe","")</f>
        <v/>
      </c>
      <c r="Z14" s="423" t="str">
        <f aca="false">IF(ABS(t-T_para)&lt;pas/2,"Para","")</f>
        <v/>
      </c>
      <c r="AA14" s="424" t="str">
        <f aca="false">IF(ABS(t-T_satellite)&lt;pas/2,"Satellite","")</f>
        <v/>
      </c>
      <c r="AB14" s="412"/>
      <c r="AC14" s="420" t="e">
        <f aca="false">IF(ABS(t-ROUND(t,0))&lt;0.001,t,NA())</f>
        <v>#N/A</v>
      </c>
      <c r="AD14" s="425" t="e">
        <f aca="false">IF(ABS(t-ROUND(t,0))&lt;0.001,pos_x,NA())</f>
        <v>#N/A</v>
      </c>
      <c r="AE14" s="426" t="n">
        <f aca="false">IF(t&lt;T_para, pos_z, NA())</f>
        <v>0.25818836387632</v>
      </c>
      <c r="AF14" s="412"/>
      <c r="AG14" s="418" t="n">
        <f aca="false">IF(AND(L13&lt;L_rampe,Poussee&lt;Poids*SIN(M13)),0,(-W13+Poussee)/m-Poids*SIN(M13)/m)</f>
        <v>95.7835102579435</v>
      </c>
      <c r="AH14" s="417" t="n">
        <f aca="false">IF(AND(L13&lt;L_rampe,Poussee&lt;Poids*SIN(M13)), g*SIN(M13), (-W13+Poussee)/m)</f>
        <v>105.444474314993</v>
      </c>
    </row>
    <row r="15" customFormat="false" ht="12" hidden="false" customHeight="false" outlineLevel="0" collapsed="false">
      <c r="A15" s="416" t="n">
        <f aca="false">IF(B14+0.01&lt;=T_ini+ROUNDUP(Temps_fin_propu,0), 0.01, IF(K14&gt;0, 0.1, 0.0001))</f>
        <v>0.01</v>
      </c>
      <c r="B15" s="417" t="n">
        <f aca="false">B14+pas</f>
        <v>0.11</v>
      </c>
      <c r="C15" s="401"/>
      <c r="D15" s="418" t="n">
        <f aca="false">IF(AND(L14&lt;L_rampe,Poussee&lt;Poids*SIN(M14)),0,(-W14+Poussee)/m*COS(M14)-U14/m*SIN(M14))</f>
        <v>16.5966633871537</v>
      </c>
      <c r="E15" s="419" t="n">
        <f aca="false">IF(AND(L14&lt;L_rampe,Poussee&lt;Poids*SIN(M14)),0,(-W14+Poussee)/m*SIN(M14)+U14/m*COS(M14)-Poids/m)</f>
        <v>94.1295376906396</v>
      </c>
      <c r="F15" s="417" t="n">
        <f aca="false">SQRT(acc_x^2+acc_z^2)</f>
        <v>95.5814788619638</v>
      </c>
      <c r="G15" s="418" t="n">
        <f aca="false">G14+acc_x*pas</f>
        <v>1.37841314714942</v>
      </c>
      <c r="H15" s="419" t="n">
        <f aca="false">H14+acc_z*pas</f>
        <v>7.8178125941886</v>
      </c>
      <c r="I15" s="417" t="n">
        <f aca="false">SQRT(vit_x^2+vit_z^2)</f>
        <v>7.93840138580106</v>
      </c>
      <c r="J15" s="418" t="n">
        <f aca="false">J14+0.5*(vit_x+G14)*pas*(K14&gt;=0)</f>
        <v>0.0584771776855138</v>
      </c>
      <c r="K15" s="419" t="n">
        <f aca="false">K14+0.5*(vit_z+H14)*pas</f>
        <v>0.331660012933674</v>
      </c>
      <c r="L15" s="417" t="n">
        <f aca="false">SQRT(pos_x^2+pos_z^2)</f>
        <v>0.336775807458357</v>
      </c>
      <c r="M15" s="418" t="n">
        <f aca="false">IF(AND(L14&gt;L_rampe,G15&gt;0),ATAN2(G15,H15),$M$4)</f>
        <v>1.39626340159546</v>
      </c>
      <c r="N15" s="417" t="n">
        <f aca="false">DEGREES(Beta)</f>
        <v>79.9999999999998</v>
      </c>
      <c r="O15" s="401"/>
      <c r="P15" s="420" t="n">
        <f aca="false">MATCH(t-pas/2-T_ini,CdP_t)</f>
        <v>2</v>
      </c>
      <c r="Q15" s="417" t="n">
        <f aca="false">(INDEX(CdP,2,i_P+1)-INDEX(CdP,2,i_P+0))/(INDEX(CdP,1,i_P+1)-INDEX(CdP,1,i_P+0))*(t-pas/2-T_ini-INDEX(CdP,1,i_P+0))+INDEX(CdP,2,i_P+0)</f>
        <v>881.388888888889</v>
      </c>
      <c r="R15" s="418" t="n">
        <f aca="false">Poussee/(g*ISP)</f>
        <v>0.442328017908454</v>
      </c>
      <c r="S15" s="419" t="n">
        <f aca="false">S14-Débit*pas</f>
        <v>8.3730975213397</v>
      </c>
      <c r="T15" s="417" t="n">
        <f aca="false">m*g</f>
        <v>82.1400866843425</v>
      </c>
      <c r="U15" s="421" t="n">
        <f aca="false">IF(pos_xz&lt;L_rampe,Poids*COS(Beta),0)</f>
        <v>14.2634763661401</v>
      </c>
      <c r="V15" s="418" t="n">
        <f aca="false">Rho_moyen*(20000-Alt_rampe-pos_z)/(20000+Alt_rampe+pos_z)</f>
        <v>1.22495937232214</v>
      </c>
      <c r="W15" s="417" t="n">
        <f aca="false">1/2*Rho*Sref*Cx*vit_xz^2</f>
        <v>0.237368729560424</v>
      </c>
      <c r="X15" s="401"/>
      <c r="Y15" s="422" t="str">
        <f aca="false">IF(AND(pos_z&lt;=0,K14&gt;0),"Impact balistique","") &amp; IF(AND(H16&lt;0,vit_z&gt;=0),"Apogée","") &amp; IF(AND(Poussee=0,Q14&gt;0),"Fin de propulsion","") &amp; IF(AND(L16&gt;L_rampe,pos_xz&lt;=L_rampe),"Sortie de rampe","")</f>
        <v/>
      </c>
      <c r="Z15" s="423" t="str">
        <f aca="false">IF(ABS(t-T_para)&lt;pas/2,"Para","")</f>
        <v/>
      </c>
      <c r="AA15" s="424" t="str">
        <f aca="false">IF(ABS(t-T_satellite)&lt;pas/2,"Satellite","")</f>
        <v/>
      </c>
      <c r="AB15" s="412"/>
      <c r="AC15" s="420" t="e">
        <f aca="false">IF(ABS(t-ROUND(t,0))&lt;0.001,t,NA())</f>
        <v>#N/A</v>
      </c>
      <c r="AD15" s="425" t="e">
        <f aca="false">IF(ABS(t-ROUND(t,0))&lt;0.001,pos_x,NA())</f>
        <v>#N/A</v>
      </c>
      <c r="AE15" s="426" t="n">
        <f aca="false">IF(t&lt;T_para, pos_z, NA())</f>
        <v>0.331660012933674</v>
      </c>
      <c r="AF15" s="412"/>
      <c r="AG15" s="418" t="n">
        <f aca="false">IF(AND(L14&lt;L_rampe,Poussee&lt;Poids*SIN(M14)),0,(-W14+Poussee)/m-Poids*SIN(M14)/m)</f>
        <v>95.5814788577274</v>
      </c>
      <c r="AH15" s="417" t="n">
        <f aca="false">IF(AND(L14&lt;L_rampe,Poussee&lt;Poids*SIN(M14)), g*SIN(M14), (-W14+Poussee)/m)</f>
        <v>105.242442914777</v>
      </c>
    </row>
    <row r="16" customFormat="false" ht="12" hidden="false" customHeight="false" outlineLevel="0" collapsed="false">
      <c r="A16" s="416" t="n">
        <f aca="false">IF(B15+0.01&lt;=T_ini+ROUNDUP(Temps_fin_propu,0), 0.01, IF(K15&gt;0, 0.1, 0.0001))</f>
        <v>0.01</v>
      </c>
      <c r="B16" s="417" t="n">
        <f aca="false">B15+pas</f>
        <v>0.12</v>
      </c>
      <c r="C16" s="401"/>
      <c r="D16" s="418" t="n">
        <f aca="false">IF(AND(L15&lt;L_rampe,Poussee&lt;Poids*SIN(M15)),0,(-W15+Poussee)/m*COS(M15)-U15/m*SIN(M15))</f>
        <v>16.56138159522</v>
      </c>
      <c r="E16" s="419" t="n">
        <f aca="false">IF(AND(L15&lt;L_rampe,Poussee&lt;Poids*SIN(M15)),0,(-W15+Poussee)/m*SIN(M15)+U15/m*COS(M15)-Poids/m)</f>
        <v>93.9294350186877</v>
      </c>
      <c r="F16" s="417" t="n">
        <f aca="false">SQRT(acc_x^2+acc_z^2)</f>
        <v>95.3782895803461</v>
      </c>
      <c r="G16" s="418" t="n">
        <f aca="false">G15+acc_x*pas</f>
        <v>1.54402696310162</v>
      </c>
      <c r="H16" s="419" t="n">
        <f aca="false">H15+acc_z*pas</f>
        <v>8.75710694437547</v>
      </c>
      <c r="I16" s="417" t="n">
        <f aca="false">SQRT(vit_x^2+vit_z^2)</f>
        <v>8.89218428160449</v>
      </c>
      <c r="J16" s="418" t="n">
        <f aca="false">J15+0.5*(vit_x+G15)*pas*(K15&gt;=0)</f>
        <v>0.073089378236769</v>
      </c>
      <c r="K16" s="419" t="n">
        <f aca="false">K15+0.5*(vit_z+H15)*pas</f>
        <v>0.414534610626495</v>
      </c>
      <c r="L16" s="417" t="n">
        <f aca="false">SQRT(pos_x^2+pos_z^2)</f>
        <v>0.42092873579538</v>
      </c>
      <c r="M16" s="418" t="n">
        <f aca="false">IF(AND(L15&gt;L_rampe,G16&gt;0),ATAN2(G16,H16),$M$4)</f>
        <v>1.39626340159546</v>
      </c>
      <c r="N16" s="417" t="n">
        <f aca="false">DEGREES(Beta)</f>
        <v>79.9999999999998</v>
      </c>
      <c r="O16" s="401"/>
      <c r="P16" s="420" t="n">
        <f aca="false">MATCH(t-pas/2-T_ini,CdP_t)</f>
        <v>2</v>
      </c>
      <c r="Q16" s="417" t="n">
        <f aca="false">(INDEX(CdP,2,i_P+1)-INDEX(CdP,2,i_P+0))/(INDEX(CdP,1,i_P+1)-INDEX(CdP,1,i_P+0))*(t-pas/2-T_ini-INDEX(CdP,1,i_P+0))+INDEX(CdP,2,i_P+0)</f>
        <v>879.277777777778</v>
      </c>
      <c r="R16" s="418" t="n">
        <f aca="false">Poussee/(g*ISP)</f>
        <v>0.441268549602086</v>
      </c>
      <c r="S16" s="419" t="n">
        <f aca="false">S15-Débit*pas</f>
        <v>8.36868483584368</v>
      </c>
      <c r="T16" s="417" t="n">
        <f aca="false">m*g</f>
        <v>82.0967982396265</v>
      </c>
      <c r="U16" s="421" t="n">
        <f aca="false">IF(pos_xz&lt;L_rampe,Poids*COS(Beta),0)</f>
        <v>14.2559594066011</v>
      </c>
      <c r="V16" s="418" t="n">
        <f aca="false">Rho_moyen*(20000-Alt_rampe-pos_z)/(20000+Alt_rampe+pos_z)</f>
        <v>1.22494922056269</v>
      </c>
      <c r="W16" s="417" t="n">
        <f aca="false">1/2*Rho*Sref*Cx*vit_xz^2</f>
        <v>0.29783155345462</v>
      </c>
      <c r="X16" s="401"/>
      <c r="Y16" s="422" t="str">
        <f aca="false">IF(AND(pos_z&lt;=0,K15&gt;0),"Impact balistique","") &amp; IF(AND(H17&lt;0,vit_z&gt;=0),"Apogée","") &amp; IF(AND(Poussee=0,Q15&gt;0),"Fin de propulsion","") &amp; IF(AND(L17&gt;L_rampe,pos_xz&lt;=L_rampe),"Sortie de rampe","")</f>
        <v/>
      </c>
      <c r="Z16" s="423" t="str">
        <f aca="false">IF(ABS(t-T_para)&lt;pas/2,"Para","")</f>
        <v/>
      </c>
      <c r="AA16" s="424" t="str">
        <f aca="false">IF(ABS(t-T_satellite)&lt;pas/2,"Satellite","")</f>
        <v/>
      </c>
      <c r="AB16" s="412"/>
      <c r="AC16" s="420" t="e">
        <f aca="false">IF(ABS(t-ROUND(t,0))&lt;0.001,t,NA())</f>
        <v>#N/A</v>
      </c>
      <c r="AD16" s="425" t="e">
        <f aca="false">IF(ABS(t-ROUND(t,0))&lt;0.001,pos_x,NA())</f>
        <v>#N/A</v>
      </c>
      <c r="AE16" s="426" t="n">
        <f aca="false">IF(t&lt;T_para, pos_z, NA())</f>
        <v>0.414534610626495</v>
      </c>
      <c r="AF16" s="412"/>
      <c r="AG16" s="418" t="n">
        <f aca="false">IF(AND(L15&lt;L_rampe,Poussee&lt;Poids*SIN(M15)),0,(-W15+Poussee)/m-Poids*SIN(M15)/m)</f>
        <v>95.3782895761166</v>
      </c>
      <c r="AH16" s="417" t="n">
        <f aca="false">IF(AND(L15&lt;L_rampe,Poussee&lt;Poids*SIN(M15)), g*SIN(M15), (-W15+Poussee)/m)</f>
        <v>105.039253633166</v>
      </c>
    </row>
    <row r="17" customFormat="false" ht="12" hidden="false" customHeight="false" outlineLevel="0" collapsed="false">
      <c r="A17" s="416" t="n">
        <f aca="false">IF(B16+0.01&lt;=T_ini+ROUNDUP(Temps_fin_propu,0), 0.01, IF(K16&gt;0, 0.1, 0.0001))</f>
        <v>0.01</v>
      </c>
      <c r="B17" s="417" t="n">
        <f aca="false">B16+pas</f>
        <v>0.13</v>
      </c>
      <c r="C17" s="401"/>
      <c r="D17" s="418" t="n">
        <f aca="false">IF(AND(L16&lt;L_rampe,Poussee&lt;Poids*SIN(M16)),0,(-W16+Poussee)/m*COS(M16)-U16/m*SIN(M16))</f>
        <v>16.5258994863857</v>
      </c>
      <c r="E17" s="419" t="n">
        <f aca="false">IF(AND(L16&lt;L_rampe,Poussee&lt;Poids*SIN(M16)),0,(-W16+Poussee)/m*SIN(M16)+U16/m*COS(M16)-Poids/m)</f>
        <v>93.7281962763794</v>
      </c>
      <c r="F17" s="417" t="n">
        <f aca="false">SQRT(acc_x^2+acc_z^2)</f>
        <v>95.1739467031689</v>
      </c>
      <c r="G17" s="418" t="n">
        <f aca="false">G16+acc_x*pas</f>
        <v>1.70928595796548</v>
      </c>
      <c r="H17" s="419" t="n">
        <f aca="false">H16+acc_z*pas</f>
        <v>9.69438890713927</v>
      </c>
      <c r="I17" s="417" t="n">
        <f aca="false">SQRT(vit_x^2+vit_z^2)</f>
        <v>9.84392374863615</v>
      </c>
      <c r="J17" s="418" t="n">
        <f aca="false">J16+0.5*(vit_x+G16)*pas*(K16&gt;=0)</f>
        <v>0.0893559428421045</v>
      </c>
      <c r="K17" s="419" t="n">
        <f aca="false">K16+0.5*(vit_z+H16)*pas</f>
        <v>0.506792089884068</v>
      </c>
      <c r="L17" s="417" t="n">
        <f aca="false">SQRT(pos_x^2+pos_z^2)</f>
        <v>0.51460927594658</v>
      </c>
      <c r="M17" s="418" t="n">
        <f aca="false">IF(AND(L16&gt;L_rampe,G17&gt;0),ATAN2(G17,H17),$M$4)</f>
        <v>1.39626340159546</v>
      </c>
      <c r="N17" s="417" t="n">
        <f aca="false">DEGREES(Beta)</f>
        <v>79.9999999999998</v>
      </c>
      <c r="O17" s="401"/>
      <c r="P17" s="420" t="n">
        <f aca="false">MATCH(t-pas/2-T_ini,CdP_t)</f>
        <v>2</v>
      </c>
      <c r="Q17" s="417" t="n">
        <f aca="false">(INDEX(CdP,2,i_P+1)-INDEX(CdP,2,i_P+0))/(INDEX(CdP,1,i_P+1)-INDEX(CdP,1,i_P+0))*(t-pas/2-T_ini-INDEX(CdP,1,i_P+0))+INDEX(CdP,2,i_P+0)</f>
        <v>877.166666666667</v>
      </c>
      <c r="R17" s="418" t="n">
        <f aca="false">Poussee/(g*ISP)</f>
        <v>0.440209081295719</v>
      </c>
      <c r="S17" s="419" t="n">
        <f aca="false">S16-Débit*pas</f>
        <v>8.36428274503072</v>
      </c>
      <c r="T17" s="417" t="n">
        <f aca="false">m*g</f>
        <v>82.0536137287514</v>
      </c>
      <c r="U17" s="421" t="n">
        <f aca="false">IF(pos_xz&lt;L_rampe,Poids*COS(Beta),0)</f>
        <v>14.2484604949842</v>
      </c>
      <c r="V17" s="418" t="n">
        <f aca="false">Rho_moyen*(20000-Alt_rampe-pos_z)/(20000+Alt_rampe+pos_z)</f>
        <v>1.22493791954208</v>
      </c>
      <c r="W17" s="417" t="n">
        <f aca="false">1/2*Rho*Sref*Cx*vit_xz^2</f>
        <v>0.364994460406217</v>
      </c>
      <c r="X17" s="401"/>
      <c r="Y17" s="422" t="str">
        <f aca="false">IF(AND(pos_z&lt;=0,K16&gt;0),"Impact balistique","") &amp; IF(AND(H18&lt;0,vit_z&gt;=0),"Apogée","") &amp; IF(AND(Poussee=0,Q16&gt;0),"Fin de propulsion","") &amp; IF(AND(L18&gt;L_rampe,pos_xz&lt;=L_rampe),"Sortie de rampe","")</f>
        <v/>
      </c>
      <c r="Z17" s="423" t="str">
        <f aca="false">IF(ABS(t-T_para)&lt;pas/2,"Para","")</f>
        <v/>
      </c>
      <c r="AA17" s="424" t="str">
        <f aca="false">IF(ABS(t-T_satellite)&lt;pas/2,"Satellite","")</f>
        <v/>
      </c>
      <c r="AB17" s="412"/>
      <c r="AC17" s="420" t="e">
        <f aca="false">IF(ABS(t-ROUND(t,0))&lt;0.001,t,NA())</f>
        <v>#N/A</v>
      </c>
      <c r="AD17" s="425" t="e">
        <f aca="false">IF(ABS(t-ROUND(t,0))&lt;0.001,pos_x,NA())</f>
        <v>#N/A</v>
      </c>
      <c r="AE17" s="426" t="n">
        <f aca="false">IF(t&lt;T_para, pos_z, NA())</f>
        <v>0.506792089884068</v>
      </c>
      <c r="AF17" s="412"/>
      <c r="AG17" s="418" t="n">
        <f aca="false">IF(AND(L16&lt;L_rampe,Poussee&lt;Poids*SIN(M16)),0,(-W16+Poussee)/m-Poids*SIN(M16)/m)</f>
        <v>95.1739466989461</v>
      </c>
      <c r="AH17" s="417" t="n">
        <f aca="false">IF(AND(L16&lt;L_rampe,Poussee&lt;Poids*SIN(M16)), g*SIN(M16), (-W16+Poussee)/m)</f>
        <v>104.834910755996</v>
      </c>
    </row>
    <row r="18" customFormat="false" ht="12" hidden="false" customHeight="false" outlineLevel="0" collapsed="false">
      <c r="A18" s="416" t="n">
        <f aca="false">IF(B17+0.01&lt;=T_ini+ROUNDUP(Temps_fin_propu,0), 0.01, IF(K17&gt;0, 0.1, 0.0001))</f>
        <v>0.01</v>
      </c>
      <c r="B18" s="417" t="n">
        <f aca="false">B17+pas</f>
        <v>0.14</v>
      </c>
      <c r="C18" s="401"/>
      <c r="D18" s="418" t="n">
        <f aca="false">IF(AND(L17&lt;L_rampe,Poussee&lt;Poids*SIN(M17)),0,(-W17+Poussee)/m*COS(M17)-U17/m*SIN(M17))</f>
        <v>16.4902178136369</v>
      </c>
      <c r="E18" s="419" t="n">
        <f aca="false">IF(AND(L17&lt;L_rampe,Poussee&lt;Poids*SIN(M17)),0,(-W17+Poussee)/m*SIN(M17)+U17/m*COS(M17)-Poids/m)</f>
        <v>93.5258257341204</v>
      </c>
      <c r="F18" s="417" t="n">
        <f aca="false">SQRT(acc_x^2+acc_z^2)</f>
        <v>94.9684545667152</v>
      </c>
      <c r="G18" s="418" t="n">
        <f aca="false">G17+acc_x*pas</f>
        <v>1.87418813610185</v>
      </c>
      <c r="H18" s="419" t="n">
        <f aca="false">H17+acc_z*pas</f>
        <v>10.6296471644805</v>
      </c>
      <c r="I18" s="417" t="n">
        <f aca="false">SQRT(vit_x^2+vit_z^2)</f>
        <v>10.7936082943033</v>
      </c>
      <c r="J18" s="418" t="n">
        <f aca="false">J17+0.5*(vit_x+G17)*pas*(K17&gt;=0)</f>
        <v>0.107273313312441</v>
      </c>
      <c r="K18" s="419" t="n">
        <f aca="false">K17+0.5*(vit_z+H17)*pas</f>
        <v>0.608412270242167</v>
      </c>
      <c r="L18" s="417" t="n">
        <f aca="false">SQRT(pos_x^2+pos_z^2)</f>
        <v>0.617796936161274</v>
      </c>
      <c r="M18" s="418" t="n">
        <f aca="false">IF(AND(L17&gt;L_rampe,G18&gt;0),ATAN2(G18,H18),$M$4)</f>
        <v>1.39626340159546</v>
      </c>
      <c r="N18" s="417" t="n">
        <f aca="false">DEGREES(Beta)</f>
        <v>79.9999999999998</v>
      </c>
      <c r="O18" s="401"/>
      <c r="P18" s="420" t="n">
        <f aca="false">MATCH(t-pas/2-T_ini,CdP_t)</f>
        <v>2</v>
      </c>
      <c r="Q18" s="417" t="n">
        <f aca="false">(INDEX(CdP,2,i_P+1)-INDEX(CdP,2,i_P+0))/(INDEX(CdP,1,i_P+1)-INDEX(CdP,1,i_P+0))*(t-pas/2-T_ini-INDEX(CdP,1,i_P+0))+INDEX(CdP,2,i_P+0)</f>
        <v>875.055555555556</v>
      </c>
      <c r="R18" s="418" t="n">
        <f aca="false">Poussee/(g*ISP)</f>
        <v>0.439149612989351</v>
      </c>
      <c r="S18" s="419" t="n">
        <f aca="false">S17-Débit*pas</f>
        <v>8.35989124890083</v>
      </c>
      <c r="T18" s="417" t="n">
        <f aca="false">m*g</f>
        <v>82.0105331517171</v>
      </c>
      <c r="U18" s="421" t="n">
        <f aca="false">IF(pos_xz&lt;L_rampe,Poids*COS(Beta),0)</f>
        <v>14.2409796312893</v>
      </c>
      <c r="V18" s="418" t="n">
        <f aca="false">Rho_moyen*(20000-Alt_rampe-pos_z)/(20000+Alt_rampe+pos_z)</f>
        <v>1.22492547176409</v>
      </c>
      <c r="W18" s="417" t="n">
        <f aca="false">1/2*Rho*Sref*Cx*vit_xz^2</f>
        <v>0.438812190775393</v>
      </c>
      <c r="X18" s="401"/>
      <c r="Y18" s="422" t="str">
        <f aca="false">IF(AND(pos_z&lt;=0,K17&gt;0),"Impact balistique","") &amp; IF(AND(H19&lt;0,vit_z&gt;=0),"Apogée","") &amp; IF(AND(Poussee=0,Q17&gt;0),"Fin de propulsion","") &amp; IF(AND(L19&gt;L_rampe,pos_xz&lt;=L_rampe),"Sortie de rampe","")</f>
        <v/>
      </c>
      <c r="Z18" s="423" t="str">
        <f aca="false">IF(ABS(t-T_para)&lt;pas/2,"Para","")</f>
        <v/>
      </c>
      <c r="AA18" s="424" t="str">
        <f aca="false">IF(ABS(t-T_satellite)&lt;pas/2,"Satellite","")</f>
        <v/>
      </c>
      <c r="AB18" s="412"/>
      <c r="AC18" s="420" t="e">
        <f aca="false">IF(ABS(t-ROUND(t,0))&lt;0.001,t,NA())</f>
        <v>#N/A</v>
      </c>
      <c r="AD18" s="425" t="e">
        <f aca="false">IF(ABS(t-ROUND(t,0))&lt;0.001,pos_x,NA())</f>
        <v>#N/A</v>
      </c>
      <c r="AE18" s="426" t="n">
        <f aca="false">IF(t&lt;T_para, pos_z, NA())</f>
        <v>0.608412270242167</v>
      </c>
      <c r="AF18" s="412"/>
      <c r="AG18" s="418" t="n">
        <f aca="false">IF(AND(L17&lt;L_rampe,Poussee&lt;Poids*SIN(M17)),0,(-W17+Poussee)/m-Poids*SIN(M17)/m)</f>
        <v>94.9684545624993</v>
      </c>
      <c r="AH18" s="417" t="n">
        <f aca="false">IF(AND(L17&lt;L_rampe,Poussee&lt;Poids*SIN(M17)), g*SIN(M17), (-W17+Poussee)/m)</f>
        <v>104.629418619549</v>
      </c>
    </row>
    <row r="19" customFormat="false" ht="12" hidden="false" customHeight="false" outlineLevel="0" collapsed="false">
      <c r="A19" s="416" t="n">
        <f aca="false">IF(B18+0.01&lt;=T_ini+ROUNDUP(Temps_fin_propu,0), 0.01, IF(K18&gt;0, 0.1, 0.0001))</f>
        <v>0.01</v>
      </c>
      <c r="B19" s="417" t="n">
        <f aca="false">B18+pas</f>
        <v>0.15</v>
      </c>
      <c r="C19" s="401"/>
      <c r="D19" s="418" t="n">
        <f aca="false">IF(AND(L18&lt;L_rampe,Poussee&lt;Poids*SIN(M18)),0,(-W18+Poussee)/m*COS(M18)-U18/m*SIN(M18))</f>
        <v>16.4543373386517</v>
      </c>
      <c r="E19" s="419" t="n">
        <f aca="false">IF(AND(L18&lt;L_rampe,Poussee&lt;Poids*SIN(M18)),0,(-W18+Poussee)/m*SIN(M18)+U18/m*COS(M18)-Poids/m)</f>
        <v>93.3223277116127</v>
      </c>
      <c r="F19" s="417" t="n">
        <f aca="false">SQRT(acc_x^2+acc_z^2)</f>
        <v>94.7618175573252</v>
      </c>
      <c r="G19" s="418" t="n">
        <f aca="false">G18+acc_x*pas</f>
        <v>2.03873150948836</v>
      </c>
      <c r="H19" s="419" t="n">
        <f aca="false">H18+acc_z*pas</f>
        <v>11.5628704415966</v>
      </c>
      <c r="I19" s="417" t="n">
        <f aca="false">SQRT(vit_x^2+vit_z^2)</f>
        <v>11.7412264698765</v>
      </c>
      <c r="J19" s="418" t="n">
        <f aca="false">J18+0.5*(vit_x+G18)*pas*(K18&gt;=0)</f>
        <v>0.126837911540392</v>
      </c>
      <c r="K19" s="419" t="n">
        <f aca="false">K18+0.5*(vit_z+H18)*pas</f>
        <v>0.719374858272552</v>
      </c>
      <c r="L19" s="417" t="n">
        <f aca="false">SQRT(pos_x^2+pos_z^2)</f>
        <v>0.73047110998217</v>
      </c>
      <c r="M19" s="418" t="n">
        <f aca="false">IF(AND(L18&gt;L_rampe,G19&gt;0),ATAN2(G19,H19),$M$4)</f>
        <v>1.39626340159546</v>
      </c>
      <c r="N19" s="417" t="n">
        <f aca="false">DEGREES(Beta)</f>
        <v>79.9999999999998</v>
      </c>
      <c r="O19" s="401"/>
      <c r="P19" s="420" t="n">
        <f aca="false">MATCH(t-pas/2-T_ini,CdP_t)</f>
        <v>2</v>
      </c>
      <c r="Q19" s="417" t="n">
        <f aca="false">(INDEX(CdP,2,i_P+1)-INDEX(CdP,2,i_P+0))/(INDEX(CdP,1,i_P+1)-INDEX(CdP,1,i_P+0))*(t-pas/2-T_ini-INDEX(CdP,1,i_P+0))+INDEX(CdP,2,i_P+0)</f>
        <v>872.944444444445</v>
      </c>
      <c r="R19" s="418" t="n">
        <f aca="false">Poussee/(g*ISP)</f>
        <v>0.438090144682983</v>
      </c>
      <c r="S19" s="419" t="n">
        <f aca="false">S18-Débit*pas</f>
        <v>8.355510347454</v>
      </c>
      <c r="T19" s="417" t="n">
        <f aca="false">m*g</f>
        <v>81.9675565085237</v>
      </c>
      <c r="U19" s="421" t="n">
        <f aca="false">IF(pos_xz&lt;L_rampe,Poids*COS(Beta),0)</f>
        <v>14.2335168155166</v>
      </c>
      <c r="V19" s="418" t="n">
        <f aca="false">Rho_moyen*(20000-Alt_rampe-pos_z)/(20000+Alt_rampe+pos_z)</f>
        <v>1.22491187974944</v>
      </c>
      <c r="W19" s="417" t="n">
        <f aca="false">1/2*Rho*Sref*Cx*vit_xz^2</f>
        <v>0.519239219937465</v>
      </c>
      <c r="X19" s="401"/>
      <c r="Y19" s="422" t="str">
        <f aca="false">IF(AND(pos_z&lt;=0,K18&gt;0),"Impact balistique","") &amp; IF(AND(H20&lt;0,vit_z&gt;=0),"Apogée","") &amp; IF(AND(Poussee=0,Q18&gt;0),"Fin de propulsion","") &amp; IF(AND(L20&gt;L_rampe,pos_xz&lt;=L_rampe),"Sortie de rampe","")</f>
        <v/>
      </c>
      <c r="Z19" s="423" t="str">
        <f aca="false">IF(ABS(t-T_para)&lt;pas/2,"Para","")</f>
        <v/>
      </c>
      <c r="AA19" s="424" t="str">
        <f aca="false">IF(ABS(t-T_satellite)&lt;pas/2,"Satellite","")</f>
        <v/>
      </c>
      <c r="AB19" s="412"/>
      <c r="AC19" s="420" t="e">
        <f aca="false">IF(ABS(t-ROUND(t,0))&lt;0.001,t,NA())</f>
        <v>#N/A</v>
      </c>
      <c r="AD19" s="425" t="e">
        <f aca="false">IF(ABS(t-ROUND(t,0))&lt;0.001,pos_x,NA())</f>
        <v>#N/A</v>
      </c>
      <c r="AE19" s="426" t="n">
        <f aca="false">IF(t&lt;T_para, pos_z, NA())</f>
        <v>0.719374858272552</v>
      </c>
      <c r="AF19" s="412"/>
      <c r="AG19" s="418" t="n">
        <f aca="false">IF(AND(L18&lt;L_rampe,Poussee&lt;Poids*SIN(M18)),0,(-W18+Poussee)/m-Poids*SIN(M18)/m)</f>
        <v>94.761817553116</v>
      </c>
      <c r="AH19" s="417" t="n">
        <f aca="false">IF(AND(L18&lt;L_rampe,Poussee&lt;Poids*SIN(M18)), g*SIN(M18), (-W18+Poussee)/m)</f>
        <v>104.422781610166</v>
      </c>
    </row>
    <row r="20" customFormat="false" ht="12" hidden="false" customHeight="false" outlineLevel="0" collapsed="false">
      <c r="A20" s="416" t="n">
        <f aca="false">IF(B19+0.01&lt;=T_ini+ROUNDUP(Temps_fin_propu,0), 0.01, IF(K19&gt;0, 0.1, 0.0001))</f>
        <v>0.01</v>
      </c>
      <c r="B20" s="417" t="n">
        <f aca="false">B19+pas</f>
        <v>0.16</v>
      </c>
      <c r="C20" s="401"/>
      <c r="D20" s="418" t="n">
        <f aca="false">IF(AND(L19&lt;L_rampe,Poussee&lt;Poids*SIN(M19)),0,(-W19+Poussee)/m*COS(M19)-U19/m*SIN(M19))</f>
        <v>16.4182588317315</v>
      </c>
      <c r="E20" s="419" t="n">
        <f aca="false">IF(AND(L19&lt;L_rampe,Poussee&lt;Poids*SIN(M19)),0,(-W19+Poussee)/m*SIN(M19)+U19/m*COS(M19)-Poids/m)</f>
        <v>93.1177065774639</v>
      </c>
      <c r="F20" s="417" t="n">
        <f aca="false">SQRT(acc_x^2+acc_z^2)</f>
        <v>94.554040110999</v>
      </c>
      <c r="G20" s="418" t="n">
        <f aca="false">G19+acc_x*pas</f>
        <v>2.20291409780568</v>
      </c>
      <c r="H20" s="419" t="n">
        <f aca="false">H19+acc_z*pas</f>
        <v>12.4940475073712</v>
      </c>
      <c r="I20" s="417" t="n">
        <f aca="false">SQRT(vit_x^2+vit_z^2)</f>
        <v>12.6867668709865</v>
      </c>
      <c r="J20" s="418" t="n">
        <f aca="false">J19+0.5*(vit_x+G19)*pas*(K19&gt;=0)</f>
        <v>0.148046139576862</v>
      </c>
      <c r="K20" s="419" t="n">
        <f aca="false">K19+0.5*(vit_z+H19)*pas</f>
        <v>0.839659448017392</v>
      </c>
      <c r="L20" s="417" t="n">
        <f aca="false">SQRT(pos_x^2+pos_z^2)</f>
        <v>0.852611076686482</v>
      </c>
      <c r="M20" s="418" t="n">
        <f aca="false">IF(AND(L19&gt;L_rampe,G20&gt;0),ATAN2(G20,H20),$M$4)</f>
        <v>1.39626340159546</v>
      </c>
      <c r="N20" s="417" t="n">
        <f aca="false">DEGREES(Beta)</f>
        <v>79.9999999999998</v>
      </c>
      <c r="O20" s="401"/>
      <c r="P20" s="420" t="n">
        <f aca="false">MATCH(t-pas/2-T_ini,CdP_t)</f>
        <v>2</v>
      </c>
      <c r="Q20" s="417" t="n">
        <f aca="false">(INDEX(CdP,2,i_P+1)-INDEX(CdP,2,i_P+0))/(INDEX(CdP,1,i_P+1)-INDEX(CdP,1,i_P+0))*(t-pas/2-T_ini-INDEX(CdP,1,i_P+0))+INDEX(CdP,2,i_P+0)</f>
        <v>870.833333333333</v>
      </c>
      <c r="R20" s="418" t="n">
        <f aca="false">Poussee/(g*ISP)</f>
        <v>0.437030676376616</v>
      </c>
      <c r="S20" s="419" t="n">
        <f aca="false">S19-Débit*pas</f>
        <v>8.35114004069023</v>
      </c>
      <c r="T20" s="417" t="n">
        <f aca="false">m*g</f>
        <v>81.9246837991712</v>
      </c>
      <c r="U20" s="421" t="n">
        <f aca="false">IF(pos_xz&lt;L_rampe,Poids*COS(Beta),0)</f>
        <v>14.2260720476659</v>
      </c>
      <c r="V20" s="418" t="n">
        <f aca="false">Rho_moyen*(20000-Alt_rampe-pos_z)/(20000+Alt_rampe+pos_z)</f>
        <v>1.22489714603573</v>
      </c>
      <c r="W20" s="417" t="n">
        <f aca="false">1/2*Rho*Sref*Cx*vit_xz^2</f>
        <v>0.606229762251636</v>
      </c>
      <c r="X20" s="401"/>
      <c r="Y20" s="422" t="str">
        <f aca="false">IF(AND(pos_z&lt;=0,K19&gt;0),"Impact balistique","") &amp; IF(AND(H21&lt;0,vit_z&gt;=0),"Apogée","") &amp; IF(AND(Poussee=0,Q19&gt;0),"Fin de propulsion","") &amp; IF(AND(L21&gt;L_rampe,pos_xz&lt;=L_rampe),"Sortie de rampe","")</f>
        <v/>
      </c>
      <c r="Z20" s="423" t="str">
        <f aca="false">IF(ABS(t-T_para)&lt;pas/2,"Para","")</f>
        <v/>
      </c>
      <c r="AA20" s="424" t="str">
        <f aca="false">IF(ABS(t-T_satellite)&lt;pas/2,"Satellite","")</f>
        <v/>
      </c>
      <c r="AB20" s="412"/>
      <c r="AC20" s="420" t="e">
        <f aca="false">IF(ABS(t-ROUND(t,0))&lt;0.001,t,NA())</f>
        <v>#N/A</v>
      </c>
      <c r="AD20" s="425" t="e">
        <f aca="false">IF(ABS(t-ROUND(t,0))&lt;0.001,pos_x,NA())</f>
        <v>#N/A</v>
      </c>
      <c r="AE20" s="426" t="n">
        <f aca="false">IF(t&lt;T_para, pos_z, NA())</f>
        <v>0.839659448017392</v>
      </c>
      <c r="AF20" s="412"/>
      <c r="AG20" s="418" t="n">
        <f aca="false">IF(AND(L19&lt;L_rampe,Poussee&lt;Poids*SIN(M19)),0,(-W19+Poussee)/m-Poids*SIN(M19)/m)</f>
        <v>94.5540401067965</v>
      </c>
      <c r="AH20" s="417" t="n">
        <f aca="false">IF(AND(L19&lt;L_rampe,Poussee&lt;Poids*SIN(M19)), g*SIN(M19), (-W19+Poussee)/m)</f>
        <v>104.215004163846</v>
      </c>
    </row>
    <row r="21" customFormat="false" ht="12" hidden="false" customHeight="false" outlineLevel="0" collapsed="false">
      <c r="A21" s="416" t="n">
        <f aca="false">IF(B20+0.01&lt;=T_ini+ROUNDUP(Temps_fin_propu,0), 0.01, IF(K20&gt;0, 0.1, 0.0001))</f>
        <v>0.01</v>
      </c>
      <c r="B21" s="417" t="n">
        <f aca="false">B20+pas</f>
        <v>0.17</v>
      </c>
      <c r="C21" s="401"/>
      <c r="D21" s="418" t="n">
        <f aca="false">IF(AND(L20&lt;L_rampe,Poussee&lt;Poids*SIN(M20)),0,(-W20+Poussee)/m*COS(M20)-U20/m*SIN(M20))</f>
        <v>16.3819830717317</v>
      </c>
      <c r="E21" s="419" t="n">
        <f aca="false">IF(AND(L20&lt;L_rampe,Poussee&lt;Poids*SIN(M20)),0,(-W20+Poussee)/m*SIN(M20)+U20/m*COS(M20)-Poids/m)</f>
        <v>92.9119667487923</v>
      </c>
      <c r="F21" s="417" t="n">
        <f aca="false">SQRT(acc_x^2+acc_z^2)</f>
        <v>94.3451267129956</v>
      </c>
      <c r="G21" s="418" t="n">
        <f aca="false">G20+acc_x*pas</f>
        <v>2.366733928523</v>
      </c>
      <c r="H21" s="419" t="n">
        <f aca="false">H20+acc_z*pas</f>
        <v>13.4231671748592</v>
      </c>
      <c r="I21" s="417" t="n">
        <f aca="false">SQRT(vit_x^2+vit_z^2)</f>
        <v>13.6302181381164</v>
      </c>
      <c r="J21" s="418" t="n">
        <f aca="false">J20+0.5*(vit_x+G20)*pas*(K20&gt;=0)</f>
        <v>0.170894379708506</v>
      </c>
      <c r="K21" s="419" t="n">
        <f aca="false">K20+0.5*(vit_z+H20)*pas</f>
        <v>0.969245521428544</v>
      </c>
      <c r="L21" s="417" t="n">
        <f aca="false">SQRT(pos_x^2+pos_z^2)</f>
        <v>0.984196001731995</v>
      </c>
      <c r="M21" s="418" t="n">
        <f aca="false">IF(AND(L20&gt;L_rampe,G21&gt;0),ATAN2(G21,H21),$M$4)</f>
        <v>1.39626340159546</v>
      </c>
      <c r="N21" s="417" t="n">
        <f aca="false">DEGREES(Beta)</f>
        <v>79.9999999999998</v>
      </c>
      <c r="O21" s="401"/>
      <c r="P21" s="420" t="n">
        <f aca="false">MATCH(t-pas/2-T_ini,CdP_t)</f>
        <v>2</v>
      </c>
      <c r="Q21" s="417" t="n">
        <f aca="false">(INDEX(CdP,2,i_P+1)-INDEX(CdP,2,i_P+0))/(INDEX(CdP,1,i_P+1)-INDEX(CdP,1,i_P+0))*(t-pas/2-T_ini-INDEX(CdP,1,i_P+0))+INDEX(CdP,2,i_P+0)</f>
        <v>868.722222222222</v>
      </c>
      <c r="R21" s="418" t="n">
        <f aca="false">Poussee/(g*ISP)</f>
        <v>0.435971208070248</v>
      </c>
      <c r="S21" s="419" t="n">
        <f aca="false">S20-Débit*pas</f>
        <v>8.34678032860953</v>
      </c>
      <c r="T21" s="417" t="n">
        <f aca="false">m*g</f>
        <v>81.8819150236595</v>
      </c>
      <c r="U21" s="421" t="n">
        <f aca="false">IF(pos_xz&lt;L_rampe,Poids*COS(Beta),0)</f>
        <v>14.2186453277372</v>
      </c>
      <c r="V21" s="418" t="n">
        <f aca="false">Rho_moyen*(20000-Alt_rampe-pos_z)/(20000+Alt_rampe+pos_z)</f>
        <v>1.2248812731774</v>
      </c>
      <c r="W21" s="417" t="n">
        <f aca="false">1/2*Rho*Sref*Cx*vit_xz^2</f>
        <v>0.699737775052527</v>
      </c>
      <c r="X21" s="401"/>
      <c r="Y21" s="422" t="str">
        <f aca="false">IF(AND(pos_z&lt;=0,K20&gt;0),"Impact balistique","") &amp; IF(AND(H22&lt;0,vit_z&gt;=0),"Apogée","") &amp; IF(AND(Poussee=0,Q20&gt;0),"Fin de propulsion","") &amp; IF(AND(L22&gt;L_rampe,pos_xz&lt;=L_rampe),"Sortie de rampe","")</f>
        <v/>
      </c>
      <c r="Z21" s="423" t="str">
        <f aca="false">IF(ABS(t-T_para)&lt;pas/2,"Para","")</f>
        <v/>
      </c>
      <c r="AA21" s="424" t="str">
        <f aca="false">IF(ABS(t-T_satellite)&lt;pas/2,"Satellite","")</f>
        <v/>
      </c>
      <c r="AB21" s="412"/>
      <c r="AC21" s="420" t="e">
        <f aca="false">IF(ABS(t-ROUND(t,0))&lt;0.001,t,NA())</f>
        <v>#N/A</v>
      </c>
      <c r="AD21" s="425" t="e">
        <f aca="false">IF(ABS(t-ROUND(t,0))&lt;0.001,pos_x,NA())</f>
        <v>#N/A</v>
      </c>
      <c r="AE21" s="426" t="n">
        <f aca="false">IF(t&lt;T_para, pos_z, NA())</f>
        <v>0.969245521428544</v>
      </c>
      <c r="AF21" s="412"/>
      <c r="AG21" s="418" t="n">
        <f aca="false">IF(AND(L20&lt;L_rampe,Poussee&lt;Poids*SIN(M20)),0,(-W20+Poussee)/m-Poids*SIN(M20)/m)</f>
        <v>94.3451267087998</v>
      </c>
      <c r="AH21" s="417" t="n">
        <f aca="false">IF(AND(L20&lt;L_rampe,Poussee&lt;Poids*SIN(M20)), g*SIN(M20), (-W20+Poussee)/m)</f>
        <v>104.00609076585</v>
      </c>
    </row>
    <row r="22" customFormat="false" ht="12" hidden="false" customHeight="false" outlineLevel="0" collapsed="false">
      <c r="A22" s="416" t="n">
        <f aca="false">IF(B21+0.01&lt;=T_ini+ROUNDUP(Temps_fin_propu,0), 0.01, IF(K21&gt;0, 0.1, 0.0001))</f>
        <v>0.01</v>
      </c>
      <c r="B22" s="417" t="n">
        <f aca="false">B21+pas</f>
        <v>0.18</v>
      </c>
      <c r="C22" s="401"/>
      <c r="D22" s="418" t="n">
        <f aca="false">IF(AND(L21&lt;L_rampe,Poussee&lt;Poids*SIN(M21)),0,(-W21+Poussee)/m*COS(M21)-U21/m*SIN(M21))</f>
        <v>16.3455108459903</v>
      </c>
      <c r="E22" s="419" t="n">
        <f aca="false">IF(AND(L21&lt;L_rampe,Poussee&lt;Poids*SIN(M21)),0,(-W21+Poussee)/m*SIN(M21)+U21/m*COS(M21)-Poids/m)</f>
        <v>92.7051126908262</v>
      </c>
      <c r="F22" s="417" t="n">
        <f aca="false">SQRT(acc_x^2+acc_z^2)</f>
        <v>94.1350818974264</v>
      </c>
      <c r="G22" s="418" t="n">
        <f aca="false">G21+acc_x*pas</f>
        <v>2.5301890369829</v>
      </c>
      <c r="H22" s="419" t="n">
        <f aca="false">H21+acc_z*pas</f>
        <v>14.3502183017674</v>
      </c>
      <c r="I22" s="417" t="n">
        <f aca="false">SQRT(vit_x^2+vit_z^2)</f>
        <v>14.5715689570907</v>
      </c>
      <c r="J22" s="418" t="n">
        <f aca="false">J21+0.5*(vit_x+G21)*pas*(K21&gt;=0)</f>
        <v>0.195378994536035</v>
      </c>
      <c r="K22" s="419" t="n">
        <f aca="false">K21+0.5*(vit_z+H21)*pas</f>
        <v>1.10811244881168</v>
      </c>
      <c r="L22" s="417" t="n">
        <f aca="false">SQRT(pos_x^2+pos_z^2)</f>
        <v>1.12520493720803</v>
      </c>
      <c r="M22" s="418" t="n">
        <f aca="false">IF(AND(L21&gt;L_rampe,G22&gt;0),ATAN2(G22,H22),$M$4)</f>
        <v>1.39626340159546</v>
      </c>
      <c r="N22" s="417" t="n">
        <f aca="false">DEGREES(Beta)</f>
        <v>79.9999999999998</v>
      </c>
      <c r="O22" s="401"/>
      <c r="P22" s="420" t="n">
        <f aca="false">MATCH(t-pas/2-T_ini,CdP_t)</f>
        <v>2</v>
      </c>
      <c r="Q22" s="417" t="n">
        <f aca="false">(INDEX(CdP,2,i_P+1)-INDEX(CdP,2,i_P+0))/(INDEX(CdP,1,i_P+1)-INDEX(CdP,1,i_P+0))*(t-pas/2-T_ini-INDEX(CdP,1,i_P+0))+INDEX(CdP,2,i_P+0)</f>
        <v>866.611111111111</v>
      </c>
      <c r="R22" s="418" t="n">
        <f aca="false">Poussee/(g*ISP)</f>
        <v>0.434911739763881</v>
      </c>
      <c r="S22" s="419" t="n">
        <f aca="false">S21-Débit*pas</f>
        <v>8.34243121121189</v>
      </c>
      <c r="T22" s="417" t="n">
        <f aca="false">m*g</f>
        <v>81.8392501819887</v>
      </c>
      <c r="U22" s="421" t="n">
        <f aca="false">IF(pos_xz&lt;L_rampe,Poids*COS(Beta),0)</f>
        <v>14.2112366557306</v>
      </c>
      <c r="V22" s="418" t="n">
        <f aca="false">Rho_moyen*(20000-Alt_rampe-pos_z)/(20000+Alt_rampe+pos_z)</f>
        <v>1.22486426374557</v>
      </c>
      <c r="W22" s="417" t="n">
        <f aca="false">1/2*Rho*Sref*Cx*vit_xz^2</f>
        <v>0.79971696266388</v>
      </c>
      <c r="X22" s="401"/>
      <c r="Y22" s="422" t="str">
        <f aca="false">IF(AND(pos_z&lt;=0,K21&gt;0),"Impact balistique","") &amp; IF(AND(H23&lt;0,vit_z&gt;=0),"Apogée","") &amp; IF(AND(Poussee=0,Q21&gt;0),"Fin de propulsion","") &amp; IF(AND(L23&gt;L_rampe,pos_xz&lt;=L_rampe),"Sortie de rampe","")</f>
        <v/>
      </c>
      <c r="Z22" s="423" t="str">
        <f aca="false">IF(ABS(t-T_para)&lt;pas/2,"Para","")</f>
        <v/>
      </c>
      <c r="AA22" s="424" t="str">
        <f aca="false">IF(ABS(t-T_satellite)&lt;pas/2,"Satellite","")</f>
        <v/>
      </c>
      <c r="AB22" s="412"/>
      <c r="AC22" s="420" t="e">
        <f aca="false">IF(ABS(t-ROUND(t,0))&lt;0.001,t,NA())</f>
        <v>#N/A</v>
      </c>
      <c r="AD22" s="425" t="e">
        <f aca="false">IF(ABS(t-ROUND(t,0))&lt;0.001,pos_x,NA())</f>
        <v>#N/A</v>
      </c>
      <c r="AE22" s="426" t="n">
        <f aca="false">IF(t&lt;T_para, pos_z, NA())</f>
        <v>1.10811244881168</v>
      </c>
      <c r="AF22" s="412"/>
      <c r="AG22" s="418" t="n">
        <f aca="false">IF(AND(L21&lt;L_rampe,Poussee&lt;Poids*SIN(M21)),0,(-W21+Poussee)/m-Poids*SIN(M21)/m)</f>
        <v>94.1350818932373</v>
      </c>
      <c r="AH22" s="417" t="n">
        <f aca="false">IF(AND(L21&lt;L_rampe,Poussee&lt;Poids*SIN(M21)), g*SIN(M21), (-W21+Poussee)/m)</f>
        <v>103.796045950287</v>
      </c>
    </row>
    <row r="23" customFormat="false" ht="12" hidden="false" customHeight="false" outlineLevel="0" collapsed="false">
      <c r="A23" s="416" t="n">
        <f aca="false">IF(B22+0.01&lt;=T_ini+ROUNDUP(Temps_fin_propu,0), 0.01, IF(K22&gt;0, 0.1, 0.0001))</f>
        <v>0.01</v>
      </c>
      <c r="B23" s="417" t="n">
        <f aca="false">B22+pas</f>
        <v>0.19</v>
      </c>
      <c r="C23" s="401"/>
      <c r="D23" s="418" t="n">
        <f aca="false">IF(AND(L22&lt;L_rampe,Poussee&lt;Poids*SIN(M22)),0,(-W22+Poussee)/m*COS(M22)-U22/m*SIN(M22))</f>
        <v>16.3088429502576</v>
      </c>
      <c r="E23" s="419" t="n">
        <f aca="false">IF(AND(L22&lt;L_rampe,Poussee&lt;Poids*SIN(M22)),0,(-W22+Poussee)/m*SIN(M22)+U22/m*COS(M22)-Poids/m)</f>
        <v>92.4971489164992</v>
      </c>
      <c r="F23" s="417" t="n">
        <f aca="false">SQRT(acc_x^2+acc_z^2)</f>
        <v>93.9239102468439</v>
      </c>
      <c r="G23" s="418" t="n">
        <f aca="false">G22+acc_x*pas</f>
        <v>2.69327746648548</v>
      </c>
      <c r="H23" s="419" t="n">
        <f aca="false">H22+acc_z*pas</f>
        <v>15.2751897909324</v>
      </c>
      <c r="I23" s="417" t="n">
        <f aca="false">SQRT(vit_x^2+vit_z^2)</f>
        <v>15.5108080595591</v>
      </c>
      <c r="J23" s="418" t="n">
        <f aca="false">J22+0.5*(vit_x+G22)*pas*(K22&gt;=0)</f>
        <v>0.221496327053377</v>
      </c>
      <c r="K23" s="419" t="n">
        <f aca="false">K22+0.5*(vit_z+H22)*pas</f>
        <v>1.25623948927518</v>
      </c>
      <c r="L23" s="417" t="n">
        <f aca="false">SQRT(pos_x^2+pos_z^2)</f>
        <v>1.27561682229128</v>
      </c>
      <c r="M23" s="418" t="n">
        <f aca="false">IF(AND(L22&gt;L_rampe,G23&gt;0),ATAN2(G23,H23),$M$4)</f>
        <v>1.39626340159546</v>
      </c>
      <c r="N23" s="417" t="n">
        <f aca="false">DEGREES(Beta)</f>
        <v>79.9999999999998</v>
      </c>
      <c r="O23" s="401"/>
      <c r="P23" s="420" t="n">
        <f aca="false">MATCH(t-pas/2-T_ini,CdP_t)</f>
        <v>2</v>
      </c>
      <c r="Q23" s="417" t="n">
        <f aca="false">(INDEX(CdP,2,i_P+1)-INDEX(CdP,2,i_P+0))/(INDEX(CdP,1,i_P+1)-INDEX(CdP,1,i_P+0))*(t-pas/2-T_ini-INDEX(CdP,1,i_P+0))+INDEX(CdP,2,i_P+0)</f>
        <v>864.5</v>
      </c>
      <c r="R23" s="418" t="n">
        <f aca="false">Poussee/(g*ISP)</f>
        <v>0.433852271457513</v>
      </c>
      <c r="S23" s="419" t="n">
        <f aca="false">S22-Débit*pas</f>
        <v>8.33809268849732</v>
      </c>
      <c r="T23" s="417" t="n">
        <f aca="false">m*g</f>
        <v>81.7966892741587</v>
      </c>
      <c r="U23" s="421" t="n">
        <f aca="false">IF(pos_xz&lt;L_rampe,Poids*COS(Beta),0)</f>
        <v>14.2038460316461</v>
      </c>
      <c r="V23" s="418" t="n">
        <f aca="false">Rho_moyen*(20000-Alt_rampe-pos_z)/(20000+Alt_rampe+pos_z)</f>
        <v>1.22484612032805</v>
      </c>
      <c r="W23" s="417" t="n">
        <f aca="false">1/2*Rho*Sref*Cx*vit_xz^2</f>
        <v>0.906120780433804</v>
      </c>
      <c r="X23" s="401"/>
      <c r="Y23" s="422" t="str">
        <f aca="false">IF(AND(pos_z&lt;=0,K22&gt;0),"Impact balistique","") &amp; IF(AND(H24&lt;0,vit_z&gt;=0),"Apogée","") &amp; IF(AND(Poussee=0,Q22&gt;0),"Fin de propulsion","") &amp; IF(AND(L24&gt;L_rampe,pos_xz&lt;=L_rampe),"Sortie de rampe","")</f>
        <v/>
      </c>
      <c r="Z23" s="423" t="str">
        <f aca="false">IF(ABS(t-T_para)&lt;pas/2,"Para","")</f>
        <v/>
      </c>
      <c r="AA23" s="424" t="str">
        <f aca="false">IF(ABS(t-T_satellite)&lt;pas/2,"Satellite","")</f>
        <v/>
      </c>
      <c r="AB23" s="412"/>
      <c r="AC23" s="420" t="e">
        <f aca="false">IF(ABS(t-ROUND(t,0))&lt;0.001,t,NA())</f>
        <v>#N/A</v>
      </c>
      <c r="AD23" s="425" t="e">
        <f aca="false">IF(ABS(t-ROUND(t,0))&lt;0.001,pos_x,NA())</f>
        <v>#N/A</v>
      </c>
      <c r="AE23" s="426" t="n">
        <f aca="false">IF(t&lt;T_para, pos_z, NA())</f>
        <v>1.25623948927518</v>
      </c>
      <c r="AF23" s="412"/>
      <c r="AG23" s="418" t="n">
        <f aca="false">IF(AND(L22&lt;L_rampe,Poussee&lt;Poids*SIN(M22)),0,(-W22+Poussee)/m-Poids*SIN(M22)/m)</f>
        <v>93.9239102426615</v>
      </c>
      <c r="AH23" s="417" t="n">
        <f aca="false">IF(AND(L22&lt;L_rampe,Poussee&lt;Poids*SIN(M22)), g*SIN(M22), (-W22+Poussee)/m)</f>
        <v>103.584874299711</v>
      </c>
    </row>
    <row r="24" customFormat="false" ht="12" hidden="false" customHeight="false" outlineLevel="0" collapsed="false">
      <c r="A24" s="416" t="n">
        <f aca="false">IF(B23+0.01&lt;=T_ini+ROUNDUP(Temps_fin_propu,0), 0.01, IF(K23&gt;0, 0.1, 0.0001))</f>
        <v>0.01</v>
      </c>
      <c r="B24" s="417" t="n">
        <f aca="false">B23+pas</f>
        <v>0.2</v>
      </c>
      <c r="C24" s="401"/>
      <c r="D24" s="418" t="n">
        <f aca="false">IF(AND(L23&lt;L_rampe,Poussee&lt;Poids*SIN(M23)),0,(-W23+Poussee)/m*COS(M23)-U23/m*SIN(M23))</f>
        <v>16.2719801886228</v>
      </c>
      <c r="E24" s="419" t="n">
        <f aca="false">IF(AND(L23&lt;L_rampe,Poussee&lt;Poids*SIN(M23)),0,(-W23+Poussee)/m*SIN(M23)+U23/m*COS(M23)-Poids/m)</f>
        <v>92.2880799860403</v>
      </c>
      <c r="F24" s="417" t="n">
        <f aca="false">SQRT(acc_x^2+acc_z^2)</f>
        <v>93.7116163918257</v>
      </c>
      <c r="G24" s="418" t="n">
        <f aca="false">G23+acc_x*pas</f>
        <v>2.8559972683717</v>
      </c>
      <c r="H24" s="419" t="n">
        <f aca="false">H23+acc_z*pas</f>
        <v>16.1980705907928</v>
      </c>
      <c r="I24" s="417" t="n">
        <f aca="false">SQRT(vit_x^2+vit_z^2)</f>
        <v>16.4479242234774</v>
      </c>
      <c r="J24" s="418" t="n">
        <f aca="false">J23+0.5*(vit_x+G23)*pas*(K23&gt;=0)</f>
        <v>0.249242700727663</v>
      </c>
      <c r="K24" s="419" t="n">
        <f aca="false">K23+0.5*(vit_z+H23)*pas</f>
        <v>1.4136057911838</v>
      </c>
      <c r="L24" s="417" t="n">
        <f aca="false">SQRT(pos_x^2+pos_z^2)</f>
        <v>1.43541048370646</v>
      </c>
      <c r="M24" s="418" t="n">
        <f aca="false">IF(AND(L23&gt;L_rampe,G24&gt;0),ATAN2(G24,H24),$M$4)</f>
        <v>1.39626340159546</v>
      </c>
      <c r="N24" s="417" t="n">
        <f aca="false">DEGREES(Beta)</f>
        <v>79.9999999999998</v>
      </c>
      <c r="O24" s="401"/>
      <c r="P24" s="420" t="n">
        <f aca="false">MATCH(t-pas/2-T_ini,CdP_t)</f>
        <v>2</v>
      </c>
      <c r="Q24" s="417" t="n">
        <f aca="false">(INDEX(CdP,2,i_P+1)-INDEX(CdP,2,i_P+0))/(INDEX(CdP,1,i_P+1)-INDEX(CdP,1,i_P+0))*(t-pas/2-T_ini-INDEX(CdP,1,i_P+0))+INDEX(CdP,2,i_P+0)</f>
        <v>862.388888888889</v>
      </c>
      <c r="R24" s="418" t="n">
        <f aca="false">Poussee/(g*ISP)</f>
        <v>0.432792803151146</v>
      </c>
      <c r="S24" s="419" t="n">
        <f aca="false">S23-Débit*pas</f>
        <v>8.3337647604658</v>
      </c>
      <c r="T24" s="417" t="n">
        <f aca="false">m*g</f>
        <v>81.7542323001696</v>
      </c>
      <c r="U24" s="421" t="n">
        <f aca="false">IF(pos_xz&lt;L_rampe,Poids*COS(Beta),0)</f>
        <v>14.1964734554836</v>
      </c>
      <c r="V24" s="418" t="n">
        <f aca="false">Rho_moyen*(20000-Alt_rampe-pos_z)/(20000+Alt_rampe+pos_z)</f>
        <v>1.22482684552919</v>
      </c>
      <c r="W24" s="417" t="n">
        <f aca="false">1/2*Rho*Sref*Cx*vit_xz^2</f>
        <v>1.01890243879095</v>
      </c>
      <c r="X24" s="401"/>
      <c r="Y24" s="422" t="str">
        <f aca="false">IF(AND(pos_z&lt;=0,K23&gt;0),"Impact balistique","") &amp; IF(AND(H25&lt;0,vit_z&gt;=0),"Apogée","") &amp; IF(AND(Poussee=0,Q23&gt;0),"Fin de propulsion","") &amp; IF(AND(L25&gt;L_rampe,pos_xz&lt;=L_rampe),"Sortie de rampe","")</f>
        <v/>
      </c>
      <c r="Z24" s="423" t="str">
        <f aca="false">IF(ABS(t-T_para)&lt;pas/2,"Para","")</f>
        <v/>
      </c>
      <c r="AA24" s="424" t="str">
        <f aca="false">IF(ABS(t-T_satellite)&lt;pas/2,"Satellite","")</f>
        <v/>
      </c>
      <c r="AB24" s="412"/>
      <c r="AC24" s="420" t="e">
        <f aca="false">IF(ABS(t-ROUND(t,0))&lt;0.001,t,NA())</f>
        <v>#N/A</v>
      </c>
      <c r="AD24" s="425" t="e">
        <f aca="false">IF(ABS(t-ROUND(t,0))&lt;0.001,pos_x,NA())</f>
        <v>#N/A</v>
      </c>
      <c r="AE24" s="426" t="n">
        <f aca="false">IF(t&lt;T_para, pos_z, NA())</f>
        <v>1.4136057911838</v>
      </c>
      <c r="AF24" s="412"/>
      <c r="AG24" s="418" t="n">
        <f aca="false">IF(AND(L23&lt;L_rampe,Poussee&lt;Poids*SIN(M23)),0,(-W23+Poussee)/m-Poids*SIN(M23)/m)</f>
        <v>93.71161638765</v>
      </c>
      <c r="AH24" s="417" t="n">
        <f aca="false">IF(AND(L23&lt;L_rampe,Poussee&lt;Poids*SIN(M23)), g*SIN(M23), (-W23+Poussee)/m)</f>
        <v>103.3725804447</v>
      </c>
    </row>
    <row r="25" customFormat="false" ht="12" hidden="false" customHeight="false" outlineLevel="0" collapsed="false">
      <c r="A25" s="416" t="n">
        <f aca="false">IF(B24+0.01&lt;=T_ini+ROUNDUP(Temps_fin_propu,0), 0.01, IF(K24&gt;0, 0.1, 0.0001))</f>
        <v>0.01</v>
      </c>
      <c r="B25" s="417" t="n">
        <f aca="false">B24+pas</f>
        <v>0.21</v>
      </c>
      <c r="C25" s="401"/>
      <c r="D25" s="418" t="n">
        <f aca="false">IF(AND(L24&lt;L_rampe,Poussee&lt;Poids*SIN(M24)),0,(-W24+Poussee)/m*COS(M24)-U24/m*SIN(M24))</f>
        <v>16.2349233734418</v>
      </c>
      <c r="E25" s="419" t="n">
        <f aca="false">IF(AND(L24&lt;L_rampe,Poussee&lt;Poids*SIN(M24)),0,(-W24+Poussee)/m*SIN(M24)+U24/m*COS(M24)-Poids/m)</f>
        <v>92.0779105065595</v>
      </c>
      <c r="F25" s="417" t="n">
        <f aca="false">SQRT(acc_x^2+acc_z^2)</f>
        <v>93.4982050105536</v>
      </c>
      <c r="G25" s="418" t="n">
        <f aca="false">G24+acc_x*pas</f>
        <v>3.01834650210612</v>
      </c>
      <c r="H25" s="419" t="n">
        <f aca="false">H24+acc_z*pas</f>
        <v>17.1188496958584</v>
      </c>
      <c r="I25" s="417" t="n">
        <f aca="false">SQRT(vit_x^2+vit_z^2)</f>
        <v>17.3829062735829</v>
      </c>
      <c r="J25" s="418" t="n">
        <f aca="false">J24+0.5*(vit_x+G24)*pas*(K24&gt;=0)</f>
        <v>0.278614419580052</v>
      </c>
      <c r="K25" s="419" t="n">
        <f aca="false">K24+0.5*(vit_z+H24)*pas</f>
        <v>1.58019039261706</v>
      </c>
      <c r="L25" s="417" t="n">
        <f aca="false">SQRT(pos_x^2+pos_z^2)</f>
        <v>1.60456463619176</v>
      </c>
      <c r="M25" s="418" t="n">
        <f aca="false">IF(AND(L24&gt;L_rampe,G25&gt;0),ATAN2(G25,H25),$M$4)</f>
        <v>1.39626340159546</v>
      </c>
      <c r="N25" s="417" t="n">
        <f aca="false">DEGREES(Beta)</f>
        <v>79.9999999999998</v>
      </c>
      <c r="O25" s="401"/>
      <c r="P25" s="420" t="n">
        <f aca="false">MATCH(t-pas/2-T_ini,CdP_t)</f>
        <v>2</v>
      </c>
      <c r="Q25" s="417" t="n">
        <f aca="false">(INDEX(CdP,2,i_P+1)-INDEX(CdP,2,i_P+0))/(INDEX(CdP,1,i_P+1)-INDEX(CdP,1,i_P+0))*(t-pas/2-T_ini-INDEX(CdP,1,i_P+0))+INDEX(CdP,2,i_P+0)</f>
        <v>860.277777777778</v>
      </c>
      <c r="R25" s="418" t="n">
        <f aca="false">Poussee/(g*ISP)</f>
        <v>0.431733334844778</v>
      </c>
      <c r="S25" s="419" t="n">
        <f aca="false">S24-Débit*pas</f>
        <v>8.32944742711736</v>
      </c>
      <c r="T25" s="417" t="n">
        <f aca="false">m*g</f>
        <v>81.7118792600213</v>
      </c>
      <c r="U25" s="421" t="n">
        <f aca="false">IF(pos_xz&lt;L_rampe,Poids*COS(Beta),0)</f>
        <v>14.1891189272432</v>
      </c>
      <c r="V25" s="418" t="n">
        <f aca="false">Rho_moyen*(20000-Alt_rampe-pos_z)/(20000+Alt_rampe+pos_z)</f>
        <v>1.22480644196983</v>
      </c>
      <c r="W25" s="417" t="n">
        <f aca="false">1/2*Rho*Sref*Cx*vit_xz^2</f>
        <v>1.13801490732098</v>
      </c>
      <c r="X25" s="401"/>
      <c r="Y25" s="422" t="str">
        <f aca="false">IF(AND(pos_z&lt;=0,K24&gt;0),"Impact balistique","") &amp; IF(AND(H26&lt;0,vit_z&gt;=0),"Apogée","") &amp; IF(AND(Poussee=0,Q24&gt;0),"Fin de propulsion","") &amp; IF(AND(L26&gt;L_rampe,pos_xz&lt;=L_rampe),"Sortie de rampe","")</f>
        <v/>
      </c>
      <c r="Z25" s="423" t="str">
        <f aca="false">IF(ABS(t-T_para)&lt;pas/2,"Para","")</f>
        <v/>
      </c>
      <c r="AA25" s="424" t="str">
        <f aca="false">IF(ABS(t-T_satellite)&lt;pas/2,"Satellite","")</f>
        <v/>
      </c>
      <c r="AB25" s="412"/>
      <c r="AC25" s="420" t="e">
        <f aca="false">IF(ABS(t-ROUND(t,0))&lt;0.001,t,NA())</f>
        <v>#N/A</v>
      </c>
      <c r="AD25" s="425" t="e">
        <f aca="false">IF(ABS(t-ROUND(t,0))&lt;0.001,pos_x,NA())</f>
        <v>#N/A</v>
      </c>
      <c r="AE25" s="426" t="n">
        <f aca="false">IF(t&lt;T_para, pos_z, NA())</f>
        <v>1.58019039261706</v>
      </c>
      <c r="AF25" s="412"/>
      <c r="AG25" s="418" t="n">
        <f aca="false">IF(AND(L24&lt;L_rampe,Poussee&lt;Poids*SIN(M24)),0,(-W24+Poussee)/m-Poids*SIN(M24)/m)</f>
        <v>93.4982050063845</v>
      </c>
      <c r="AH25" s="417" t="n">
        <f aca="false">IF(AND(L24&lt;L_rampe,Poussee&lt;Poids*SIN(M24)), g*SIN(M24), (-W24+Poussee)/m)</f>
        <v>103.159169063434</v>
      </c>
    </row>
    <row r="26" customFormat="false" ht="12" hidden="false" customHeight="false" outlineLevel="0" collapsed="false">
      <c r="A26" s="416" t="n">
        <f aca="false">IF(B25+0.01&lt;=T_ini+ROUNDUP(Temps_fin_propu,0), 0.01, IF(K25&gt;0, 0.1, 0.0001))</f>
        <v>0.01</v>
      </c>
      <c r="B26" s="417" t="n">
        <f aca="false">B25+pas</f>
        <v>0.22</v>
      </c>
      <c r="C26" s="401"/>
      <c r="D26" s="418" t="n">
        <f aca="false">IF(AND(L25&lt;L_rampe,Poussee&lt;Poids*SIN(M25)),0,(-W25+Poussee)/m*COS(M25)-U25/m*SIN(M25))</f>
        <v>16.1976733252628</v>
      </c>
      <c r="E26" s="419" t="n">
        <f aca="false">IF(AND(L25&lt;L_rampe,Poussee&lt;Poids*SIN(M25)),0,(-W25+Poussee)/m*SIN(M25)+U25/m*COS(M25)-Poids/m)</f>
        <v>91.8666451316292</v>
      </c>
      <c r="F26" s="417" t="n">
        <f aca="false">SQRT(acc_x^2+acc_z^2)</f>
        <v>93.2836808283883</v>
      </c>
      <c r="G26" s="418" t="n">
        <f aca="false">G25+acc_x*pas</f>
        <v>3.18032323535875</v>
      </c>
      <c r="H26" s="419" t="n">
        <f aca="false">H25+acc_z*pas</f>
        <v>18.0375161471747</v>
      </c>
      <c r="I26" s="417" t="n">
        <f aca="false">SQRT(vit_x^2+vit_z^2)</f>
        <v>18.3157430818668</v>
      </c>
      <c r="J26" s="418" t="n">
        <f aca="false">J25+0.5*(vit_x+G25)*pas*(K25&gt;=0)</f>
        <v>0.309607768267376</v>
      </c>
      <c r="K26" s="419" t="n">
        <f aca="false">K25+0.5*(vit_z+H25)*pas</f>
        <v>1.75597222183222</v>
      </c>
      <c r="L26" s="417" t="n">
        <f aca="false">SQRT(pos_x^2+pos_z^2)</f>
        <v>1.783057882969</v>
      </c>
      <c r="M26" s="418" t="n">
        <f aca="false">IF(AND(L25&gt;L_rampe,G26&gt;0),ATAN2(G26,H26),$M$4)</f>
        <v>1.39626340159546</v>
      </c>
      <c r="N26" s="417" t="n">
        <f aca="false">DEGREES(Beta)</f>
        <v>79.9999999999998</v>
      </c>
      <c r="O26" s="401"/>
      <c r="P26" s="420" t="n">
        <f aca="false">MATCH(t-pas/2-T_ini,CdP_t)</f>
        <v>2</v>
      </c>
      <c r="Q26" s="417" t="n">
        <f aca="false">(INDEX(CdP,2,i_P+1)-INDEX(CdP,2,i_P+0))/(INDEX(CdP,1,i_P+1)-INDEX(CdP,1,i_P+0))*(t-pas/2-T_ini-INDEX(CdP,1,i_P+0))+INDEX(CdP,2,i_P+0)</f>
        <v>858.166666666667</v>
      </c>
      <c r="R26" s="418" t="n">
        <f aca="false">Poussee/(g*ISP)</f>
        <v>0.430673866538411</v>
      </c>
      <c r="S26" s="419" t="n">
        <f aca="false">S25-Débit*pas</f>
        <v>8.32514068845197</v>
      </c>
      <c r="T26" s="417" t="n">
        <f aca="false">m*g</f>
        <v>81.6696301537139</v>
      </c>
      <c r="U26" s="421" t="n">
        <f aca="false">IF(pos_xz&lt;L_rampe,Poids*COS(Beta),0)</f>
        <v>14.1817824469249</v>
      </c>
      <c r="V26" s="418" t="n">
        <f aca="false">Rho_moyen*(20000-Alt_rampe-pos_z)/(20000+Alt_rampe+pos_z)</f>
        <v>1.22478491228723</v>
      </c>
      <c r="W26" s="417" t="n">
        <f aca="false">1/2*Rho*Sref*Cx*vit_xz^2</f>
        <v>1.2634109188627</v>
      </c>
      <c r="X26" s="401"/>
      <c r="Y26" s="422" t="str">
        <f aca="false">IF(AND(pos_z&lt;=0,K25&gt;0),"Impact balistique","") &amp; IF(AND(H27&lt;0,vit_z&gt;=0),"Apogée","") &amp; IF(AND(Poussee=0,Q25&gt;0),"Fin de propulsion","") &amp; IF(AND(L27&gt;L_rampe,pos_xz&lt;=L_rampe),"Sortie de rampe","")</f>
        <v/>
      </c>
      <c r="Z26" s="423" t="str">
        <f aca="false">IF(ABS(t-T_para)&lt;pas/2,"Para","")</f>
        <v/>
      </c>
      <c r="AA26" s="424" t="str">
        <f aca="false">IF(ABS(t-T_satellite)&lt;pas/2,"Satellite","")</f>
        <v/>
      </c>
      <c r="AB26" s="412"/>
      <c r="AC26" s="420" t="e">
        <f aca="false">IF(ABS(t-ROUND(t,0))&lt;0.001,t,NA())</f>
        <v>#N/A</v>
      </c>
      <c r="AD26" s="425" t="e">
        <f aca="false">IF(ABS(t-ROUND(t,0))&lt;0.001,pos_x,NA())</f>
        <v>#N/A</v>
      </c>
      <c r="AE26" s="426" t="n">
        <f aca="false">IF(t&lt;T_para, pos_z, NA())</f>
        <v>1.75597222183222</v>
      </c>
      <c r="AF26" s="412"/>
      <c r="AG26" s="418" t="n">
        <f aca="false">IF(AND(L25&lt;L_rampe,Poussee&lt;Poids*SIN(M25)),0,(-W25+Poussee)/m-Poids*SIN(M25)/m)</f>
        <v>93.2836808242257</v>
      </c>
      <c r="AH26" s="417" t="n">
        <f aca="false">IF(AND(L25&lt;L_rampe,Poussee&lt;Poids*SIN(M25)), g*SIN(M25), (-W25+Poussee)/m)</f>
        <v>102.944644881276</v>
      </c>
    </row>
    <row r="27" customFormat="false" ht="12" hidden="false" customHeight="false" outlineLevel="0" collapsed="false">
      <c r="A27" s="416" t="n">
        <f aca="false">IF(B26+0.01&lt;=T_ini+ROUNDUP(Temps_fin_propu,0), 0.01, IF(K26&gt;0, 0.1, 0.0001))</f>
        <v>0.01</v>
      </c>
      <c r="B27" s="417" t="n">
        <f aca="false">B26+pas</f>
        <v>0.23</v>
      </c>
      <c r="C27" s="401"/>
      <c r="D27" s="418" t="n">
        <f aca="false">IF(AND(L26&lt;L_rampe,Poussee&lt;Poids*SIN(M26)),0,(-W26+Poussee)/m*COS(M26)-U26/m*SIN(M26))</f>
        <v>16.1602308727519</v>
      </c>
      <c r="E27" s="419" t="n">
        <f aca="false">IF(AND(L26&lt;L_rampe,Poussee&lt;Poids*SIN(M26)),0,(-W26+Poussee)/m*SIN(M26)+U26/m*COS(M26)-Poids/m)</f>
        <v>91.6542885608598</v>
      </c>
      <c r="F27" s="417" t="n">
        <f aca="false">SQRT(acc_x^2+acc_z^2)</f>
        <v>93.0680486174391</v>
      </c>
      <c r="G27" s="418" t="n">
        <f aca="false">G26+acc_x*pas</f>
        <v>3.34192554408627</v>
      </c>
      <c r="H27" s="419" t="n">
        <f aca="false">H26+acc_z*pas</f>
        <v>18.9540590327833</v>
      </c>
      <c r="I27" s="417" t="n">
        <f aca="false">SQRT(vit_x^2+vit_z^2)</f>
        <v>19.2464235680412</v>
      </c>
      <c r="J27" s="418" t="n">
        <f aca="false">J26+0.5*(vit_x+G26)*pas*(K26&gt;=0)</f>
        <v>0.342219012164602</v>
      </c>
      <c r="K27" s="419" t="n">
        <f aca="false">K26+0.5*(vit_z+H26)*pas</f>
        <v>1.94093009773201</v>
      </c>
      <c r="L27" s="417" t="n">
        <f aca="false">SQRT(pos_x^2+pos_z^2)</f>
        <v>1.97086871621854</v>
      </c>
      <c r="M27" s="418" t="n">
        <f aca="false">IF(AND(L26&gt;L_rampe,G27&gt;0),ATAN2(G27,H27),$M$4)</f>
        <v>1.39626340159546</v>
      </c>
      <c r="N27" s="417" t="n">
        <f aca="false">DEGREES(Beta)</f>
        <v>79.9999999999998</v>
      </c>
      <c r="O27" s="401"/>
      <c r="P27" s="420" t="n">
        <f aca="false">MATCH(t-pas/2-T_ini,CdP_t)</f>
        <v>2</v>
      </c>
      <c r="Q27" s="417" t="n">
        <f aca="false">(INDEX(CdP,2,i_P+1)-INDEX(CdP,2,i_P+0))/(INDEX(CdP,1,i_P+1)-INDEX(CdP,1,i_P+0))*(t-pas/2-T_ini-INDEX(CdP,1,i_P+0))+INDEX(CdP,2,i_P+0)</f>
        <v>856.055555555556</v>
      </c>
      <c r="R27" s="418" t="n">
        <f aca="false">Poussee/(g*ISP)</f>
        <v>0.429614398232043</v>
      </c>
      <c r="S27" s="419" t="n">
        <f aca="false">S26-Débit*pas</f>
        <v>8.32084454446965</v>
      </c>
      <c r="T27" s="417" t="n">
        <f aca="false">m*g</f>
        <v>81.6274849812473</v>
      </c>
      <c r="U27" s="421" t="n">
        <f aca="false">IF(pos_xz&lt;L_rampe,Poids*COS(Beta),0)</f>
        <v>14.1744640145286</v>
      </c>
      <c r="V27" s="418" t="n">
        <f aca="false">Rho_moyen*(20000-Alt_rampe-pos_z)/(20000+Alt_rampe+pos_z)</f>
        <v>1.22476225913495</v>
      </c>
      <c r="W27" s="417" t="n">
        <f aca="false">1/2*Rho*Sref*Cx*vit_xz^2</f>
        <v>1.39504297362328</v>
      </c>
      <c r="X27" s="401"/>
      <c r="Y27" s="422" t="str">
        <f aca="false">IF(AND(pos_z&lt;=0,K26&gt;0),"Impact balistique","") &amp; IF(AND(H28&lt;0,vit_z&gt;=0),"Apogée","") &amp; IF(AND(Poussee=0,Q26&gt;0),"Fin de propulsion","") &amp; IF(AND(L28&gt;L_rampe,pos_xz&lt;=L_rampe),"Sortie de rampe","")</f>
        <v/>
      </c>
      <c r="Z27" s="423" t="str">
        <f aca="false">IF(ABS(t-T_para)&lt;pas/2,"Para","")</f>
        <v/>
      </c>
      <c r="AA27" s="424" t="str">
        <f aca="false">IF(ABS(t-T_satellite)&lt;pas/2,"Satellite","")</f>
        <v/>
      </c>
      <c r="AB27" s="412"/>
      <c r="AC27" s="420" t="e">
        <f aca="false">IF(ABS(t-ROUND(t,0))&lt;0.001,t,NA())</f>
        <v>#N/A</v>
      </c>
      <c r="AD27" s="425" t="e">
        <f aca="false">IF(ABS(t-ROUND(t,0))&lt;0.001,pos_x,NA())</f>
        <v>#N/A</v>
      </c>
      <c r="AE27" s="426" t="n">
        <f aca="false">IF(t&lt;T_para, pos_z, NA())</f>
        <v>1.94093009773201</v>
      </c>
      <c r="AF27" s="412"/>
      <c r="AG27" s="418" t="n">
        <f aca="false">IF(AND(L26&lt;L_rampe,Poussee&lt;Poids*SIN(M26)),0,(-W26+Poussee)/m-Poids*SIN(M26)/m)</f>
        <v>93.0680486132831</v>
      </c>
      <c r="AH27" s="417" t="n">
        <f aca="false">IF(AND(L26&lt;L_rampe,Poussee&lt;Poids*SIN(M26)), g*SIN(M26), (-W26+Poussee)/m)</f>
        <v>102.729012670333</v>
      </c>
    </row>
    <row r="28" customFormat="false" ht="12" hidden="false" customHeight="false" outlineLevel="0" collapsed="false">
      <c r="A28" s="416" t="n">
        <f aca="false">IF(B27+0.01&lt;=T_ini+ROUNDUP(Temps_fin_propu,0), 0.01, IF(K27&gt;0, 0.1, 0.0001))</f>
        <v>0.01</v>
      </c>
      <c r="B28" s="417" t="n">
        <f aca="false">B27+pas</f>
        <v>0.24</v>
      </c>
      <c r="C28" s="401"/>
      <c r="D28" s="418" t="n">
        <f aca="false">IF(AND(L27&lt;L_rampe,Poussee&lt;Poids*SIN(M27)),0,(-W27+Poussee)/m*COS(M27)-U27/m*SIN(M27))</f>
        <v>16.1225968526176</v>
      </c>
      <c r="E28" s="419" t="n">
        <f aca="false">IF(AND(L27&lt;L_rampe,Poussee&lt;Poids*SIN(M27)),0,(-W27+Poussee)/m*SIN(M27)+U27/m*COS(M27)-Poids/m)</f>
        <v>91.4408455394727</v>
      </c>
      <c r="F28" s="417" t="n">
        <f aca="false">SQRT(acc_x^2+acc_z^2)</f>
        <v>92.8513131961296</v>
      </c>
      <c r="G28" s="418" t="n">
        <f aca="false">G27+acc_x*pas</f>
        <v>3.50315151261244</v>
      </c>
      <c r="H28" s="419" t="n">
        <f aca="false">H27+acc_z*pas</f>
        <v>19.868467488178</v>
      </c>
      <c r="I28" s="417" t="n">
        <f aca="false">SQRT(vit_x^2+vit_z^2)</f>
        <v>20.1749367000025</v>
      </c>
      <c r="J28" s="418" t="n">
        <f aca="false">J27+0.5*(vit_x+G27)*pas*(K27&gt;=0)</f>
        <v>0.376444397448095</v>
      </c>
      <c r="K28" s="419" t="n">
        <f aca="false">K27+0.5*(vit_z+H27)*pas</f>
        <v>2.13504273033682</v>
      </c>
      <c r="L28" s="417" t="n">
        <f aca="false">SQRT(pos_x^2+pos_z^2)</f>
        <v>2.16797551755876</v>
      </c>
      <c r="M28" s="418" t="n">
        <f aca="false">IF(AND(L27&gt;L_rampe,G28&gt;0),ATAN2(G28,H28),$M$4)</f>
        <v>1.39626340159546</v>
      </c>
      <c r="N28" s="417" t="n">
        <f aca="false">DEGREES(Beta)</f>
        <v>79.9999999999998</v>
      </c>
      <c r="O28" s="401"/>
      <c r="P28" s="420" t="n">
        <f aca="false">MATCH(t-pas/2-T_ini,CdP_t)</f>
        <v>2</v>
      </c>
      <c r="Q28" s="417" t="n">
        <f aca="false">(INDEX(CdP,2,i_P+1)-INDEX(CdP,2,i_P+0))/(INDEX(CdP,1,i_P+1)-INDEX(CdP,1,i_P+0))*(t-pas/2-T_ini-INDEX(CdP,1,i_P+0))+INDEX(CdP,2,i_P+0)</f>
        <v>853.944444444445</v>
      </c>
      <c r="R28" s="418" t="n">
        <f aca="false">Poussee/(g*ISP)</f>
        <v>0.428554929925675</v>
      </c>
      <c r="S28" s="419" t="n">
        <f aca="false">S27-Débit*pas</f>
        <v>8.3165589951704</v>
      </c>
      <c r="T28" s="417" t="n">
        <f aca="false">m*g</f>
        <v>81.5854437426216</v>
      </c>
      <c r="U28" s="421" t="n">
        <f aca="false">IF(pos_xz&lt;L_rampe,Poids*COS(Beta),0)</f>
        <v>14.1671636300544</v>
      </c>
      <c r="V28" s="418" t="n">
        <f aca="false">Rho_moyen*(20000-Alt_rampe-pos_z)/(20000+Alt_rampe+pos_z)</f>
        <v>1.2247384851828</v>
      </c>
      <c r="W28" s="417" t="n">
        <f aca="false">1/2*Rho*Sref*Cx*vit_xz^2</f>
        <v>1.53286334331176</v>
      </c>
      <c r="X28" s="401"/>
      <c r="Y28" s="422" t="str">
        <f aca="false">IF(AND(pos_z&lt;=0,K27&gt;0),"Impact balistique","") &amp; IF(AND(H29&lt;0,vit_z&gt;=0),"Apogée","") &amp; IF(AND(Poussee=0,Q27&gt;0),"Fin de propulsion","") &amp; IF(AND(L29&gt;L_rampe,pos_xz&lt;=L_rampe),"Sortie de rampe","")</f>
        <v/>
      </c>
      <c r="Z28" s="423" t="str">
        <f aca="false">IF(ABS(t-T_para)&lt;pas/2,"Para","")</f>
        <v/>
      </c>
      <c r="AA28" s="424" t="str">
        <f aca="false">IF(ABS(t-T_satellite)&lt;pas/2,"Satellite","")</f>
        <v/>
      </c>
      <c r="AB28" s="412"/>
      <c r="AC28" s="420" t="e">
        <f aca="false">IF(ABS(t-ROUND(t,0))&lt;0.001,t,NA())</f>
        <v>#N/A</v>
      </c>
      <c r="AD28" s="425" t="e">
        <f aca="false">IF(ABS(t-ROUND(t,0))&lt;0.001,pos_x,NA())</f>
        <v>#N/A</v>
      </c>
      <c r="AE28" s="426" t="n">
        <f aca="false">IF(t&lt;T_para, pos_z, NA())</f>
        <v>2.13504273033682</v>
      </c>
      <c r="AF28" s="412"/>
      <c r="AG28" s="418" t="n">
        <f aca="false">IF(AND(L27&lt;L_rampe,Poussee&lt;Poids*SIN(M27)),0,(-W27+Poussee)/m-Poids*SIN(M27)/m)</f>
        <v>92.8513131919802</v>
      </c>
      <c r="AH28" s="417" t="n">
        <f aca="false">IF(AND(L27&lt;L_rampe,Poussee&lt;Poids*SIN(M27)), g*SIN(M27), (-W27+Poussee)/m)</f>
        <v>102.51227724903</v>
      </c>
    </row>
    <row r="29" customFormat="false" ht="12" hidden="false" customHeight="false" outlineLevel="0" collapsed="false">
      <c r="A29" s="416" t="n">
        <f aca="false">IF(B28+0.01&lt;=T_ini+ROUNDUP(Temps_fin_propu,0), 0.01, IF(K28&gt;0, 0.1, 0.0001))</f>
        <v>0.01</v>
      </c>
      <c r="B29" s="417" t="n">
        <f aca="false">B28+pas</f>
        <v>0.25</v>
      </c>
      <c r="C29" s="401"/>
      <c r="D29" s="418" t="n">
        <f aca="false">IF(AND(L28&lt;L_rampe,Poussee&lt;Poids*SIN(M28)),0,(-W28+Poussee)/m*COS(M28)-U28/m*SIN(M28))</f>
        <v>16.0847721095345</v>
      </c>
      <c r="E29" s="419" t="n">
        <f aca="false">IF(AND(L28&lt;L_rampe,Poussee&lt;Poids*SIN(M28)),0,(-W28+Poussee)/m*SIN(M28)+U28/m*COS(M28)-Poids/m)</f>
        <v>91.2263208578675</v>
      </c>
      <c r="F29" s="417" t="n">
        <f aca="false">SQRT(acc_x^2+acc_z^2)</f>
        <v>92.6334794287586</v>
      </c>
      <c r="G29" s="418" t="n">
        <f aca="false">G28+acc_x*pas</f>
        <v>3.66399923370779</v>
      </c>
      <c r="H29" s="419" t="n">
        <f aca="false">H28+acc_z*pas</f>
        <v>20.7807306967567</v>
      </c>
      <c r="I29" s="417" t="n">
        <f aca="false">SQRT(vit_x^2+vit_z^2)</f>
        <v>21.10127149429</v>
      </c>
      <c r="J29" s="418" t="n">
        <f aca="false">J28+0.5*(vit_x+G28)*pas*(K28&gt;=0)</f>
        <v>0.412280151179696</v>
      </c>
      <c r="K29" s="419" t="n">
        <f aca="false">K28+0.5*(vit_z+H28)*pas</f>
        <v>2.33828872126149</v>
      </c>
      <c r="L29" s="417" t="n">
        <f aca="false">SQRT(pos_x^2+pos_z^2)</f>
        <v>2.37435655853022</v>
      </c>
      <c r="M29" s="418" t="n">
        <f aca="false">IF(AND(L28&gt;L_rampe,G29&gt;0),ATAN2(G29,H29),$M$4)</f>
        <v>1.39626340159546</v>
      </c>
      <c r="N29" s="417" t="n">
        <f aca="false">DEGREES(Beta)</f>
        <v>79.9999999999998</v>
      </c>
      <c r="O29" s="401"/>
      <c r="P29" s="420" t="n">
        <f aca="false">MATCH(t-pas/2-T_ini,CdP_t)</f>
        <v>2</v>
      </c>
      <c r="Q29" s="417" t="n">
        <f aca="false">(INDEX(CdP,2,i_P+1)-INDEX(CdP,2,i_P+0))/(INDEX(CdP,1,i_P+1)-INDEX(CdP,1,i_P+0))*(t-pas/2-T_ini-INDEX(CdP,1,i_P+0))+INDEX(CdP,2,i_P+0)</f>
        <v>851.833333333333</v>
      </c>
      <c r="R29" s="418" t="n">
        <f aca="false">Poussee/(g*ISP)</f>
        <v>0.427495461619308</v>
      </c>
      <c r="S29" s="419" t="n">
        <f aca="false">S28-Débit*pas</f>
        <v>8.3122840405542</v>
      </c>
      <c r="T29" s="417" t="n">
        <f aca="false">m*g</f>
        <v>81.5435064378367</v>
      </c>
      <c r="U29" s="421" t="n">
        <f aca="false">IF(pos_xz&lt;L_rampe,Poids*COS(Beta),0)</f>
        <v>14.1598812935022</v>
      </c>
      <c r="V29" s="418" t="n">
        <f aca="false">Rho_moyen*(20000-Alt_rampe-pos_z)/(20000+Alt_rampe+pos_z)</f>
        <v>1.22471359311674</v>
      </c>
      <c r="W29" s="417" t="n">
        <f aca="false">1/2*Rho*Sref*Cx*vit_xz^2</f>
        <v>1.67682407529049</v>
      </c>
      <c r="X29" s="401"/>
      <c r="Y29" s="422" t="str">
        <f aca="false">IF(AND(pos_z&lt;=0,K28&gt;0),"Impact balistique","") &amp; IF(AND(H30&lt;0,vit_z&gt;=0),"Apogée","") &amp; IF(AND(Poussee=0,Q28&gt;0),"Fin de propulsion","") &amp; IF(AND(L30&gt;L_rampe,pos_xz&lt;=L_rampe),"Sortie de rampe","")</f>
        <v/>
      </c>
      <c r="Z29" s="423" t="str">
        <f aca="false">IF(ABS(t-T_para)&lt;pas/2,"Para","")</f>
        <v/>
      </c>
      <c r="AA29" s="424" t="str">
        <f aca="false">IF(ABS(t-T_satellite)&lt;pas/2,"Satellite","")</f>
        <v/>
      </c>
      <c r="AB29" s="412"/>
      <c r="AC29" s="420" t="e">
        <f aca="false">IF(ABS(t-ROUND(t,0))&lt;0.001,t,NA())</f>
        <v>#N/A</v>
      </c>
      <c r="AD29" s="425" t="e">
        <f aca="false">IF(ABS(t-ROUND(t,0))&lt;0.001,pos_x,NA())</f>
        <v>#N/A</v>
      </c>
      <c r="AE29" s="426" t="n">
        <f aca="false">IF(t&lt;T_para, pos_z, NA())</f>
        <v>2.33828872126149</v>
      </c>
      <c r="AF29" s="412"/>
      <c r="AG29" s="418" t="n">
        <f aca="false">IF(AND(L28&lt;L_rampe,Poussee&lt;Poids*SIN(M28)),0,(-W28+Poussee)/m-Poids*SIN(M28)/m)</f>
        <v>92.6334794246157</v>
      </c>
      <c r="AH29" s="417" t="n">
        <f aca="false">IF(AND(L28&lt;L_rampe,Poussee&lt;Poids*SIN(M28)), g*SIN(M28), (-W28+Poussee)/m)</f>
        <v>102.294443481665</v>
      </c>
    </row>
    <row r="30" customFormat="false" ht="12" hidden="false" customHeight="false" outlineLevel="0" collapsed="false">
      <c r="A30" s="416" t="n">
        <f aca="false">IF(B29+0.01&lt;=T_ini+ROUNDUP(Temps_fin_propu,0), 0.01, IF(K29&gt;0, 0.1, 0.0001))</f>
        <v>0.01</v>
      </c>
      <c r="B30" s="417" t="n">
        <f aca="false">B29+pas</f>
        <v>0.26</v>
      </c>
      <c r="C30" s="401"/>
      <c r="D30" s="418" t="n">
        <f aca="false">IF(AND(L29&lt;L_rampe,Poussee&lt;Poids*SIN(M29)),0,(-W29+Poussee)/m*COS(M29)-U29/m*SIN(M29))</f>
        <v>16.0467574960661</v>
      </c>
      <c r="E30" s="419" t="n">
        <f aca="false">IF(AND(L29&lt;L_rampe,Poussee&lt;Poids*SIN(M29)),0,(-W29+Poussee)/m*SIN(M29)+U29/m*COS(M29)-Poids/m)</f>
        <v>91.0107193511851</v>
      </c>
      <c r="F30" s="417" t="n">
        <f aca="false">SQRT(acc_x^2+acc_z^2)</f>
        <v>92.4145522250567</v>
      </c>
      <c r="G30" s="418" t="n">
        <f aca="false">G29+acc_x*pas</f>
        <v>3.82446680866845</v>
      </c>
      <c r="H30" s="419" t="n">
        <f aca="false">H29+acc_z*pas</f>
        <v>21.6908378902686</v>
      </c>
      <c r="I30" s="417" t="n">
        <f aca="false">SQRT(vit_x^2+vit_z^2)</f>
        <v>22.0254170165406</v>
      </c>
      <c r="J30" s="418" t="n">
        <f aca="false">J29+0.5*(vit_x+G29)*pas*(K29&gt;=0)</f>
        <v>0.449722481391577</v>
      </c>
      <c r="K30" s="419" t="n">
        <f aca="false">K29+0.5*(vit_z+H29)*pas</f>
        <v>2.55064656419662</v>
      </c>
      <c r="L30" s="417" t="n">
        <f aca="false">SQRT(pos_x^2+pos_z^2)</f>
        <v>2.58999000108437</v>
      </c>
      <c r="M30" s="418" t="n">
        <f aca="false">IF(AND(L29&gt;L_rampe,G30&gt;0),ATAN2(G30,H30),$M$4)</f>
        <v>1.39626340159546</v>
      </c>
      <c r="N30" s="417" t="n">
        <f aca="false">DEGREES(Beta)</f>
        <v>79.9999999999998</v>
      </c>
      <c r="O30" s="401"/>
      <c r="P30" s="420" t="n">
        <f aca="false">MATCH(t-pas/2-T_ini,CdP_t)</f>
        <v>2</v>
      </c>
      <c r="Q30" s="417" t="n">
        <f aca="false">(INDEX(CdP,2,i_P+1)-INDEX(CdP,2,i_P+0))/(INDEX(CdP,1,i_P+1)-INDEX(CdP,1,i_P+0))*(t-pas/2-T_ini-INDEX(CdP,1,i_P+0))+INDEX(CdP,2,i_P+0)</f>
        <v>849.722222222222</v>
      </c>
      <c r="R30" s="418" t="n">
        <f aca="false">Poussee/(g*ISP)</f>
        <v>0.42643599331294</v>
      </c>
      <c r="S30" s="419" t="n">
        <f aca="false">S29-Débit*pas</f>
        <v>8.30801968062107</v>
      </c>
      <c r="T30" s="417" t="n">
        <f aca="false">m*g</f>
        <v>81.5016730668927</v>
      </c>
      <c r="U30" s="421" t="n">
        <f aca="false">IF(pos_xz&lt;L_rampe,Poids*COS(Beta),0)</f>
        <v>14.1526170048722</v>
      </c>
      <c r="V30" s="418" t="n">
        <f aca="false">Rho_moyen*(20000-Alt_rampe-pos_z)/(20000+Alt_rampe+pos_z)</f>
        <v>1.22468758563882</v>
      </c>
      <c r="W30" s="417" t="n">
        <f aca="false">1/2*Rho*Sref*Cx*vit_xz^2</f>
        <v>1.82687699674358</v>
      </c>
      <c r="X30" s="401"/>
      <c r="Y30" s="422" t="str">
        <f aca="false">IF(AND(pos_z&lt;=0,K29&gt;0),"Impact balistique","") &amp; IF(AND(H31&lt;0,vit_z&gt;=0),"Apogée","") &amp; IF(AND(Poussee=0,Q29&gt;0),"Fin de propulsion","") &amp; IF(AND(L31&gt;L_rampe,pos_xz&lt;=L_rampe),"Sortie de rampe","")</f>
        <v/>
      </c>
      <c r="Z30" s="423" t="str">
        <f aca="false">IF(ABS(t-T_para)&lt;pas/2,"Para","")</f>
        <v/>
      </c>
      <c r="AA30" s="424" t="str">
        <f aca="false">IF(ABS(t-T_satellite)&lt;pas/2,"Satellite","")</f>
        <v/>
      </c>
      <c r="AB30" s="412"/>
      <c r="AC30" s="420" t="e">
        <f aca="false">IF(ABS(t-ROUND(t,0))&lt;0.001,t,NA())</f>
        <v>#N/A</v>
      </c>
      <c r="AD30" s="425" t="e">
        <f aca="false">IF(ABS(t-ROUND(t,0))&lt;0.001,pos_x,NA())</f>
        <v>#N/A</v>
      </c>
      <c r="AE30" s="426" t="n">
        <f aca="false">IF(t&lt;T_para, pos_z, NA())</f>
        <v>2.55064656419662</v>
      </c>
      <c r="AF30" s="412"/>
      <c r="AG30" s="418" t="n">
        <f aca="false">IF(AND(L29&lt;L_rampe,Poussee&lt;Poids*SIN(M29)),0,(-W29+Poussee)/m-Poids*SIN(M29)/m)</f>
        <v>92.4145522209203</v>
      </c>
      <c r="AH30" s="417" t="n">
        <f aca="false">IF(AND(L29&lt;L_rampe,Poussee&lt;Poids*SIN(M29)), g*SIN(M29), (-W29+Poussee)/m)</f>
        <v>102.07551627797</v>
      </c>
    </row>
    <row r="31" customFormat="false" ht="12" hidden="false" customHeight="false" outlineLevel="0" collapsed="false">
      <c r="A31" s="416" t="n">
        <f aca="false">IF(B30+0.01&lt;=T_ini+ROUNDUP(Temps_fin_propu,0), 0.01, IF(K30&gt;0, 0.1, 0.0001))</f>
        <v>0.01</v>
      </c>
      <c r="B31" s="417" t="n">
        <f aca="false">B30+pas</f>
        <v>0.27</v>
      </c>
      <c r="C31" s="401"/>
      <c r="D31" s="418" t="n">
        <f aca="false">IF(AND(L30&lt;L_rampe,Poussee&lt;Poids*SIN(M30)),0,(-W30+Poussee)/m*COS(M30)-U30/m*SIN(M30))</f>
        <v>16.0085538725875</v>
      </c>
      <c r="E31" s="419" t="n">
        <f aca="false">IF(AND(L30&lt;L_rampe,Poussee&lt;Poids*SIN(M30)),0,(-W30+Poussee)/m*SIN(M30)+U30/m*COS(M30)-Poids/m)</f>
        <v>90.7940458988674</v>
      </c>
      <c r="F31" s="417" t="n">
        <f aca="false">SQRT(acc_x^2+acc_z^2)</f>
        <v>92.1945365397385</v>
      </c>
      <c r="G31" s="418" t="n">
        <f aca="false">G30+acc_x*pas</f>
        <v>3.98455234739432</v>
      </c>
      <c r="H31" s="419" t="n">
        <f aca="false">H30+acc_z*pas</f>
        <v>22.5987783492572</v>
      </c>
      <c r="I31" s="417" t="n">
        <f aca="false">SQRT(vit_x^2+vit_z^2)</f>
        <v>22.947362381938</v>
      </c>
      <c r="J31" s="418" t="n">
        <f aca="false">J30+0.5*(vit_x+G30)*pas*(K30&gt;=0)</f>
        <v>0.488767577171891</v>
      </c>
      <c r="K31" s="419" t="n">
        <f aca="false">K30+0.5*(vit_z+H30)*pas</f>
        <v>2.77209464539425</v>
      </c>
      <c r="L31" s="417" t="n">
        <f aca="false">SQRT(pos_x^2+pos_z^2)</f>
        <v>2.81485389807676</v>
      </c>
      <c r="M31" s="418" t="n">
        <f aca="false">IF(AND(L30&gt;L_rampe,G31&gt;0),ATAN2(G31,H31),$M$4)</f>
        <v>1.39626340159546</v>
      </c>
      <c r="N31" s="417" t="n">
        <f aca="false">DEGREES(Beta)</f>
        <v>79.9999999999998</v>
      </c>
      <c r="O31" s="401"/>
      <c r="P31" s="420" t="n">
        <f aca="false">MATCH(t-pas/2-T_ini,CdP_t)</f>
        <v>2</v>
      </c>
      <c r="Q31" s="417" t="n">
        <f aca="false">(INDEX(CdP,2,i_P+1)-INDEX(CdP,2,i_P+0))/(INDEX(CdP,1,i_P+1)-INDEX(CdP,1,i_P+0))*(t-pas/2-T_ini-INDEX(CdP,1,i_P+0))+INDEX(CdP,2,i_P+0)</f>
        <v>847.611111111111</v>
      </c>
      <c r="R31" s="418" t="n">
        <f aca="false">Poussee/(g*ISP)</f>
        <v>0.425376525006573</v>
      </c>
      <c r="S31" s="419" t="n">
        <f aca="false">S30-Débit*pas</f>
        <v>8.30376591537101</v>
      </c>
      <c r="T31" s="417" t="n">
        <f aca="false">m*g</f>
        <v>81.4599436297896</v>
      </c>
      <c r="U31" s="421" t="n">
        <f aca="false">IF(pos_xz&lt;L_rampe,Poids*COS(Beta),0)</f>
        <v>14.1453707641641</v>
      </c>
      <c r="V31" s="418" t="n">
        <f aca="false">Rho_moyen*(20000-Alt_rampe-pos_z)/(20000+Alt_rampe+pos_z)</f>
        <v>1.22466046546703</v>
      </c>
      <c r="W31" s="417" t="n">
        <f aca="false">1/2*Rho*Sref*Cx*vit_xz^2</f>
        <v>1.98297371886187</v>
      </c>
      <c r="X31" s="401"/>
      <c r="Y31" s="422" t="str">
        <f aca="false">IF(AND(pos_z&lt;=0,K30&gt;0),"Impact balistique","") &amp; IF(AND(H32&lt;0,vit_z&gt;=0),"Apogée","") &amp; IF(AND(Poussee=0,Q30&gt;0),"Fin de propulsion","") &amp; IF(AND(L32&gt;L_rampe,pos_xz&lt;=L_rampe),"Sortie de rampe","")</f>
        <v/>
      </c>
      <c r="Z31" s="423" t="str">
        <f aca="false">IF(ABS(t-T_para)&lt;pas/2,"Para","")</f>
        <v/>
      </c>
      <c r="AA31" s="424" t="str">
        <f aca="false">IF(ABS(t-T_satellite)&lt;pas/2,"Satellite","")</f>
        <v/>
      </c>
      <c r="AB31" s="412"/>
      <c r="AC31" s="420" t="e">
        <f aca="false">IF(ABS(t-ROUND(t,0))&lt;0.001,t,NA())</f>
        <v>#N/A</v>
      </c>
      <c r="AD31" s="425" t="e">
        <f aca="false">IF(ABS(t-ROUND(t,0))&lt;0.001,pos_x,NA())</f>
        <v>#N/A</v>
      </c>
      <c r="AE31" s="426" t="n">
        <f aca="false">IF(t&lt;T_para, pos_z, NA())</f>
        <v>2.77209464539425</v>
      </c>
      <c r="AF31" s="412"/>
      <c r="AG31" s="418" t="n">
        <f aca="false">IF(AND(L30&lt;L_rampe,Poussee&lt;Poids*SIN(M30)),0,(-W30+Poussee)/m-Poids*SIN(M30)/m)</f>
        <v>92.1945365356086</v>
      </c>
      <c r="AH31" s="417" t="n">
        <f aca="false">IF(AND(L30&lt;L_rampe,Poussee&lt;Poids*SIN(M30)), g*SIN(M30), (-W30+Poussee)/m)</f>
        <v>101.855500592658</v>
      </c>
    </row>
    <row r="32" customFormat="false" ht="12" hidden="false" customHeight="false" outlineLevel="0" collapsed="false">
      <c r="A32" s="416" t="n">
        <f aca="false">IF(B31+0.01&lt;=T_ini+ROUNDUP(Temps_fin_propu,0), 0.01, IF(K31&gt;0, 0.1, 0.0001))</f>
        <v>0.01</v>
      </c>
      <c r="B32" s="417" t="n">
        <f aca="false">B31+pas</f>
        <v>0.28</v>
      </c>
      <c r="C32" s="401"/>
      <c r="D32" s="418" t="n">
        <f aca="false">IF(AND(L31&lt;L_rampe,Poussee&lt;Poids*SIN(M31)),0,(-W31+Poussee)/m*COS(M31)-U31/m*SIN(M31))</f>
        <v>15.9701621072068</v>
      </c>
      <c r="E32" s="419" t="n">
        <f aca="false">IF(AND(L31&lt;L_rampe,Poussee&lt;Poids*SIN(M31)),0,(-W31+Poussee)/m*SIN(M31)+U31/m*COS(M31)-Poids/m)</f>
        <v>90.5763054242118</v>
      </c>
      <c r="F32" s="417" t="n">
        <f aca="false">SQRT(acc_x^2+acc_z^2)</f>
        <v>91.9734373720508</v>
      </c>
      <c r="G32" s="418" t="n">
        <f aca="false">G31+acc_x*pas</f>
        <v>4.14425396846639</v>
      </c>
      <c r="H32" s="419" t="n">
        <f aca="false">H31+acc_z*pas</f>
        <v>23.5045414034994</v>
      </c>
      <c r="I32" s="417" t="n">
        <f aca="false">SQRT(vit_x^2+vit_z^2)</f>
        <v>23.8670967556585</v>
      </c>
      <c r="J32" s="418" t="n">
        <f aca="false">J31+0.5*(vit_x+G31)*pas*(K31&gt;=0)</f>
        <v>0.529411608751195</v>
      </c>
      <c r="K32" s="419" t="n">
        <f aca="false">K31+0.5*(vit_z+H31)*pas</f>
        <v>3.00261124415803</v>
      </c>
      <c r="L32" s="417" t="n">
        <f aca="false">SQRT(pos_x^2+pos_z^2)</f>
        <v>3.04892619376474</v>
      </c>
      <c r="M32" s="418" t="n">
        <f aca="false">IF(AND(L31&gt;L_rampe,G32&gt;0),ATAN2(G32,H32),$M$4)</f>
        <v>1.39626340159546</v>
      </c>
      <c r="N32" s="417" t="n">
        <f aca="false">DEGREES(Beta)</f>
        <v>79.9999999999998</v>
      </c>
      <c r="O32" s="401"/>
      <c r="P32" s="420" t="n">
        <f aca="false">MATCH(t-pas/2-T_ini,CdP_t)</f>
        <v>2</v>
      </c>
      <c r="Q32" s="417" t="n">
        <f aca="false">(INDEX(CdP,2,i_P+1)-INDEX(CdP,2,i_P+0))/(INDEX(CdP,1,i_P+1)-INDEX(CdP,1,i_P+0))*(t-pas/2-T_ini-INDEX(CdP,1,i_P+0))+INDEX(CdP,2,i_P+0)</f>
        <v>845.5</v>
      </c>
      <c r="R32" s="418" t="n">
        <f aca="false">Poussee/(g*ISP)</f>
        <v>0.424317056700205</v>
      </c>
      <c r="S32" s="419" t="n">
        <f aca="false">S31-Débit*pas</f>
        <v>8.29952274480401</v>
      </c>
      <c r="T32" s="417" t="n">
        <f aca="false">m*g</f>
        <v>81.4183181265273</v>
      </c>
      <c r="U32" s="421" t="n">
        <f aca="false">IF(pos_xz&lt;L_rampe,Poids*COS(Beta),0)</f>
        <v>14.1381425713782</v>
      </c>
      <c r="V32" s="418" t="n">
        <f aca="false">Rho_moyen*(20000-Alt_rampe-pos_z)/(20000+Alt_rampe+pos_z)</f>
        <v>1.22463223533531</v>
      </c>
      <c r="W32" s="417" t="n">
        <f aca="false">1/2*Rho*Sref*Cx*vit_xz^2</f>
        <v>2.14506564104382</v>
      </c>
      <c r="X32" s="401"/>
      <c r="Y32" s="422" t="str">
        <f aca="false">IF(AND(pos_z&lt;=0,K31&gt;0),"Impact balistique","") &amp; IF(AND(H33&lt;0,vit_z&gt;=0),"Apogée","") &amp; IF(AND(Poussee=0,Q31&gt;0),"Fin de propulsion","") &amp; IF(AND(L33&gt;L_rampe,pos_xz&lt;=L_rampe),"Sortie de rampe","")</f>
        <v/>
      </c>
      <c r="Z32" s="423" t="str">
        <f aca="false">IF(ABS(t-T_para)&lt;pas/2,"Para","")</f>
        <v/>
      </c>
      <c r="AA32" s="424" t="str">
        <f aca="false">IF(ABS(t-T_satellite)&lt;pas/2,"Satellite","")</f>
        <v/>
      </c>
      <c r="AB32" s="412"/>
      <c r="AC32" s="420" t="e">
        <f aca="false">IF(ABS(t-ROUND(t,0))&lt;0.001,t,NA())</f>
        <v>#N/A</v>
      </c>
      <c r="AD32" s="425" t="e">
        <f aca="false">IF(ABS(t-ROUND(t,0))&lt;0.001,pos_x,NA())</f>
        <v>#N/A</v>
      </c>
      <c r="AE32" s="426" t="n">
        <f aca="false">IF(t&lt;T_para, pos_z, NA())</f>
        <v>3.00261124415803</v>
      </c>
      <c r="AF32" s="412"/>
      <c r="AG32" s="418" t="n">
        <f aca="false">IF(AND(L31&lt;L_rampe,Poussee&lt;Poids*SIN(M31)),0,(-W31+Poussee)/m-Poids*SIN(M31)/m)</f>
        <v>91.9734373679274</v>
      </c>
      <c r="AH32" s="417" t="n">
        <f aca="false">IF(AND(L31&lt;L_rampe,Poussee&lt;Poids*SIN(M31)), g*SIN(M31), (-W31+Poussee)/m)</f>
        <v>101.634401424977</v>
      </c>
    </row>
    <row r="33" customFormat="false" ht="12" hidden="false" customHeight="false" outlineLevel="0" collapsed="false">
      <c r="A33" s="416" t="n">
        <f aca="false">IF(B32+0.01&lt;=T_ini+ROUNDUP(Temps_fin_propu,0), 0.01, IF(K32&gt;0, 0.1, 0.0001))</f>
        <v>0.01</v>
      </c>
      <c r="B33" s="417" t="n">
        <f aca="false">B32+pas</f>
        <v>0.29</v>
      </c>
      <c r="C33" s="401"/>
      <c r="D33" s="418" t="n">
        <f aca="false">IF(AND(L32&lt;L_rampe,Poussee&lt;Poids*SIN(M32)),0,(-W32+Poussee)/m*COS(M32)-U32/m*SIN(M32))</f>
        <v>15.9315830756855</v>
      </c>
      <c r="E33" s="419" t="n">
        <f aca="false">IF(AND(L32&lt;L_rampe,Poussee&lt;Poids*SIN(M32)),0,(-W32+Poussee)/m*SIN(M32)+U32/m*COS(M32)-Poids/m)</f>
        <v>90.3575028939221</v>
      </c>
      <c r="F33" s="417" t="n">
        <f aca="false">SQRT(acc_x^2+acc_z^2)</f>
        <v>91.7512597653166</v>
      </c>
      <c r="G33" s="418" t="n">
        <f aca="false">G32+acc_x*pas</f>
        <v>4.30356979922325</v>
      </c>
      <c r="H33" s="419" t="n">
        <f aca="false">H32+acc_z*pas</f>
        <v>24.4081164324386</v>
      </c>
      <c r="I33" s="417" t="n">
        <f aca="false">SQRT(vit_x^2+vit_z^2)</f>
        <v>24.7846093533117</v>
      </c>
      <c r="J33" s="418" t="n">
        <f aca="false">J32+0.5*(vit_x+G32)*pas*(K32&gt;=0)</f>
        <v>0.571650727589643</v>
      </c>
      <c r="K33" s="419" t="n">
        <f aca="false">K32+0.5*(vit_z+H32)*pas</f>
        <v>3.24217453333772</v>
      </c>
      <c r="L33" s="417" t="n">
        <f aca="false">SQRT(pos_x^2+pos_z^2)</f>
        <v>3.29218472430959</v>
      </c>
      <c r="M33" s="418" t="n">
        <f aca="false">IF(AND(L32&gt;L_rampe,G33&gt;0),ATAN2(G33,H33),$M$4)</f>
        <v>1.39626340159546</v>
      </c>
      <c r="N33" s="417" t="n">
        <f aca="false">DEGREES(Beta)</f>
        <v>79.9999999999998</v>
      </c>
      <c r="O33" s="401"/>
      <c r="P33" s="420" t="n">
        <f aca="false">MATCH(t-pas/2-T_ini,CdP_t)</f>
        <v>2</v>
      </c>
      <c r="Q33" s="417" t="n">
        <f aca="false">(INDEX(CdP,2,i_P+1)-INDEX(CdP,2,i_P+0))/(INDEX(CdP,1,i_P+1)-INDEX(CdP,1,i_P+0))*(t-pas/2-T_ini-INDEX(CdP,1,i_P+0))+INDEX(CdP,2,i_P+0)</f>
        <v>843.388888888889</v>
      </c>
      <c r="R33" s="418" t="n">
        <f aca="false">Poussee/(g*ISP)</f>
        <v>0.423257588393838</v>
      </c>
      <c r="S33" s="419" t="n">
        <f aca="false">S32-Débit*pas</f>
        <v>8.29529016892007</v>
      </c>
      <c r="T33" s="417" t="n">
        <f aca="false">m*g</f>
        <v>81.3767965571059</v>
      </c>
      <c r="U33" s="421" t="n">
        <f aca="false">IF(pos_xz&lt;L_rampe,Poids*COS(Beta),0)</f>
        <v>14.1309324265143</v>
      </c>
      <c r="V33" s="418" t="n">
        <f aca="false">Rho_moyen*(20000-Alt_rampe-pos_z)/(20000+Alt_rampe+pos_z)</f>
        <v>1.22460289799337</v>
      </c>
      <c r="W33" s="417" t="n">
        <f aca="false">1/2*Rho*Sref*Cx*vit_xz^2</f>
        <v>2.3131039551115</v>
      </c>
      <c r="X33" s="401"/>
      <c r="Y33" s="422" t="str">
        <f aca="false">IF(AND(pos_z&lt;=0,K32&gt;0),"Impact balistique","") &amp; IF(AND(H34&lt;0,vit_z&gt;=0),"Apogée","") &amp; IF(AND(Poussee=0,Q32&gt;0),"Fin de propulsion","") &amp; IF(AND(L34&gt;L_rampe,pos_xz&lt;=L_rampe),"Sortie de rampe","")</f>
        <v/>
      </c>
      <c r="Z33" s="423" t="str">
        <f aca="false">IF(ABS(t-T_para)&lt;pas/2,"Para","")</f>
        <v/>
      </c>
      <c r="AA33" s="424" t="str">
        <f aca="false">IF(ABS(t-T_satellite)&lt;pas/2,"Satellite","")</f>
        <v/>
      </c>
      <c r="AB33" s="412"/>
      <c r="AC33" s="420" t="e">
        <f aca="false">IF(ABS(t-ROUND(t,0))&lt;0.001,t,NA())</f>
        <v>#N/A</v>
      </c>
      <c r="AD33" s="425" t="e">
        <f aca="false">IF(ABS(t-ROUND(t,0))&lt;0.001,pos_x,NA())</f>
        <v>#N/A</v>
      </c>
      <c r="AE33" s="426" t="n">
        <f aca="false">IF(t&lt;T_para, pos_z, NA())</f>
        <v>3.24217453333772</v>
      </c>
      <c r="AF33" s="412"/>
      <c r="AG33" s="418" t="n">
        <f aca="false">IF(AND(L32&lt;L_rampe,Poussee&lt;Poids*SIN(M32)),0,(-W32+Poussee)/m-Poids*SIN(M32)/m)</f>
        <v>91.7512597611996</v>
      </c>
      <c r="AH33" s="417" t="n">
        <f aca="false">IF(AND(L32&lt;L_rampe,Poussee&lt;Poids*SIN(M32)), g*SIN(M32), (-W32+Poussee)/m)</f>
        <v>101.412223818249</v>
      </c>
    </row>
    <row r="34" customFormat="false" ht="12" hidden="false" customHeight="false" outlineLevel="0" collapsed="false">
      <c r="A34" s="416" t="n">
        <f aca="false">IF(B33+0.01&lt;=T_ini+ROUNDUP(Temps_fin_propu,0), 0.01, IF(K33&gt;0, 0.1, 0.0001))</f>
        <v>0.01</v>
      </c>
      <c r="B34" s="417" t="n">
        <f aca="false">B33+pas</f>
        <v>0.3</v>
      </c>
      <c r="C34" s="401"/>
      <c r="D34" s="418" t="n">
        <f aca="false">IF(AND(L33&lt;L_rampe,Poussee&lt;Poids*SIN(M33)),0,(-W33+Poussee)/m*COS(M33)-U33/m*SIN(M33))</f>
        <v>15.8928176613592</v>
      </c>
      <c r="E34" s="419" t="n">
        <f aca="false">IF(AND(L33&lt;L_rampe,Poussee&lt;Poids*SIN(M33)),0,(-W33+Poussee)/m*SIN(M33)+U33/m*COS(M33)-Poids/m)</f>
        <v>90.1376433176555</v>
      </c>
      <c r="F34" s="417" t="n">
        <f aca="false">SQRT(acc_x^2+acc_z^2)</f>
        <v>91.5280088064746</v>
      </c>
      <c r="G34" s="418" t="n">
        <f aca="false">G33+acc_x*pas</f>
        <v>4.46249797583684</v>
      </c>
      <c r="H34" s="419" t="n">
        <f aca="false">H33+acc_z*pas</f>
        <v>25.3094928656151</v>
      </c>
      <c r="I34" s="417" t="n">
        <f aca="false">SQRT(vit_x^2+vit_z^2)</f>
        <v>25.6998894413764</v>
      </c>
      <c r="J34" s="418" t="n">
        <f aca="false">J33+0.5*(vit_x+G33)*pas*(K33&gt;=0)</f>
        <v>0.615481066464944</v>
      </c>
      <c r="K34" s="419" t="n">
        <f aca="false">K33+0.5*(vit_z+H33)*pas</f>
        <v>3.49076257982799</v>
      </c>
      <c r="L34" s="417" t="n">
        <f aca="false">SQRT(pos_x^2+pos_z^2)</f>
        <v>3.54460721828303</v>
      </c>
      <c r="M34" s="418" t="n">
        <f aca="false">IF(AND(L33&gt;L_rampe,G34&gt;0),ATAN2(G34,H34),$M$4)</f>
        <v>1.39626340159546</v>
      </c>
      <c r="N34" s="417" t="n">
        <f aca="false">DEGREES(Beta)</f>
        <v>79.9999999999998</v>
      </c>
      <c r="O34" s="401"/>
      <c r="P34" s="420" t="n">
        <f aca="false">MATCH(t-pas/2-T_ini,CdP_t)</f>
        <v>2</v>
      </c>
      <c r="Q34" s="417" t="n">
        <f aca="false">(INDEX(CdP,2,i_P+1)-INDEX(CdP,2,i_P+0))/(INDEX(CdP,1,i_P+1)-INDEX(CdP,1,i_P+0))*(t-pas/2-T_ini-INDEX(CdP,1,i_P+0))+INDEX(CdP,2,i_P+0)</f>
        <v>841.277777777778</v>
      </c>
      <c r="R34" s="418" t="n">
        <f aca="false">Poussee/(g*ISP)</f>
        <v>0.42219812008747</v>
      </c>
      <c r="S34" s="419" t="n">
        <f aca="false">S33-Débit*pas</f>
        <v>8.29106818771919</v>
      </c>
      <c r="T34" s="417" t="n">
        <f aca="false">m*g</f>
        <v>81.3353789215253</v>
      </c>
      <c r="U34" s="421" t="n">
        <f aca="false">IF(pos_xz&lt;L_rampe,Poids*COS(Beta),0)</f>
        <v>14.1237403295724</v>
      </c>
      <c r="V34" s="418" t="n">
        <f aca="false">Rho_moyen*(20000-Alt_rampe-pos_z)/(20000+Alt_rampe+pos_z)</f>
        <v>1.22457245620666</v>
      </c>
      <c r="W34" s="417" t="n">
        <f aca="false">1/2*Rho*Sref*Cx*vit_xz^2</f>
        <v>2.48703964954124</v>
      </c>
      <c r="X34" s="401"/>
      <c r="Y34" s="422" t="str">
        <f aca="false">IF(AND(pos_z&lt;=0,K33&gt;0),"Impact balistique","") &amp; IF(AND(H35&lt;0,vit_z&gt;=0),"Apogée","") &amp; IF(AND(Poussee=0,Q33&gt;0),"Fin de propulsion","") &amp; IF(AND(L35&gt;L_rampe,pos_xz&lt;=L_rampe),"Sortie de rampe","")</f>
        <v/>
      </c>
      <c r="Z34" s="423" t="str">
        <f aca="false">IF(ABS(t-T_para)&lt;pas/2,"Para","")</f>
        <v/>
      </c>
      <c r="AA34" s="424" t="str">
        <f aca="false">IF(ABS(t-T_satellite)&lt;pas/2,"Satellite","")</f>
        <v/>
      </c>
      <c r="AB34" s="412"/>
      <c r="AC34" s="420" t="e">
        <f aca="false">IF(ABS(t-ROUND(t,0))&lt;0.001,t,NA())</f>
        <v>#N/A</v>
      </c>
      <c r="AD34" s="425" t="e">
        <f aca="false">IF(ABS(t-ROUND(t,0))&lt;0.001,pos_x,NA())</f>
        <v>#N/A</v>
      </c>
      <c r="AE34" s="426" t="n">
        <f aca="false">IF(t&lt;T_para, pos_z, NA())</f>
        <v>3.49076257982799</v>
      </c>
      <c r="AF34" s="412"/>
      <c r="AG34" s="418" t="n">
        <f aca="false">IF(AND(L33&lt;L_rampe,Poussee&lt;Poids*SIN(M33)),0,(-W33+Poussee)/m-Poids*SIN(M33)/m)</f>
        <v>91.528008802364</v>
      </c>
      <c r="AH34" s="417" t="n">
        <f aca="false">IF(AND(L33&lt;L_rampe,Poussee&lt;Poids*SIN(M33)), g*SIN(M33), (-W33+Poussee)/m)</f>
        <v>101.188972859414</v>
      </c>
    </row>
    <row r="35" customFormat="false" ht="12" hidden="false" customHeight="false" outlineLevel="0" collapsed="false">
      <c r="A35" s="416" t="n">
        <f aca="false">IF(B34+0.01&lt;=T_ini+ROUNDUP(Temps_fin_propu,0), 0.01, IF(K34&gt;0, 0.1, 0.0001))</f>
        <v>0.01</v>
      </c>
      <c r="B35" s="417" t="n">
        <f aca="false">B34+pas</f>
        <v>0.31</v>
      </c>
      <c r="C35" s="401"/>
      <c r="D35" s="418" t="n">
        <f aca="false">IF(AND(L34&lt;L_rampe,Poussee&lt;Poids*SIN(M34)),0,(-W34+Poussee)/m*COS(M34)-U34/m*SIN(M34))</f>
        <v>15.8538667550564</v>
      </c>
      <c r="E35" s="419" t="n">
        <f aca="false">IF(AND(L34&lt;L_rampe,Poussee&lt;Poids*SIN(M34)),0,(-W34+Poussee)/m*SIN(M34)+U34/m*COS(M34)-Poids/m)</f>
        <v>89.9167317475654</v>
      </c>
      <c r="F35" s="417" t="n">
        <f aca="false">SQRT(acc_x^2+acc_z^2)</f>
        <v>91.3036896256155</v>
      </c>
      <c r="G35" s="418" t="n">
        <f aca="false">G34+acc_x*pas</f>
        <v>4.6210366433874</v>
      </c>
      <c r="H35" s="419" t="n">
        <f aca="false">H34+acc_z*pas</f>
        <v>26.2086601830908</v>
      </c>
      <c r="I35" s="417" t="n">
        <f aca="false">SQRT(vit_x^2+vit_z^2)</f>
        <v>26.6129263376326</v>
      </c>
      <c r="J35" s="418" t="n">
        <f aca="false">J34+0.5*(vit_x+G34)*pas*(K34&gt;=0)</f>
        <v>0.660898739561065</v>
      </c>
      <c r="K35" s="419" t="n">
        <f aca="false">K34+0.5*(vit_z+H34)*pas</f>
        <v>3.74835334507152</v>
      </c>
      <c r="L35" s="417" t="n">
        <f aca="false">SQRT(pos_x^2+pos_z^2)</f>
        <v>3.80617129717808</v>
      </c>
      <c r="M35" s="418" t="n">
        <f aca="false">IF(AND(L34&gt;L_rampe,G35&gt;0),ATAN2(G35,H35),$M$4)</f>
        <v>1.39626340159546</v>
      </c>
      <c r="N35" s="417" t="n">
        <f aca="false">DEGREES(Beta)</f>
        <v>79.9999999999998</v>
      </c>
      <c r="O35" s="401"/>
      <c r="P35" s="420" t="n">
        <f aca="false">MATCH(t-pas/2-T_ini,CdP_t)</f>
        <v>2</v>
      </c>
      <c r="Q35" s="417" t="n">
        <f aca="false">(INDEX(CdP,2,i_P+1)-INDEX(CdP,2,i_P+0))/(INDEX(CdP,1,i_P+1)-INDEX(CdP,1,i_P+0))*(t-pas/2-T_ini-INDEX(CdP,1,i_P+0))+INDEX(CdP,2,i_P+0)</f>
        <v>839.166666666667</v>
      </c>
      <c r="R35" s="418" t="n">
        <f aca="false">Poussee/(g*ISP)</f>
        <v>0.421138651781103</v>
      </c>
      <c r="S35" s="419" t="n">
        <f aca="false">S34-Débit*pas</f>
        <v>8.28685680120138</v>
      </c>
      <c r="T35" s="417" t="n">
        <f aca="false">m*g</f>
        <v>81.2940652197856</v>
      </c>
      <c r="U35" s="421" t="n">
        <f aca="false">IF(pos_xz&lt;L_rampe,Poids*COS(Beta),0)</f>
        <v>14.1165662805526</v>
      </c>
      <c r="V35" s="418" t="n">
        <f aca="false">Rho_moyen*(20000-Alt_rampe-pos_z)/(20000+Alt_rampe+pos_z)</f>
        <v>1.22454091275629</v>
      </c>
      <c r="W35" s="417" t="n">
        <f aca="false">1/2*Rho*Sref*Cx*vit_xz^2</f>
        <v>2.66682351370819</v>
      </c>
      <c r="X35" s="401"/>
      <c r="Y35" s="422" t="str">
        <f aca="false">IF(AND(pos_z&lt;=0,K34&gt;0),"Impact balistique","") &amp; IF(AND(H36&lt;0,vit_z&gt;=0),"Apogée","") &amp; IF(AND(Poussee=0,Q34&gt;0),"Fin de propulsion","") &amp; IF(AND(L36&gt;L_rampe,pos_xz&lt;=L_rampe),"Sortie de rampe","")</f>
        <v>Sortie de rampe</v>
      </c>
      <c r="Z35" s="423" t="str">
        <f aca="false">IF(ABS(t-T_para)&lt;pas/2,"Para","")</f>
        <v/>
      </c>
      <c r="AA35" s="424" t="str">
        <f aca="false">IF(ABS(t-T_satellite)&lt;pas/2,"Satellite","")</f>
        <v/>
      </c>
      <c r="AB35" s="412"/>
      <c r="AC35" s="420" t="e">
        <f aca="false">IF(ABS(t-ROUND(t,0))&lt;0.001,t,NA())</f>
        <v>#N/A</v>
      </c>
      <c r="AD35" s="425" t="e">
        <f aca="false">IF(ABS(t-ROUND(t,0))&lt;0.001,pos_x,NA())</f>
        <v>#N/A</v>
      </c>
      <c r="AE35" s="426" t="n">
        <f aca="false">IF(t&lt;T_para, pos_z, NA())</f>
        <v>3.74835334507152</v>
      </c>
      <c r="AF35" s="412"/>
      <c r="AG35" s="418" t="n">
        <f aca="false">IF(AND(L34&lt;L_rampe,Poussee&lt;Poids*SIN(M34)),0,(-W34+Poussee)/m-Poids*SIN(M34)/m)</f>
        <v>91.3036896215113</v>
      </c>
      <c r="AH35" s="417" t="n">
        <f aca="false">IF(AND(L34&lt;L_rampe,Poussee&lt;Poids*SIN(M34)), g*SIN(M34), (-W34+Poussee)/m)</f>
        <v>100.964653678561</v>
      </c>
    </row>
    <row r="36" customFormat="false" ht="12" hidden="false" customHeight="false" outlineLevel="0" collapsed="false">
      <c r="A36" s="416" t="n">
        <f aca="false">IF(B35+0.01&lt;=T_ini+ROUNDUP(Temps_fin_propu,0), 0.01, IF(K35&gt;0, 0.1, 0.0001))</f>
        <v>0.01</v>
      </c>
      <c r="B36" s="417" t="n">
        <f aca="false">B35+pas</f>
        <v>0.32</v>
      </c>
      <c r="C36" s="401"/>
      <c r="D36" s="418" t="n">
        <f aca="false">IF(AND(L35&lt;L_rampe,Poussee&lt;Poids*SIN(M35)),0,(-W35+Poussee)/m*COS(M35)-U35/m*SIN(M35))</f>
        <v>15.8147312550178</v>
      </c>
      <c r="E36" s="419" t="n">
        <f aca="false">IF(AND(L35&lt;L_rampe,Poussee&lt;Poids*SIN(M35)),0,(-W35+Poussee)/m*SIN(M35)+U35/m*COS(M35)-Poids/m)</f>
        <v>89.6947732778404</v>
      </c>
      <c r="F36" s="417" t="n">
        <f aca="false">SQRT(acc_x^2+acc_z^2)</f>
        <v>91.0783073955134</v>
      </c>
      <c r="G36" s="418" t="n">
        <f aca="false">G35+acc_x*pas</f>
        <v>4.77918395593758</v>
      </c>
      <c r="H36" s="419" t="n">
        <f aca="false">H35+acc_z*pas</f>
        <v>27.1056079158692</v>
      </c>
      <c r="I36" s="417" t="n">
        <f aca="false">SQRT(vit_x^2+vit_z^2)</f>
        <v>27.5237094115877</v>
      </c>
      <c r="J36" s="418" t="n">
        <f aca="false">J35+0.5*(vit_x+G35)*pas*(K35&gt;=0)</f>
        <v>0.70789984255769</v>
      </c>
      <c r="K36" s="419" t="n">
        <f aca="false">K35+0.5*(vit_z+H35)*pas</f>
        <v>4.01492468556632</v>
      </c>
      <c r="L36" s="417" t="n">
        <f aca="false">SQRT(pos_x^2+pos_z^2)</f>
        <v>4.07685447592418</v>
      </c>
      <c r="M36" s="418" t="n">
        <f aca="false">IF(AND(L35&gt;L_rampe,G36&gt;0),ATAN2(G36,H36),$M$4)</f>
        <v>1.39626340159546</v>
      </c>
      <c r="N36" s="417" t="n">
        <f aca="false">DEGREES(Beta)</f>
        <v>79.9999999999998</v>
      </c>
      <c r="O36" s="401"/>
      <c r="P36" s="420" t="n">
        <f aca="false">MATCH(t-pas/2-T_ini,CdP_t)</f>
        <v>2</v>
      </c>
      <c r="Q36" s="417" t="n">
        <f aca="false">(INDEX(CdP,2,i_P+1)-INDEX(CdP,2,i_P+0))/(INDEX(CdP,1,i_P+1)-INDEX(CdP,1,i_P+0))*(t-pas/2-T_ini-INDEX(CdP,1,i_P+0))+INDEX(CdP,2,i_P+0)</f>
        <v>837.055555555556</v>
      </c>
      <c r="R36" s="418" t="n">
        <f aca="false">Poussee/(g*ISP)</f>
        <v>0.420079183474735</v>
      </c>
      <c r="S36" s="419" t="n">
        <f aca="false">S35-Débit*pas</f>
        <v>8.28265600936663</v>
      </c>
      <c r="T36" s="417" t="n">
        <f aca="false">m*g</f>
        <v>81.2528554518867</v>
      </c>
      <c r="U36" s="421" t="n">
        <f aca="false">IF(pos_xz&lt;L_rampe,Poids*COS(Beta),0)</f>
        <v>0</v>
      </c>
      <c r="V36" s="418" t="n">
        <f aca="false">Rho_moyen*(20000-Alt_rampe-pos_z)/(20000+Alt_rampe+pos_z)</f>
        <v>1.22450827043888</v>
      </c>
      <c r="W36" s="417" t="n">
        <f aca="false">1/2*Rho*Sref*Cx*vit_xz^2</f>
        <v>2.85240614214412</v>
      </c>
      <c r="X36" s="401"/>
      <c r="Y36" s="422" t="str">
        <f aca="false">IF(AND(pos_z&lt;=0,K35&gt;0),"Impact balistique","") &amp; IF(AND(H37&lt;0,vit_z&gt;=0),"Apogée","") &amp; IF(AND(Poussee=0,Q35&gt;0),"Fin de propulsion","") &amp; IF(AND(L37&gt;L_rampe,pos_xz&lt;=L_rampe),"Sortie de rampe","")</f>
        <v/>
      </c>
      <c r="Z36" s="423" t="str">
        <f aca="false">IF(ABS(t-T_para)&lt;pas/2,"Para","")</f>
        <v/>
      </c>
      <c r="AA36" s="424" t="str">
        <f aca="false">IF(ABS(t-T_satellite)&lt;pas/2,"Satellite","")</f>
        <v/>
      </c>
      <c r="AB36" s="412"/>
      <c r="AC36" s="420" t="e">
        <f aca="false">IF(ABS(t-ROUND(t,0))&lt;0.001,t,NA())</f>
        <v>#N/A</v>
      </c>
      <c r="AD36" s="425" t="e">
        <f aca="false">IF(ABS(t-ROUND(t,0))&lt;0.001,pos_x,NA())</f>
        <v>#N/A</v>
      </c>
      <c r="AE36" s="426" t="n">
        <f aca="false">IF(t&lt;T_para, pos_z, NA())</f>
        <v>4.01492468556632</v>
      </c>
      <c r="AF36" s="412"/>
      <c r="AG36" s="418" t="n">
        <f aca="false">IF(AND(L35&lt;L_rampe,Poussee&lt;Poids*SIN(M35)),0,(-W35+Poussee)/m-Poids*SIN(M35)/m)</f>
        <v>91.0783073914155</v>
      </c>
      <c r="AH36" s="417" t="n">
        <f aca="false">IF(AND(L35&lt;L_rampe,Poussee&lt;Poids*SIN(M35)), g*SIN(M35), (-W35+Poussee)/m)</f>
        <v>100.739271448465</v>
      </c>
    </row>
    <row r="37" customFormat="false" ht="12" hidden="false" customHeight="false" outlineLevel="0" collapsed="false">
      <c r="A37" s="416" t="n">
        <f aca="false">IF(B36+0.01&lt;=T_ini+ROUNDUP(Temps_fin_propu,0), 0.01, IF(K36&gt;0, 0.1, 0.0001))</f>
        <v>0.01</v>
      </c>
      <c r="B37" s="417" t="n">
        <f aca="false">B36+pas</f>
        <v>0.33</v>
      </c>
      <c r="C37" s="401"/>
      <c r="D37" s="418" t="n">
        <f aca="false">IF(AND(L36&lt;L_rampe,Poussee&lt;Poids*SIN(M36)),0,(-W36+Poussee)/m*COS(M36)-U36/m*SIN(M36))</f>
        <v>17.4538700019949</v>
      </c>
      <c r="E37" s="419" t="n">
        <f aca="false">IF(AND(L36&lt;L_rampe,Poussee&lt;Poids*SIN(M36)),0,(-W36+Poussee)/m*SIN(M36)+U36/m*COS(M36)-Poids/m)</f>
        <v>89.1758156242826</v>
      </c>
      <c r="F37" s="417" t="n">
        <f aca="false">SQRT(acc_x^2+acc_z^2)</f>
        <v>90.8678362805156</v>
      </c>
      <c r="G37" s="418" t="n">
        <f aca="false">G36+acc_x*pas</f>
        <v>4.95372265595753</v>
      </c>
      <c r="H37" s="419" t="n">
        <f aca="false">H36+acc_z*pas</f>
        <v>27.997366072112</v>
      </c>
      <c r="I37" s="417" t="n">
        <f aca="false">SQRT(vit_x^2+vit_z^2)</f>
        <v>28.4322330309808</v>
      </c>
      <c r="J37" s="418" t="n">
        <f aca="false">J36+0.5*(vit_x+G36)*pas*(K36&gt;=0)</f>
        <v>0.756564375617165</v>
      </c>
      <c r="K37" s="419" t="n">
        <f aca="false">K36+0.5*(vit_z+H36)*pas</f>
        <v>4.29043955550623</v>
      </c>
      <c r="L37" s="417" t="n">
        <f aca="false">SQRT(pos_x^2+pos_z^2)</f>
        <v>4.35663416342312</v>
      </c>
      <c r="M37" s="418" t="n">
        <f aca="false">IF(AND(L36&gt;L_rampe,G37&gt;0),ATAN2(G37,H37),$M$4)</f>
        <v>1.3956734767409</v>
      </c>
      <c r="N37" s="417" t="n">
        <f aca="false">DEGREES(Beta)</f>
        <v>79.9661997956033</v>
      </c>
      <c r="O37" s="401"/>
      <c r="P37" s="420" t="n">
        <f aca="false">MATCH(t-pas/2-T_ini,CdP_t)</f>
        <v>2</v>
      </c>
      <c r="Q37" s="417" t="n">
        <f aca="false">(INDEX(CdP,2,i_P+1)-INDEX(CdP,2,i_P+0))/(INDEX(CdP,1,i_P+1)-INDEX(CdP,1,i_P+0))*(t-pas/2-T_ini-INDEX(CdP,1,i_P+0))+INDEX(CdP,2,i_P+0)</f>
        <v>834.944444444445</v>
      </c>
      <c r="R37" s="418" t="n">
        <f aca="false">Poussee/(g*ISP)</f>
        <v>0.419019715168367</v>
      </c>
      <c r="S37" s="419" t="n">
        <f aca="false">S36-Débit*pas</f>
        <v>8.27846581221495</v>
      </c>
      <c r="T37" s="417" t="n">
        <f aca="false">m*g</f>
        <v>81.2117496178287</v>
      </c>
      <c r="U37" s="421" t="n">
        <f aca="false">IF(pos_xz&lt;L_rampe,Poids*COS(Beta),0)</f>
        <v>0</v>
      </c>
      <c r="V37" s="418" t="n">
        <f aca="false">Rho_moyen*(20000-Alt_rampe-pos_z)/(20000+Alt_rampe+pos_z)</f>
        <v>1.22447453387848</v>
      </c>
      <c r="W37" s="417" t="n">
        <f aca="false">1/2*Rho*Sref*Cx*vit_xz^2</f>
        <v>3.04373900229175</v>
      </c>
      <c r="X37" s="401"/>
      <c r="Y37" s="422" t="str">
        <f aca="false">IF(AND(pos_z&lt;=0,K36&gt;0),"Impact balistique","") &amp; IF(AND(H38&lt;0,vit_z&gt;=0),"Apogée","") &amp; IF(AND(Poussee=0,Q36&gt;0),"Fin de propulsion","") &amp; IF(AND(L38&gt;L_rampe,pos_xz&lt;=L_rampe),"Sortie de rampe","")</f>
        <v/>
      </c>
      <c r="Z37" s="423" t="str">
        <f aca="false">IF(ABS(t-T_para)&lt;pas/2,"Para","")</f>
        <v/>
      </c>
      <c r="AA37" s="424" t="str">
        <f aca="false">IF(ABS(t-T_satellite)&lt;pas/2,"Satellite","")</f>
        <v/>
      </c>
      <c r="AB37" s="412"/>
      <c r="AC37" s="420" t="e">
        <f aca="false">IF(ABS(t-ROUND(t,0))&lt;0.001,t,NA())</f>
        <v>#N/A</v>
      </c>
      <c r="AD37" s="425" t="e">
        <f aca="false">IF(ABS(t-ROUND(t,0))&lt;0.001,pos_x,NA())</f>
        <v>#N/A</v>
      </c>
      <c r="AE37" s="426" t="n">
        <f aca="false">IF(t&lt;T_para, pos_z, NA())</f>
        <v>4.29043955550623</v>
      </c>
      <c r="AF37" s="412"/>
      <c r="AG37" s="418" t="n">
        <f aca="false">IF(AND(L36&lt;L_rampe,Poussee&lt;Poids*SIN(M36)),0,(-W36+Poussee)/m-Poids*SIN(M36)/m)</f>
        <v>90.8518673270626</v>
      </c>
      <c r="AH37" s="417" t="n">
        <f aca="false">IF(AND(L36&lt;L_rampe,Poussee&lt;Poids*SIN(M36)), g*SIN(M36), (-W36+Poussee)/m)</f>
        <v>100.512831384112</v>
      </c>
    </row>
    <row r="38" customFormat="false" ht="12" hidden="false" customHeight="false" outlineLevel="0" collapsed="false">
      <c r="A38" s="416" t="n">
        <f aca="false">IF(B37+0.01&lt;=T_ini+ROUNDUP(Temps_fin_propu,0), 0.01, IF(K37&gt;0, 0.1, 0.0001))</f>
        <v>0.01</v>
      </c>
      <c r="B38" s="417" t="n">
        <f aca="false">B37+pas</f>
        <v>0.34</v>
      </c>
      <c r="C38" s="401"/>
      <c r="D38" s="418" t="n">
        <f aca="false">IF(AND(L37&lt;L_rampe,Poussee&lt;Poids*SIN(M37)),0,(-W37+Poussee)/m*COS(M37)-U37/m*SIN(M37))</f>
        <v>17.4726252915035</v>
      </c>
      <c r="E38" s="419" t="n">
        <f aca="false">IF(AND(L37&lt;L_rampe,Poussee&lt;Poids*SIN(M37)),0,(-W37+Poussee)/m*SIN(M37)+U37/m*COS(M37)-Poids/m)</f>
        <v>88.9414886282038</v>
      </c>
      <c r="F38" s="417" t="n">
        <f aca="false">SQRT(acc_x^2+acc_z^2)</f>
        <v>90.641497306577</v>
      </c>
      <c r="G38" s="418" t="n">
        <f aca="false">G37+acc_x*pas</f>
        <v>5.12844890887256</v>
      </c>
      <c r="H38" s="419" t="n">
        <f aca="false">H37+acc_z*pas</f>
        <v>28.8867809583941</v>
      </c>
      <c r="I38" s="417" t="n">
        <f aca="false">SQRT(vit_x^2+vit_z^2)</f>
        <v>29.3384918213114</v>
      </c>
      <c r="J38" s="418" t="n">
        <f aca="false">J37+0.5*(vit_x+G37)*pas*(K37&gt;=0)</f>
        <v>0.806975233441316</v>
      </c>
      <c r="K38" s="419" t="n">
        <f aca="false">K37+0.5*(vit_z+H37)*pas</f>
        <v>4.57486029065876</v>
      </c>
      <c r="L38" s="417" t="n">
        <f aca="false">SQRT(pos_x^2+pos_z^2)</f>
        <v>4.64548767154041</v>
      </c>
      <c r="M38" s="418" t="n">
        <f aca="false">IF(AND(L37&gt;L_rampe,G38&gt;0),ATAN2(G38,H38),$M$4)</f>
        <v>1.39509090157784</v>
      </c>
      <c r="N38" s="417" t="n">
        <f aca="false">DEGREES(Beta)</f>
        <v>79.9328206975111</v>
      </c>
      <c r="O38" s="401"/>
      <c r="P38" s="420" t="n">
        <f aca="false">MATCH(t-pas/2-T_ini,CdP_t)</f>
        <v>2</v>
      </c>
      <c r="Q38" s="417" t="n">
        <f aca="false">(INDEX(CdP,2,i_P+1)-INDEX(CdP,2,i_P+0))/(INDEX(CdP,1,i_P+1)-INDEX(CdP,1,i_P+0))*(t-pas/2-T_ini-INDEX(CdP,1,i_P+0))+INDEX(CdP,2,i_P+0)</f>
        <v>832.833333333333</v>
      </c>
      <c r="R38" s="418" t="n">
        <f aca="false">Poussee/(g*ISP)</f>
        <v>0.417960246862</v>
      </c>
      <c r="S38" s="419" t="n">
        <f aca="false">S37-Débit*pas</f>
        <v>8.27428620974633</v>
      </c>
      <c r="T38" s="417" t="n">
        <f aca="false">m*g</f>
        <v>81.1707477176115</v>
      </c>
      <c r="U38" s="421" t="n">
        <f aca="false">IF(pos_xz&lt;L_rampe,Poids*COS(Beta),0)</f>
        <v>0</v>
      </c>
      <c r="V38" s="418" t="n">
        <f aca="false">Rho_moyen*(20000-Alt_rampe-pos_z)/(20000+Alt_rampe+pos_z)</f>
        <v>1.22443970777733</v>
      </c>
      <c r="W38" s="417" t="n">
        <f aca="false">1/2*Rho*Sref*Cx*vit_xz^2</f>
        <v>3.24077355685992</v>
      </c>
      <c r="X38" s="401"/>
      <c r="Y38" s="422" t="str">
        <f aca="false">IF(AND(pos_z&lt;=0,K37&gt;0),"Impact balistique","") &amp; IF(AND(H39&lt;0,vit_z&gt;=0),"Apogée","") &amp; IF(AND(Poussee=0,Q37&gt;0),"Fin de propulsion","") &amp; IF(AND(L39&gt;L_rampe,pos_xz&lt;=L_rampe),"Sortie de rampe","")</f>
        <v/>
      </c>
      <c r="Z38" s="423" t="str">
        <f aca="false">IF(ABS(t-T_para)&lt;pas/2,"Para","")</f>
        <v/>
      </c>
      <c r="AA38" s="424" t="str">
        <f aca="false">IF(ABS(t-T_satellite)&lt;pas/2,"Satellite","")</f>
        <v/>
      </c>
      <c r="AB38" s="412"/>
      <c r="AC38" s="420" t="e">
        <f aca="false">IF(ABS(t-ROUND(t,0))&lt;0.001,t,NA())</f>
        <v>#N/A</v>
      </c>
      <c r="AD38" s="425" t="e">
        <f aca="false">IF(ABS(t-ROUND(t,0))&lt;0.001,pos_x,NA())</f>
        <v>#N/A</v>
      </c>
      <c r="AE38" s="426" t="n">
        <f aca="false">IF(t&lt;T_para, pos_z, NA())</f>
        <v>4.57486029065876</v>
      </c>
      <c r="AF38" s="412"/>
      <c r="AG38" s="418" t="n">
        <f aca="false">IF(AND(L37&lt;L_rampe,Poussee&lt;Poids*SIN(M37)),0,(-W37+Poussee)/m-Poids*SIN(M37)/m)</f>
        <v>90.625381167928</v>
      </c>
      <c r="AH38" s="417" t="n">
        <f aca="false">IF(AND(L37&lt;L_rampe,Poussee&lt;Poids*SIN(M37)), g*SIN(M37), (-W37+Poussee)/m)</f>
        <v>100.285338613695</v>
      </c>
    </row>
    <row r="39" customFormat="false" ht="12" hidden="false" customHeight="false" outlineLevel="0" collapsed="false">
      <c r="A39" s="416" t="n">
        <f aca="false">IF(B38+0.01&lt;=T_ini+ROUNDUP(Temps_fin_propu,0), 0.01, IF(K38&gt;0, 0.1, 0.0001))</f>
        <v>0.01</v>
      </c>
      <c r="B39" s="417" t="n">
        <f aca="false">B38+pas</f>
        <v>0.35</v>
      </c>
      <c r="C39" s="401"/>
      <c r="D39" s="418" t="n">
        <f aca="false">IF(AND(L38&lt;L_rampe,Poussee&lt;Poids*SIN(M38)),0,(-W38+Poussee)/m*COS(M38)-U38/m*SIN(M38))</f>
        <v>17.4902030108595</v>
      </c>
      <c r="E39" s="419" t="n">
        <f aca="false">IF(AND(L38&lt;L_rampe,Poussee&lt;Poids*SIN(M38)),0,(-W38+Poussee)/m*SIN(M38)+U38/m*COS(M38)-Poids/m)</f>
        <v>88.7062711513908</v>
      </c>
      <c r="F39" s="417" t="n">
        <f aca="false">SQRT(acc_x^2+acc_z^2)</f>
        <v>90.4141014606966</v>
      </c>
      <c r="G39" s="418" t="n">
        <f aca="false">G38+acc_x*pas</f>
        <v>5.30335093898116</v>
      </c>
      <c r="H39" s="419" t="n">
        <f aca="false">H38+acc_z*pas</f>
        <v>29.773843669908</v>
      </c>
      <c r="I39" s="417" t="n">
        <f aca="false">SQRT(vit_x^2+vit_z^2)</f>
        <v>30.2424750650821</v>
      </c>
      <c r="J39" s="418" t="n">
        <f aca="false">J38+0.5*(vit_x+G38)*pas*(K38&gt;=0)</f>
        <v>0.859134232680584</v>
      </c>
      <c r="K39" s="419" t="n">
        <f aca="false">K38+0.5*(vit_z+H38)*pas</f>
        <v>4.86816341380027</v>
      </c>
      <c r="L39" s="417" t="n">
        <f aca="false">SQRT(pos_x^2+pos_z^2)</f>
        <v>4.94339222126134</v>
      </c>
      <c r="M39" s="418" t="n">
        <f aca="false">IF(AND(L38&gt;L_rampe,G39&gt;0),ATAN2(G39,H39),$M$4)</f>
        <v>1.39452387952753</v>
      </c>
      <c r="N39" s="417" t="n">
        <f aca="false">DEGREES(Beta)</f>
        <v>79.9003327271373</v>
      </c>
      <c r="O39" s="401"/>
      <c r="P39" s="420" t="n">
        <f aca="false">MATCH(t-pas/2-T_ini,CdP_t)</f>
        <v>2</v>
      </c>
      <c r="Q39" s="417" t="n">
        <f aca="false">(INDEX(CdP,2,i_P+1)-INDEX(CdP,2,i_P+0))/(INDEX(CdP,1,i_P+1)-INDEX(CdP,1,i_P+0))*(t-pas/2-T_ini-INDEX(CdP,1,i_P+0))+INDEX(CdP,2,i_P+0)</f>
        <v>830.722222222222</v>
      </c>
      <c r="R39" s="418" t="n">
        <f aca="false">Poussee/(g*ISP)</f>
        <v>0.416900778555632</v>
      </c>
      <c r="S39" s="419" t="n">
        <f aca="false">S38-Débit*pas</f>
        <v>8.27011720196077</v>
      </c>
      <c r="T39" s="417" t="n">
        <f aca="false">m*g</f>
        <v>81.1298497512352</v>
      </c>
      <c r="U39" s="421" t="n">
        <f aca="false">IF(pos_xz&lt;L_rampe,Poids*COS(Beta),0)</f>
        <v>0</v>
      </c>
      <c r="V39" s="418" t="n">
        <f aca="false">Rho_moyen*(20000-Alt_rampe-pos_z)/(20000+Alt_rampe+pos_z)</f>
        <v>1.22440379510295</v>
      </c>
      <c r="W39" s="417" t="n">
        <f aca="false">1/2*Rho*Sref*Cx*vit_xz^2</f>
        <v>3.44345999373694</v>
      </c>
      <c r="X39" s="401"/>
      <c r="Y39" s="422" t="str">
        <f aca="false">IF(AND(pos_z&lt;=0,K38&gt;0),"Impact balistique","") &amp; IF(AND(H40&lt;0,vit_z&gt;=0),"Apogée","") &amp; IF(AND(Poussee=0,Q38&gt;0),"Fin de propulsion","") &amp; IF(AND(L40&gt;L_rampe,pos_xz&lt;=L_rampe),"Sortie de rampe","")</f>
        <v/>
      </c>
      <c r="Z39" s="423" t="str">
        <f aca="false">IF(ABS(t-T_para)&lt;pas/2,"Para","")</f>
        <v/>
      </c>
      <c r="AA39" s="424" t="str">
        <f aca="false">IF(ABS(t-T_satellite)&lt;pas/2,"Satellite","")</f>
        <v/>
      </c>
      <c r="AB39" s="412"/>
      <c r="AC39" s="420" t="e">
        <f aca="false">IF(ABS(t-ROUND(t,0))&lt;0.001,t,NA())</f>
        <v>#N/A</v>
      </c>
      <c r="AD39" s="425" t="e">
        <f aca="false">IF(ABS(t-ROUND(t,0))&lt;0.001,pos_x,NA())</f>
        <v>#N/A</v>
      </c>
      <c r="AE39" s="426" t="n">
        <f aca="false">IF(t&lt;T_para, pos_z, NA())</f>
        <v>4.86816341380027</v>
      </c>
      <c r="AF39" s="412"/>
      <c r="AG39" s="418" t="n">
        <f aca="false">IF(AND(L38&lt;L_rampe,Poussee&lt;Poids*SIN(M38)),0,(-W38+Poussee)/m-Poids*SIN(M38)/m)</f>
        <v>90.3978382081194</v>
      </c>
      <c r="AH39" s="417" t="n">
        <f aca="false">IF(AND(L38&lt;L_rampe,Poussee&lt;Poids*SIN(M38)), g*SIN(M38), (-W38+Poussee)/m)</f>
        <v>100.056798284452</v>
      </c>
    </row>
    <row r="40" customFormat="false" ht="12" hidden="false" customHeight="false" outlineLevel="0" collapsed="false">
      <c r="A40" s="416" t="n">
        <f aca="false">IF(B39+0.01&lt;=T_ini+ROUNDUP(Temps_fin_propu,0), 0.01, IF(K39&gt;0, 0.1, 0.0001))</f>
        <v>0.01</v>
      </c>
      <c r="B40" s="417" t="n">
        <f aca="false">B39+pas</f>
        <v>0.36</v>
      </c>
      <c r="C40" s="401"/>
      <c r="D40" s="418" t="n">
        <f aca="false">IF(AND(L39&lt;L_rampe,Poussee&lt;Poids*SIN(M39)),0,(-W39+Poussee)/m*COS(M39)-U39/m*SIN(M39))</f>
        <v>17.5058012634741</v>
      </c>
      <c r="E40" s="419" t="n">
        <f aca="false">IF(AND(L39&lt;L_rampe,Poussee&lt;Poids*SIN(M39)),0,(-W39+Poussee)/m*SIN(M39)+U39/m*COS(M39)-Poids/m)</f>
        <v>88.4703129817553</v>
      </c>
      <c r="F40" s="417" t="n">
        <f aca="false">SQRT(acc_x^2+acc_z^2)</f>
        <v>90.1856383076928</v>
      </c>
      <c r="G40" s="418" t="n">
        <f aca="false">G39+acc_x*pas</f>
        <v>5.4784089516159</v>
      </c>
      <c r="H40" s="419" t="n">
        <f aca="false">H39+acc_z*pas</f>
        <v>30.6585467997255</v>
      </c>
      <c r="I40" s="417" t="n">
        <f aca="false">SQRT(vit_x^2+vit_z^2)</f>
        <v>31.144172111522</v>
      </c>
      <c r="J40" s="418" t="n">
        <f aca="false">J39+0.5*(vit_x+G39)*pas*(K39&gt;=0)</f>
        <v>0.91304303213357</v>
      </c>
      <c r="K40" s="419" t="n">
        <f aca="false">K39+0.5*(vit_z+H39)*pas</f>
        <v>5.17032536614843</v>
      </c>
      <c r="L40" s="417" t="n">
        <f aca="false">SQRT(pos_x^2+pos_z^2)</f>
        <v>5.25032493950285</v>
      </c>
      <c r="M40" s="418" t="n">
        <f aca="false">IF(AND(L39&gt;L_rampe,G40&gt;0),ATAN2(G40,H40),$M$4)</f>
        <v>1.39397151564429</v>
      </c>
      <c r="N40" s="417" t="n">
        <f aca="false">DEGREES(Beta)</f>
        <v>79.8686846078725</v>
      </c>
      <c r="O40" s="401"/>
      <c r="P40" s="420" t="n">
        <f aca="false">MATCH(t-pas/2-T_ini,CdP_t)</f>
        <v>2</v>
      </c>
      <c r="Q40" s="417" t="n">
        <f aca="false">(INDEX(CdP,2,i_P+1)-INDEX(CdP,2,i_P+0))/(INDEX(CdP,1,i_P+1)-INDEX(CdP,1,i_P+0))*(t-pas/2-T_ini-INDEX(CdP,1,i_P+0))+INDEX(CdP,2,i_P+0)</f>
        <v>828.611111111111</v>
      </c>
      <c r="R40" s="418" t="n">
        <f aca="false">Poussee/(g*ISP)</f>
        <v>0.415841310249265</v>
      </c>
      <c r="S40" s="419" t="n">
        <f aca="false">S39-Débit*pas</f>
        <v>8.26595878885828</v>
      </c>
      <c r="T40" s="417" t="n">
        <f aca="false">m*g</f>
        <v>81.0890557186997</v>
      </c>
      <c r="U40" s="421" t="n">
        <f aca="false">IF(pos_xz&lt;L_rampe,Poids*COS(Beta),0)</f>
        <v>0</v>
      </c>
      <c r="V40" s="418" t="n">
        <f aca="false">Rho_moyen*(20000-Alt_rampe-pos_z)/(20000+Alt_rampe+pos_z)</f>
        <v>1.22436679883545</v>
      </c>
      <c r="W40" s="417" t="n">
        <f aca="false">1/2*Rho*Sref*Cx*vit_xz^2</f>
        <v>3.6517483187026</v>
      </c>
      <c r="X40" s="401"/>
      <c r="Y40" s="422" t="str">
        <f aca="false">IF(AND(pos_z&lt;=0,K39&gt;0),"Impact balistique","") &amp; IF(AND(H41&lt;0,vit_z&gt;=0),"Apogée","") &amp; IF(AND(Poussee=0,Q39&gt;0),"Fin de propulsion","") &amp; IF(AND(L41&gt;L_rampe,pos_xz&lt;=L_rampe),"Sortie de rampe","")</f>
        <v/>
      </c>
      <c r="Z40" s="423" t="str">
        <f aca="false">IF(ABS(t-T_para)&lt;pas/2,"Para","")</f>
        <v/>
      </c>
      <c r="AA40" s="424" t="str">
        <f aca="false">IF(ABS(t-T_satellite)&lt;pas/2,"Satellite","")</f>
        <v/>
      </c>
      <c r="AB40" s="412"/>
      <c r="AC40" s="420" t="e">
        <f aca="false">IF(ABS(t-ROUND(t,0))&lt;0.001,t,NA())</f>
        <v>#N/A</v>
      </c>
      <c r="AD40" s="425" t="e">
        <f aca="false">IF(ABS(t-ROUND(t,0))&lt;0.001,pos_x,NA())</f>
        <v>#N/A</v>
      </c>
      <c r="AE40" s="426" t="n">
        <f aca="false">IF(t&lt;T_para, pos_z, NA())</f>
        <v>5.17032536614843</v>
      </c>
      <c r="AF40" s="412"/>
      <c r="AG40" s="418" t="n">
        <f aca="false">IF(AND(L39&lt;L_rampe,Poussee&lt;Poids*SIN(M39)),0,(-W39+Poussee)/m-Poids*SIN(M39)/m)</f>
        <v>90.1692295305353</v>
      </c>
      <c r="AH40" s="417" t="n">
        <f aca="false">IF(AND(L39&lt;L_rampe,Poussee&lt;Poids*SIN(M39)), g*SIN(M39), (-W39+Poussee)/m)</f>
        <v>99.8272157162967</v>
      </c>
    </row>
    <row r="41" customFormat="false" ht="12" hidden="false" customHeight="false" outlineLevel="0" collapsed="false">
      <c r="A41" s="416" t="n">
        <f aca="false">IF(B40+0.01&lt;=T_ini+ROUNDUP(Temps_fin_propu,0), 0.01, IF(K40&gt;0, 0.1, 0.0001))</f>
        <v>0.01</v>
      </c>
      <c r="B41" s="417" t="n">
        <f aca="false">B40+pas</f>
        <v>0.37</v>
      </c>
      <c r="C41" s="401"/>
      <c r="D41" s="418" t="n">
        <f aca="false">IF(AND(L40&lt;L_rampe,Poussee&lt;Poids*SIN(M40)),0,(-W40+Poussee)/m*COS(M40)-U40/m*SIN(M40))</f>
        <v>17.5195180209595</v>
      </c>
      <c r="E41" s="419" t="n">
        <f aca="false">IF(AND(L40&lt;L_rampe,Poussee&lt;Poids*SIN(M40)),0,(-W40+Poussee)/m*SIN(M40)+U40/m*COS(M40)-Poids/m)</f>
        <v>88.2336049769143</v>
      </c>
      <c r="F41" s="417" t="n">
        <f aca="false">SQRT(acc_x^2+acc_z^2)</f>
        <v>89.9561146276832</v>
      </c>
      <c r="G41" s="418" t="n">
        <f aca="false">G40+acc_x*pas</f>
        <v>5.65360413182549</v>
      </c>
      <c r="H41" s="419" t="n">
        <f aca="false">H40+acc_z*pas</f>
        <v>31.5408828494947</v>
      </c>
      <c r="I41" s="417" t="n">
        <f aca="false">SQRT(vit_x^2+vit_z^2)</f>
        <v>32.0435723758282</v>
      </c>
      <c r="J41" s="418" t="n">
        <f aca="false">J40+0.5*(vit_x+G40)*pas*(K40&gt;=0)</f>
        <v>0.968703097550777</v>
      </c>
      <c r="K41" s="419" t="n">
        <f aca="false">K40+0.5*(vit_z+H40)*pas</f>
        <v>5.48132251439453</v>
      </c>
      <c r="L41" s="417" t="n">
        <f aca="false">SQRT(pos_x^2+pos_z^2)</f>
        <v>5.56626285743073</v>
      </c>
      <c r="M41" s="418" t="n">
        <f aca="false">IF(AND(L40&gt;L_rampe,G41&gt;0),ATAN2(G41,H41),$M$4)</f>
        <v>1.3934329907818</v>
      </c>
      <c r="N41" s="417" t="n">
        <f aca="false">DEGREES(Beta)</f>
        <v>79.8378294060888</v>
      </c>
      <c r="O41" s="401"/>
      <c r="P41" s="420" t="n">
        <f aca="false">MATCH(t-pas/2-T_ini,CdP_t)</f>
        <v>2</v>
      </c>
      <c r="Q41" s="417" t="n">
        <f aca="false">(INDEX(CdP,2,i_P+1)-INDEX(CdP,2,i_P+0))/(INDEX(CdP,1,i_P+1)-INDEX(CdP,1,i_P+0))*(t-pas/2-T_ini-INDEX(CdP,1,i_P+0))+INDEX(CdP,2,i_P+0)</f>
        <v>826.5</v>
      </c>
      <c r="R41" s="418" t="n">
        <f aca="false">Poussee/(g*ISP)</f>
        <v>0.414781841942897</v>
      </c>
      <c r="S41" s="419" t="n">
        <f aca="false">S40-Débit*pas</f>
        <v>8.26181097043885</v>
      </c>
      <c r="T41" s="417" t="n">
        <f aca="false">m*g</f>
        <v>81.0483656200051</v>
      </c>
      <c r="U41" s="421" t="n">
        <f aca="false">IF(pos_xz&lt;L_rampe,Poids*COS(Beta),0)</f>
        <v>0</v>
      </c>
      <c r="V41" s="418" t="n">
        <f aca="false">Rho_moyen*(20000-Alt_rampe-pos_z)/(20000+Alt_rampe+pos_z)</f>
        <v>1.22432872196656</v>
      </c>
      <c r="W41" s="417" t="n">
        <f aca="false">1/2*Rho*Sref*Cx*vit_xz^2</f>
        <v>3.86558835994746</v>
      </c>
      <c r="X41" s="401"/>
      <c r="Y41" s="422" t="str">
        <f aca="false">IF(AND(pos_z&lt;=0,K40&gt;0),"Impact balistique","") &amp; IF(AND(H42&lt;0,vit_z&gt;=0),"Apogée","") &amp; IF(AND(Poussee=0,Q40&gt;0),"Fin de propulsion","") &amp; IF(AND(L42&gt;L_rampe,pos_xz&lt;=L_rampe),"Sortie de rampe","")</f>
        <v/>
      </c>
      <c r="Z41" s="423" t="str">
        <f aca="false">IF(ABS(t-T_para)&lt;pas/2,"Para","")</f>
        <v/>
      </c>
      <c r="AA41" s="424" t="str">
        <f aca="false">IF(ABS(t-T_satellite)&lt;pas/2,"Satellite","")</f>
        <v/>
      </c>
      <c r="AB41" s="412"/>
      <c r="AC41" s="420" t="e">
        <f aca="false">IF(ABS(t-ROUND(t,0))&lt;0.001,t,NA())</f>
        <v>#N/A</v>
      </c>
      <c r="AD41" s="425" t="e">
        <f aca="false">IF(ABS(t-ROUND(t,0))&lt;0.001,pos_x,NA())</f>
        <v>#N/A</v>
      </c>
      <c r="AE41" s="426" t="n">
        <f aca="false">IF(t&lt;T_para, pos_z, NA())</f>
        <v>5.48132251439453</v>
      </c>
      <c r="AF41" s="412"/>
      <c r="AG41" s="418" t="n">
        <f aca="false">IF(AND(L40&lt;L_rampe,Poussee&lt;Poids*SIN(M40)),0,(-W40+Poussee)/m-Poids*SIN(M40)/m)</f>
        <v>89.9395617843685</v>
      </c>
      <c r="AH41" s="417" t="n">
        <f aca="false">IF(AND(L40&lt;L_rampe,Poussee&lt;Poids*SIN(M40)), g*SIN(M40), (-W40+Poussee)/m)</f>
        <v>99.5965962699325</v>
      </c>
    </row>
    <row r="42" customFormat="false" ht="12" hidden="false" customHeight="false" outlineLevel="0" collapsed="false">
      <c r="A42" s="416" t="n">
        <f aca="false">IF(B41+0.01&lt;=T_ini+ROUNDUP(Temps_fin_propu,0), 0.01, IF(K41&gt;0, 0.1, 0.0001))</f>
        <v>0.01</v>
      </c>
      <c r="B42" s="417" t="n">
        <f aca="false">B41+pas</f>
        <v>0.38</v>
      </c>
      <c r="C42" s="401"/>
      <c r="D42" s="418" t="n">
        <f aca="false">IF(AND(L41&lt;L_rampe,Poussee&lt;Poids*SIN(M41)),0,(-W41+Poussee)/m*COS(M41)-U41/m*SIN(M41))</f>
        <v>17.5314430919197</v>
      </c>
      <c r="E42" s="419" t="n">
        <f aca="false">IF(AND(L41&lt;L_rampe,Poussee&lt;Poids*SIN(M41)),0,(-W41+Poussee)/m*SIN(M41)+U41/m*COS(M41)-Poids/m)</f>
        <v>87.9961392081015</v>
      </c>
      <c r="F42" s="417" t="n">
        <f aca="false">SQRT(acc_x^2+acc_z^2)</f>
        <v>89.7255371252621</v>
      </c>
      <c r="G42" s="418" t="n">
        <f aca="false">G41+acc_x*pas</f>
        <v>5.82891856274469</v>
      </c>
      <c r="H42" s="419" t="n">
        <f aca="false">H41+acc_z*pas</f>
        <v>32.4208442415757</v>
      </c>
      <c r="I42" s="417" t="n">
        <f aca="false">SQRT(vit_x^2+vit_z^2)</f>
        <v>32.9406653385693</v>
      </c>
      <c r="J42" s="418" t="n">
        <f aca="false">J41+0.5*(vit_x+G41)*pas*(K41&gt;=0)</f>
        <v>1.02611571102363</v>
      </c>
      <c r="K42" s="419" t="n">
        <f aca="false">K41+0.5*(vit_z+H41)*pas</f>
        <v>5.80113114984989</v>
      </c>
      <c r="L42" s="417" t="n">
        <f aca="false">SQRT(pos_x^2+pos_z^2)</f>
        <v>5.89118290924396</v>
      </c>
      <c r="M42" s="418" t="n">
        <f aca="false">IF(AND(L41&gt;L_rampe,G42&gt;0),ATAN2(G42,H42),$M$4)</f>
        <v>1.3929075532043</v>
      </c>
      <c r="N42" s="417" t="n">
        <f aca="false">DEGREES(Beta)</f>
        <v>79.8077240505006</v>
      </c>
      <c r="O42" s="401"/>
      <c r="P42" s="420" t="n">
        <f aca="false">MATCH(t-pas/2-T_ini,CdP_t)</f>
        <v>2</v>
      </c>
      <c r="Q42" s="417" t="n">
        <f aca="false">(INDEX(CdP,2,i_P+1)-INDEX(CdP,2,i_P+0))/(INDEX(CdP,1,i_P+1)-INDEX(CdP,1,i_P+0))*(t-pas/2-T_ini-INDEX(CdP,1,i_P+0))+INDEX(CdP,2,i_P+0)</f>
        <v>824.388888888889</v>
      </c>
      <c r="R42" s="418" t="n">
        <f aca="false">Poussee/(g*ISP)</f>
        <v>0.41372237363653</v>
      </c>
      <c r="S42" s="419" t="n">
        <f aca="false">S41-Débit*pas</f>
        <v>8.25767374670249</v>
      </c>
      <c r="T42" s="417" t="n">
        <f aca="false">m*g</f>
        <v>81.0077794551514</v>
      </c>
      <c r="U42" s="421" t="n">
        <f aca="false">IF(pos_xz&lt;L_rampe,Poids*COS(Beta),0)</f>
        <v>0</v>
      </c>
      <c r="V42" s="418" t="n">
        <f aca="false">Rho_moyen*(20000-Alt_rampe-pos_z)/(20000+Alt_rampe+pos_z)</f>
        <v>1.22428956749975</v>
      </c>
      <c r="W42" s="417" t="n">
        <f aca="false">1/2*Rho*Sref*Cx*vit_xz^2</f>
        <v>4.08492977259485</v>
      </c>
      <c r="X42" s="401"/>
      <c r="Y42" s="422" t="str">
        <f aca="false">IF(AND(pos_z&lt;=0,K41&gt;0),"Impact balistique","") &amp; IF(AND(H43&lt;0,vit_z&gt;=0),"Apogée","") &amp; IF(AND(Poussee=0,Q41&gt;0),"Fin de propulsion","") &amp; IF(AND(L43&gt;L_rampe,pos_xz&lt;=L_rampe),"Sortie de rampe","")</f>
        <v/>
      </c>
      <c r="Z42" s="423" t="str">
        <f aca="false">IF(ABS(t-T_para)&lt;pas/2,"Para","")</f>
        <v/>
      </c>
      <c r="AA42" s="424" t="str">
        <f aca="false">IF(ABS(t-T_satellite)&lt;pas/2,"Satellite","")</f>
        <v/>
      </c>
      <c r="AB42" s="412"/>
      <c r="AC42" s="420" t="e">
        <f aca="false">IF(ABS(t-ROUND(t,0))&lt;0.001,t,NA())</f>
        <v>#N/A</v>
      </c>
      <c r="AD42" s="425" t="e">
        <f aca="false">IF(ABS(t-ROUND(t,0))&lt;0.001,pos_x,NA())</f>
        <v>#N/A</v>
      </c>
      <c r="AE42" s="426" t="n">
        <f aca="false">IF(t&lt;T_para, pos_z, NA())</f>
        <v>5.80113114984989</v>
      </c>
      <c r="AF42" s="412"/>
      <c r="AG42" s="418" t="n">
        <f aca="false">IF(AND(L41&lt;L_rampe,Poussee&lt;Poids*SIN(M41)),0,(-W41+Poussee)/m-Poids*SIN(M41)/m)</f>
        <v>89.7088415535191</v>
      </c>
      <c r="AH42" s="417" t="n">
        <f aca="false">IF(AND(L41&lt;L_rampe,Poussee&lt;Poids*SIN(M41)), g*SIN(M41), (-W41+Poussee)/m)</f>
        <v>99.364945346333</v>
      </c>
    </row>
    <row r="43" customFormat="false" ht="12" hidden="false" customHeight="false" outlineLevel="0" collapsed="false">
      <c r="A43" s="416" t="n">
        <f aca="false">IF(B42+0.01&lt;=T_ini+ROUNDUP(Temps_fin_propu,0), 0.01, IF(K42&gt;0, 0.1, 0.0001))</f>
        <v>0.01</v>
      </c>
      <c r="B43" s="417" t="n">
        <f aca="false">B42+pas</f>
        <v>0.39</v>
      </c>
      <c r="C43" s="401"/>
      <c r="D43" s="418" t="n">
        <f aca="false">IF(AND(L42&lt;L_rampe,Poussee&lt;Poids*SIN(M42)),0,(-W42+Poussee)/m*COS(M42)-U42/m*SIN(M42))</f>
        <v>17.5416590231075</v>
      </c>
      <c r="E43" s="419" t="n">
        <f aca="false">IF(AND(L42&lt;L_rampe,Poussee&lt;Poids*SIN(M42)),0,(-W42+Poussee)/m*SIN(M42)+U42/m*COS(M42)-Poids/m)</f>
        <v>87.7579088333674</v>
      </c>
      <c r="F43" s="417" t="n">
        <f aca="false">SQRT(acc_x^2+acc_z^2)</f>
        <v>89.4939124415097</v>
      </c>
      <c r="G43" s="418" t="n">
        <f aca="false">G42+acc_x*pas</f>
        <v>6.00433515297577</v>
      </c>
      <c r="H43" s="419" t="n">
        <f aca="false">H42+acc_z*pas</f>
        <v>33.2984233299094</v>
      </c>
      <c r="I43" s="417" t="n">
        <f aca="false">SQRT(vit_x^2+vit_z^2)</f>
        <v>33.8354405451904</v>
      </c>
      <c r="J43" s="418" t="n">
        <f aca="false">J42+0.5*(vit_x+G42)*pas*(K42&gt;=0)</f>
        <v>1.08528197960223</v>
      </c>
      <c r="K43" s="419" t="n">
        <f aca="false">K42+0.5*(vit_z+H42)*pas</f>
        <v>6.12972748770731</v>
      </c>
      <c r="L43" s="417" t="n">
        <f aca="false">SQRT(pos_x^2+pos_z^2)</f>
        <v>6.22506193132276</v>
      </c>
      <c r="M43" s="418" t="n">
        <f aca="false">IF(AND(L42&gt;L_rampe,G43&gt;0),ATAN2(G43,H43),$M$4)</f>
        <v>1.39239451133198</v>
      </c>
      <c r="N43" s="417" t="n">
        <f aca="false">DEGREES(Beta)</f>
        <v>79.7783289165032</v>
      </c>
      <c r="O43" s="401"/>
      <c r="P43" s="420" t="n">
        <f aca="false">MATCH(t-pas/2-T_ini,CdP_t)</f>
        <v>2</v>
      </c>
      <c r="Q43" s="417" t="n">
        <f aca="false">(INDEX(CdP,2,i_P+1)-INDEX(CdP,2,i_P+0))/(INDEX(CdP,1,i_P+1)-INDEX(CdP,1,i_P+0))*(t-pas/2-T_ini-INDEX(CdP,1,i_P+0))+INDEX(CdP,2,i_P+0)</f>
        <v>822.277777777778</v>
      </c>
      <c r="R43" s="418" t="n">
        <f aca="false">Poussee/(g*ISP)</f>
        <v>0.412662905330162</v>
      </c>
      <c r="S43" s="419" t="n">
        <f aca="false">S42-Débit*pas</f>
        <v>8.25354711764919</v>
      </c>
      <c r="T43" s="417" t="n">
        <f aca="false">m*g</f>
        <v>80.9672972241385</v>
      </c>
      <c r="U43" s="421" t="n">
        <f aca="false">IF(pos_xz&lt;L_rampe,Poids*COS(Beta),0)</f>
        <v>0</v>
      </c>
      <c r="V43" s="418" t="n">
        <f aca="false">Rho_moyen*(20000-Alt_rampe-pos_z)/(20000+Alt_rampe+pos_z)</f>
        <v>1.22424933845029</v>
      </c>
      <c r="W43" s="417" t="n">
        <f aca="false">1/2*Rho*Sref*Cx*vit_xz^2</f>
        <v>4.30972204321561</v>
      </c>
      <c r="X43" s="401"/>
      <c r="Y43" s="422" t="str">
        <f aca="false">IF(AND(pos_z&lt;=0,K42&gt;0),"Impact balistique","") &amp; IF(AND(H44&lt;0,vit_z&gt;=0),"Apogée","") &amp; IF(AND(Poussee=0,Q42&gt;0),"Fin de propulsion","") &amp; IF(AND(L44&gt;L_rampe,pos_xz&lt;=L_rampe),"Sortie de rampe","")</f>
        <v/>
      </c>
      <c r="Z43" s="423" t="str">
        <f aca="false">IF(ABS(t-T_para)&lt;pas/2,"Para","")</f>
        <v/>
      </c>
      <c r="AA43" s="424" t="str">
        <f aca="false">IF(ABS(t-T_satellite)&lt;pas/2,"Satellite","")</f>
        <v/>
      </c>
      <c r="AB43" s="412"/>
      <c r="AC43" s="420" t="e">
        <f aca="false">IF(ABS(t-ROUND(t,0))&lt;0.001,t,NA())</f>
        <v>#N/A</v>
      </c>
      <c r="AD43" s="425" t="e">
        <f aca="false">IF(ABS(t-ROUND(t,0))&lt;0.001,pos_x,NA())</f>
        <v>#N/A</v>
      </c>
      <c r="AE43" s="426" t="n">
        <f aca="false">IF(t&lt;T_para, pos_z, NA())</f>
        <v>6.12972748770731</v>
      </c>
      <c r="AF43" s="412"/>
      <c r="AG43" s="418" t="n">
        <f aca="false">IF(AND(L42&lt;L_rampe,Poussee&lt;Poids*SIN(M42)),0,(-W42+Poussee)/m-Poids*SIN(M42)/m)</f>
        <v>89.477075367481</v>
      </c>
      <c r="AH43" s="417" t="n">
        <f aca="false">IF(AND(L42&lt;L_rampe,Poussee&lt;Poids*SIN(M42)), g*SIN(M42), (-W42+Poussee)/m)</f>
        <v>99.1322683862287</v>
      </c>
    </row>
    <row r="44" customFormat="false" ht="12" hidden="false" customHeight="false" outlineLevel="0" collapsed="false">
      <c r="A44" s="416" t="n">
        <f aca="false">IF(B43+0.01&lt;=T_ini+ROUNDUP(Temps_fin_propu,0), 0.01, IF(K43&gt;0, 0.1, 0.0001))</f>
        <v>0.01</v>
      </c>
      <c r="B44" s="417" t="n">
        <f aca="false">B43+pas</f>
        <v>0.4</v>
      </c>
      <c r="C44" s="401"/>
      <c r="D44" s="418" t="n">
        <f aca="false">IF(AND(L43&lt;L_rampe,Poussee&lt;Poids*SIN(M43)),0,(-W43+Poussee)/m*COS(M43)-U43/m*SIN(M43))</f>
        <v>17.5502418790213</v>
      </c>
      <c r="E44" s="419" t="n">
        <f aca="false">IF(AND(L43&lt;L_rampe,Poussee&lt;Poids*SIN(M43)),0,(-W43+Poussee)/m*SIN(M43)+U43/m*COS(M43)-Poids/m)</f>
        <v>87.5189079874777</v>
      </c>
      <c r="F44" s="417" t="n">
        <f aca="false">SQRT(acc_x^2+acc_z^2)</f>
        <v>89.2612471643364</v>
      </c>
      <c r="G44" s="418" t="n">
        <f aca="false">G43+acc_x*pas</f>
        <v>6.17983757176598</v>
      </c>
      <c r="H44" s="419" t="n">
        <f aca="false">H43+acc_z*pas</f>
        <v>34.1736124097841</v>
      </c>
      <c r="I44" s="417" t="n">
        <f aca="false">SQRT(vit_x^2+vit_z^2)</f>
        <v>34.7278876056054</v>
      </c>
      <c r="J44" s="418" t="n">
        <f aca="false">J43+0.5*(vit_x+G43)*pas*(K43&gt;=0)</f>
        <v>1.14620284322594</v>
      </c>
      <c r="K44" s="419" t="n">
        <f aca="false">K43+0.5*(vit_z+H43)*pas</f>
        <v>6.46708766640578</v>
      </c>
      <c r="L44" s="417" t="n">
        <f aca="false">SQRT(pos_x^2+pos_z^2)</f>
        <v>6.56787666166143</v>
      </c>
      <c r="M44" s="418" t="n">
        <f aca="false">IF(AND(L43&gt;L_rampe,G44&gt;0),ATAN2(G44,H44),$M$4)</f>
        <v>1.39189322744079</v>
      </c>
      <c r="N44" s="417" t="n">
        <f aca="false">DEGREES(Beta)</f>
        <v>79.7496074651998</v>
      </c>
      <c r="O44" s="401"/>
      <c r="P44" s="420" t="n">
        <f aca="false">MATCH(t-pas/2-T_ini,CdP_t)</f>
        <v>2</v>
      </c>
      <c r="Q44" s="417" t="n">
        <f aca="false">(INDEX(CdP,2,i_P+1)-INDEX(CdP,2,i_P+0))/(INDEX(CdP,1,i_P+1)-INDEX(CdP,1,i_P+0))*(t-pas/2-T_ini-INDEX(CdP,1,i_P+0))+INDEX(CdP,2,i_P+0)</f>
        <v>820.166666666667</v>
      </c>
      <c r="R44" s="418" t="n">
        <f aca="false">Poussee/(g*ISP)</f>
        <v>0.411603437023795</v>
      </c>
      <c r="S44" s="419" t="n">
        <f aca="false">S43-Débit*pas</f>
        <v>8.24943108327895</v>
      </c>
      <c r="T44" s="417" t="n">
        <f aca="false">m*g</f>
        <v>80.9269189269665</v>
      </c>
      <c r="U44" s="421" t="n">
        <f aca="false">IF(pos_xz&lt;L_rampe,Poids*COS(Beta),0)</f>
        <v>0</v>
      </c>
      <c r="V44" s="418" t="n">
        <f aca="false">Rho_moyen*(20000-Alt_rampe-pos_z)/(20000+Alt_rampe+pos_z)</f>
        <v>1.2242080378453</v>
      </c>
      <c r="W44" s="417" t="n">
        <f aca="false">1/2*Rho*Sref*Cx*vit_xz^2</f>
        <v>4.53991449433655</v>
      </c>
      <c r="X44" s="401"/>
      <c r="Y44" s="422" t="str">
        <f aca="false">IF(AND(pos_z&lt;=0,K43&gt;0),"Impact balistique","") &amp; IF(AND(H45&lt;0,vit_z&gt;=0),"Apogée","") &amp; IF(AND(Poussee=0,Q43&gt;0),"Fin de propulsion","") &amp; IF(AND(L45&gt;L_rampe,pos_xz&lt;=L_rampe),"Sortie de rampe","")</f>
        <v/>
      </c>
      <c r="Z44" s="423" t="str">
        <f aca="false">IF(ABS(t-T_para)&lt;pas/2,"Para","")</f>
        <v/>
      </c>
      <c r="AA44" s="424" t="str">
        <f aca="false">IF(ABS(t-T_satellite)&lt;pas/2,"Satellite","")</f>
        <v/>
      </c>
      <c r="AB44" s="412"/>
      <c r="AC44" s="420" t="e">
        <f aca="false">IF(ABS(t-ROUND(t,0))&lt;0.001,t,NA())</f>
        <v>#N/A</v>
      </c>
      <c r="AD44" s="425" t="e">
        <f aca="false">IF(ABS(t-ROUND(t,0))&lt;0.001,pos_x,NA())</f>
        <v>#N/A</v>
      </c>
      <c r="AE44" s="426" t="n">
        <f aca="false">IF(t&lt;T_para, pos_z, NA())</f>
        <v>6.46708766640578</v>
      </c>
      <c r="AF44" s="412"/>
      <c r="AG44" s="418" t="n">
        <f aca="false">IF(AND(L43&lt;L_rampe,Poussee&lt;Poids*SIN(M43)),0,(-W43+Poussee)/m-Poids*SIN(M43)/m)</f>
        <v>89.2442697107157</v>
      </c>
      <c r="AH44" s="417" t="n">
        <f aca="false">IF(AND(L43&lt;L_rampe,Poussee&lt;Poids*SIN(M43)), g*SIN(M43), (-W43+Poussee)/m)</f>
        <v>98.8985708695887</v>
      </c>
    </row>
    <row r="45" customFormat="false" ht="12" hidden="false" customHeight="false" outlineLevel="0" collapsed="false">
      <c r="A45" s="416" t="n">
        <f aca="false">IF(B44+0.01&lt;=T_ini+ROUNDUP(Temps_fin_propu,0), 0.01, IF(K44&gt;0, 0.1, 0.0001))</f>
        <v>0.01</v>
      </c>
      <c r="B45" s="417" t="n">
        <f aca="false">B44+pas</f>
        <v>0.41</v>
      </c>
      <c r="C45" s="401"/>
      <c r="D45" s="418" t="n">
        <f aca="false">IF(AND(L44&lt;L_rampe,Poussee&lt;Poids*SIN(M44)),0,(-W44+Poussee)/m*COS(M44)-U44/m*SIN(M44))</f>
        <v>17.5572619191686</v>
      </c>
      <c r="E45" s="419" t="n">
        <f aca="false">IF(AND(L44&lt;L_rampe,Poussee&lt;Poids*SIN(M44)),0,(-W44+Poussee)/m*SIN(M44)+U44/m*COS(M44)-Poids/m)</f>
        <v>87.2791316859117</v>
      </c>
      <c r="F45" s="417" t="n">
        <f aca="false">SQRT(acc_x^2+acc_z^2)</f>
        <v>89.0275478374251</v>
      </c>
      <c r="G45" s="418" t="n">
        <f aca="false">G44+acc_x*pas</f>
        <v>6.35541019095767</v>
      </c>
      <c r="H45" s="419" t="n">
        <f aca="false">H44+acc_z*pas</f>
        <v>35.0464037266432</v>
      </c>
      <c r="I45" s="417" t="n">
        <f aca="false">SQRT(vit_x^2+vit_z^2)</f>
        <v>35.6179961938653</v>
      </c>
      <c r="J45" s="418" t="n">
        <f aca="false">J44+0.5*(vit_x+G44)*pas*(K44&gt;=0)</f>
        <v>1.20887908203956</v>
      </c>
      <c r="K45" s="419" t="n">
        <f aca="false">K44+0.5*(vit_z+H44)*pas</f>
        <v>6.81318774708791</v>
      </c>
      <c r="L45" s="417" t="n">
        <f aca="false">SQRT(pos_x^2+pos_z^2)</f>
        <v>6.91960373952596</v>
      </c>
      <c r="M45" s="418" t="n">
        <f aca="false">IF(AND(L44&gt;L_rampe,G45&gt;0),ATAN2(G45,H45),$M$4)</f>
        <v>1.39140311216945</v>
      </c>
      <c r="N45" s="417" t="n">
        <f aca="false">DEGREES(Beta)</f>
        <v>79.7215259286774</v>
      </c>
      <c r="O45" s="401"/>
      <c r="P45" s="420" t="n">
        <f aca="false">MATCH(t-pas/2-T_ini,CdP_t)</f>
        <v>2</v>
      </c>
      <c r="Q45" s="417" t="n">
        <f aca="false">(INDEX(CdP,2,i_P+1)-INDEX(CdP,2,i_P+0))/(INDEX(CdP,1,i_P+1)-INDEX(CdP,1,i_P+0))*(t-pas/2-T_ini-INDEX(CdP,1,i_P+0))+INDEX(CdP,2,i_P+0)</f>
        <v>818.055555555556</v>
      </c>
      <c r="R45" s="418" t="n">
        <f aca="false">Poussee/(g*ISP)</f>
        <v>0.410543968717427</v>
      </c>
      <c r="S45" s="419" t="n">
        <f aca="false">S44-Débit*pas</f>
        <v>8.24532564359177</v>
      </c>
      <c r="T45" s="417" t="n">
        <f aca="false">m*g</f>
        <v>80.8866445636353</v>
      </c>
      <c r="U45" s="421" t="n">
        <f aca="false">IF(pos_xz&lt;L_rampe,Poids*COS(Beta),0)</f>
        <v>0</v>
      </c>
      <c r="V45" s="418" t="n">
        <f aca="false">Rho_moyen*(20000-Alt_rampe-pos_z)/(20000+Alt_rampe+pos_z)</f>
        <v>1.22416566872376</v>
      </c>
      <c r="W45" s="417" t="n">
        <f aca="false">1/2*Rho*Sref*Cx*vit_xz^2</f>
        <v>4.77545628894352</v>
      </c>
      <c r="X45" s="401"/>
      <c r="Y45" s="422" t="str">
        <f aca="false">IF(AND(pos_z&lt;=0,K44&gt;0),"Impact balistique","") &amp; IF(AND(H46&lt;0,vit_z&gt;=0),"Apogée","") &amp; IF(AND(Poussee=0,Q44&gt;0),"Fin de propulsion","") &amp; IF(AND(L46&gt;L_rampe,pos_xz&lt;=L_rampe),"Sortie de rampe","")</f>
        <v/>
      </c>
      <c r="Z45" s="423" t="str">
        <f aca="false">IF(ABS(t-T_para)&lt;pas/2,"Para","")</f>
        <v/>
      </c>
      <c r="AA45" s="424" t="str">
        <f aca="false">IF(ABS(t-T_satellite)&lt;pas/2,"Satellite","")</f>
        <v/>
      </c>
      <c r="AB45" s="412"/>
      <c r="AC45" s="420" t="e">
        <f aca="false">IF(ABS(t-ROUND(t,0))&lt;0.001,t,NA())</f>
        <v>#N/A</v>
      </c>
      <c r="AD45" s="425" t="e">
        <f aca="false">IF(ABS(t-ROUND(t,0))&lt;0.001,pos_x,NA())</f>
        <v>#N/A</v>
      </c>
      <c r="AE45" s="426" t="n">
        <f aca="false">IF(t&lt;T_para, pos_z, NA())</f>
        <v>6.81318774708791</v>
      </c>
      <c r="AF45" s="412"/>
      <c r="AG45" s="418" t="n">
        <f aca="false">IF(AND(L44&lt;L_rampe,Poussee&lt;Poids*SIN(M44)),0,(-W44+Poussee)/m-Poids*SIN(M44)/m)</f>
        <v>89.0104310307469</v>
      </c>
      <c r="AH45" s="417" t="n">
        <f aca="false">IF(AND(L44&lt;L_rampe,Poussee&lt;Poids*SIN(M44)), g*SIN(M44), (-W44+Poussee)/m)</f>
        <v>98.6638583151024</v>
      </c>
    </row>
    <row r="46" customFormat="false" ht="12" hidden="false" customHeight="false" outlineLevel="0" collapsed="false">
      <c r="A46" s="416" t="n">
        <f aca="false">IF(B45+0.01&lt;=T_ini+ROUNDUP(Temps_fin_propu,0), 0.01, IF(K45&gt;0, 0.1, 0.0001))</f>
        <v>0.01</v>
      </c>
      <c r="B46" s="417" t="n">
        <f aca="false">B45+pas</f>
        <v>0.42</v>
      </c>
      <c r="C46" s="401"/>
      <c r="D46" s="418" t="n">
        <f aca="false">IF(AND(L45&lt;L_rampe,Poussee&lt;Poids*SIN(M45)),0,(-W45+Poussee)/m*COS(M45)-U45/m*SIN(M45))</f>
        <v>17.5627841887537</v>
      </c>
      <c r="E46" s="419" t="n">
        <f aca="false">IF(AND(L45&lt;L_rampe,Poussee&lt;Poids*SIN(M45)),0,(-W45+Poussee)/m*SIN(M45)+U45/m*COS(M45)-Poids/m)</f>
        <v>87.0385757408243</v>
      </c>
      <c r="F46" s="417" t="n">
        <f aca="false">SQRT(acc_x^2+acc_z^2)</f>
        <v>88.7928209679811</v>
      </c>
      <c r="G46" s="418" t="n">
        <f aca="false">G45+acc_x*pas</f>
        <v>6.5310380328452</v>
      </c>
      <c r="H46" s="419" t="n">
        <f aca="false">H45+acc_z*pas</f>
        <v>35.9167894840515</v>
      </c>
      <c r="I46" s="417" t="n">
        <f aca="false">SQRT(vit_x^2+vit_z^2)</f>
        <v>36.5057560478912</v>
      </c>
      <c r="J46" s="418" t="n">
        <f aca="false">J45+0.5*(vit_x+G45)*pas*(K45&gt;=0)</f>
        <v>1.27331132315857</v>
      </c>
      <c r="K46" s="419" t="n">
        <f aca="false">K45+0.5*(vit_z+H45)*pas</f>
        <v>7.16800371314139</v>
      </c>
      <c r="L46" s="417" t="n">
        <f aca="false">SQRT(pos_x^2+pos_z^2)</f>
        <v>7.28021970528998</v>
      </c>
      <c r="M46" s="418" t="n">
        <f aca="false">IF(AND(L45&gt;L_rampe,G46&gt;0),ATAN2(G46,H46),$M$4)</f>
        <v>1.39092361971241</v>
      </c>
      <c r="N46" s="417" t="n">
        <f aca="false">DEGREES(Beta)</f>
        <v>79.6940530345806</v>
      </c>
      <c r="O46" s="401"/>
      <c r="P46" s="420" t="n">
        <f aca="false">MATCH(t-pas/2-T_ini,CdP_t)</f>
        <v>2</v>
      </c>
      <c r="Q46" s="417" t="n">
        <f aca="false">(INDEX(CdP,2,i_P+1)-INDEX(CdP,2,i_P+0))/(INDEX(CdP,1,i_P+1)-INDEX(CdP,1,i_P+0))*(t-pas/2-T_ini-INDEX(CdP,1,i_P+0))+INDEX(CdP,2,i_P+0)</f>
        <v>815.944444444444</v>
      </c>
      <c r="R46" s="418" t="n">
        <f aca="false">Poussee/(g*ISP)</f>
        <v>0.409484500411059</v>
      </c>
      <c r="S46" s="419" t="n">
        <f aca="false">S45-Débit*pas</f>
        <v>8.24123079858766</v>
      </c>
      <c r="T46" s="417" t="n">
        <f aca="false">m*g</f>
        <v>80.846474134145</v>
      </c>
      <c r="U46" s="421" t="n">
        <f aca="false">IF(pos_xz&lt;L_rampe,Poids*COS(Beta),0)</f>
        <v>0</v>
      </c>
      <c r="V46" s="418" t="n">
        <f aca="false">Rho_moyen*(20000-Alt_rampe-pos_z)/(20000+Alt_rampe+pos_z)</f>
        <v>1.22412223413659</v>
      </c>
      <c r="W46" s="417" t="n">
        <f aca="false">1/2*Rho*Sref*Cx*vit_xz^2</f>
        <v>5.01629643497966</v>
      </c>
      <c r="X46" s="401"/>
      <c r="Y46" s="422" t="str">
        <f aca="false">IF(AND(pos_z&lt;=0,K45&gt;0),"Impact balistique","") &amp; IF(AND(H47&lt;0,vit_z&gt;=0),"Apogée","") &amp; IF(AND(Poussee=0,Q45&gt;0),"Fin de propulsion","") &amp; IF(AND(L47&gt;L_rampe,pos_xz&lt;=L_rampe),"Sortie de rampe","")</f>
        <v/>
      </c>
      <c r="Z46" s="423" t="str">
        <f aca="false">IF(ABS(t-T_para)&lt;pas/2,"Para","")</f>
        <v/>
      </c>
      <c r="AA46" s="424" t="str">
        <f aca="false">IF(ABS(t-T_satellite)&lt;pas/2,"Satellite","")</f>
        <v/>
      </c>
      <c r="AB46" s="412"/>
      <c r="AC46" s="420" t="e">
        <f aca="false">IF(ABS(t-ROUND(t,0))&lt;0.001,t,NA())</f>
        <v>#N/A</v>
      </c>
      <c r="AD46" s="425" t="e">
        <f aca="false">IF(ABS(t-ROUND(t,0))&lt;0.001,pos_x,NA())</f>
        <v>#N/A</v>
      </c>
      <c r="AE46" s="426" t="n">
        <f aca="false">IF(t&lt;T_para, pos_z, NA())</f>
        <v>7.16800371314139</v>
      </c>
      <c r="AF46" s="412"/>
      <c r="AG46" s="418" t="n">
        <f aca="false">IF(AND(L45&lt;L_rampe,Poussee&lt;Poids*SIN(M45)),0,(-W45+Poussee)/m-Poids*SIN(M45)/m)</f>
        <v>88.7755657451711</v>
      </c>
      <c r="AH46" s="417" t="n">
        <f aca="false">IF(AND(L45&lt;L_rampe,Poussee&lt;Poids*SIN(M45)), g*SIN(M45), (-W45+Poussee)/m)</f>
        <v>98.428136279658</v>
      </c>
    </row>
    <row r="47" customFormat="false" ht="12" hidden="false" customHeight="false" outlineLevel="0" collapsed="false">
      <c r="A47" s="416" t="n">
        <f aca="false">IF(B46+0.01&lt;=T_ini+ROUNDUP(Temps_fin_propu,0), 0.01, IF(K46&gt;0, 0.1, 0.0001))</f>
        <v>0.01</v>
      </c>
      <c r="B47" s="417" t="n">
        <f aca="false">B46+pas</f>
        <v>0.43</v>
      </c>
      <c r="C47" s="401"/>
      <c r="D47" s="418" t="n">
        <f aca="false">IF(AND(L46&lt;L_rampe,Poussee&lt;Poids*SIN(M46)),0,(-W46+Poussee)/m*COS(M46)-U46/m*SIN(M46))</f>
        <v>17.5668690357855</v>
      </c>
      <c r="E47" s="419" t="n">
        <f aca="false">IF(AND(L46&lt;L_rampe,Poussee&lt;Poids*SIN(M46)),0,(-W46+Poussee)/m*SIN(M46)+U46/m*COS(M46)-Poids/m)</f>
        <v>86.7972366872043</v>
      </c>
      <c r="F47" s="417" t="n">
        <f aca="false">SQRT(acc_x^2+acc_z^2)</f>
        <v>88.557073033468</v>
      </c>
      <c r="G47" s="418" t="n">
        <f aca="false">G46+acc_x*pas</f>
        <v>6.70670672320306</v>
      </c>
      <c r="H47" s="419" t="n">
        <f aca="false">H46+acc_z*pas</f>
        <v>36.7847618509235</v>
      </c>
      <c r="I47" s="417" t="n">
        <f aca="false">SQRT(vit_x^2+vit_z^2)</f>
        <v>37.391156969265</v>
      </c>
      <c r="J47" s="418" t="n">
        <f aca="false">J46+0.5*(vit_x+G46)*pas*(K46&gt;=0)</f>
        <v>1.33950004693881</v>
      </c>
      <c r="K47" s="419" t="n">
        <f aca="false">K46+0.5*(vit_z+H46)*pas</f>
        <v>7.53151146981626</v>
      </c>
      <c r="L47" s="417" t="n">
        <f aca="false">SQRT(pos_x^2+pos_z^2)</f>
        <v>7.64970100041322</v>
      </c>
      <c r="M47" s="418" t="n">
        <f aca="false">IF(AND(L46&gt;L_rampe,G47&gt;0),ATAN2(G47,H47),$M$4)</f>
        <v>1.39045424359802</v>
      </c>
      <c r="N47" s="417" t="n">
        <f aca="false">DEGREES(Beta)</f>
        <v>79.6671597642216</v>
      </c>
      <c r="O47" s="401"/>
      <c r="P47" s="420" t="n">
        <f aca="false">MATCH(t-pas/2-T_ini,CdP_t)</f>
        <v>2</v>
      </c>
      <c r="Q47" s="417" t="n">
        <f aca="false">(INDEX(CdP,2,i_P+1)-INDEX(CdP,2,i_P+0))/(INDEX(CdP,1,i_P+1)-INDEX(CdP,1,i_P+0))*(t-pas/2-T_ini-INDEX(CdP,1,i_P+0))+INDEX(CdP,2,i_P+0)</f>
        <v>813.833333333333</v>
      </c>
      <c r="R47" s="418" t="n">
        <f aca="false">Poussee/(g*ISP)</f>
        <v>0.408425032104692</v>
      </c>
      <c r="S47" s="419" t="n">
        <f aca="false">S46-Débit*pas</f>
        <v>8.23714654826662</v>
      </c>
      <c r="T47" s="417" t="n">
        <f aca="false">m*g</f>
        <v>80.8064076384955</v>
      </c>
      <c r="U47" s="421" t="n">
        <f aca="false">IF(pos_xz&lt;L_rampe,Poids*COS(Beta),0)</f>
        <v>0</v>
      </c>
      <c r="V47" s="418" t="n">
        <f aca="false">Rho_moyen*(20000-Alt_rampe-pos_z)/(20000+Alt_rampe+pos_z)</f>
        <v>1.22407773714661</v>
      </c>
      <c r="W47" s="417" t="n">
        <f aca="false">1/2*Rho*Sref*Cx*vit_xz^2</f>
        <v>5.26238378983936</v>
      </c>
      <c r="X47" s="401"/>
      <c r="Y47" s="422" t="str">
        <f aca="false">IF(AND(pos_z&lt;=0,K46&gt;0),"Impact balistique","") &amp; IF(AND(H48&lt;0,vit_z&gt;=0),"Apogée","") &amp; IF(AND(Poussee=0,Q46&gt;0),"Fin de propulsion","") &amp; IF(AND(L48&gt;L_rampe,pos_xz&lt;=L_rampe),"Sortie de rampe","")</f>
        <v/>
      </c>
      <c r="Z47" s="423" t="str">
        <f aca="false">IF(ABS(t-T_para)&lt;pas/2,"Para","")</f>
        <v/>
      </c>
      <c r="AA47" s="424" t="str">
        <f aca="false">IF(ABS(t-T_satellite)&lt;pas/2,"Satellite","")</f>
        <v/>
      </c>
      <c r="AB47" s="412"/>
      <c r="AC47" s="420" t="e">
        <f aca="false">IF(ABS(t-ROUND(t,0))&lt;0.001,t,NA())</f>
        <v>#N/A</v>
      </c>
      <c r="AD47" s="425" t="e">
        <f aca="false">IF(ABS(t-ROUND(t,0))&lt;0.001,pos_x,NA())</f>
        <v>#N/A</v>
      </c>
      <c r="AE47" s="426" t="n">
        <f aca="false">IF(t&lt;T_para, pos_z, NA())</f>
        <v>7.53151146981626</v>
      </c>
      <c r="AF47" s="412"/>
      <c r="AG47" s="418" t="n">
        <f aca="false">IF(AND(L46&lt;L_rampe,Poussee&lt;Poids*SIN(M46)),0,(-W46+Poussee)/m-Poids*SIN(M46)/m)</f>
        <v>88.539680247744</v>
      </c>
      <c r="AH47" s="417" t="n">
        <f aca="false">IF(AND(L46&lt;L_rampe,Poussee&lt;Poids*SIN(M46)), g*SIN(M46), (-W46+Poussee)/m)</f>
        <v>98.1914103578207</v>
      </c>
    </row>
    <row r="48" customFormat="false" ht="12" hidden="false" customHeight="false" outlineLevel="0" collapsed="false">
      <c r="A48" s="416" t="n">
        <f aca="false">IF(B47+0.01&lt;=T_ini+ROUNDUP(Temps_fin_propu,0), 0.01, IF(K47&gt;0, 0.1, 0.0001))</f>
        <v>0.01</v>
      </c>
      <c r="B48" s="417" t="n">
        <f aca="false">B47+pas</f>
        <v>0.44</v>
      </c>
      <c r="C48" s="401"/>
      <c r="D48" s="418" t="n">
        <f aca="false">IF(AND(L47&lt;L_rampe,Poussee&lt;Poids*SIN(M47)),0,(-W47+Poussee)/m*COS(M47)-U47/m*SIN(M47))</f>
        <v>17.5695725653717</v>
      </c>
      <c r="E48" s="419" t="n">
        <f aca="false">IF(AND(L47&lt;L_rampe,Poussee&lt;Poids*SIN(M47)),0,(-W47+Poussee)/m*SIN(M47)+U47/m*COS(M47)-Poids/m)</f>
        <v>86.5551117177602</v>
      </c>
      <c r="F48" s="417" t="n">
        <f aca="false">SQRT(acc_x^2+acc_z^2)</f>
        <v>88.320310487474</v>
      </c>
      <c r="G48" s="418" t="n">
        <f aca="false">G47+acc_x*pas</f>
        <v>6.88240244885677</v>
      </c>
      <c r="H48" s="419" t="n">
        <f aca="false">H47+acc_z*pas</f>
        <v>37.6503129681011</v>
      </c>
      <c r="I48" s="417" t="n">
        <f aca="false">SQRT(vit_x^2+vit_z^2)</f>
        <v>38.2741888230697</v>
      </c>
      <c r="J48" s="418" t="n">
        <f aca="false">J47+0.5*(vit_x+G47)*pas*(K47&gt;=0)</f>
        <v>1.40744559279911</v>
      </c>
      <c r="K48" s="419" t="n">
        <f aca="false">K47+0.5*(vit_z+H47)*pas</f>
        <v>7.90368684391139</v>
      </c>
      <c r="L48" s="417" t="n">
        <f aca="false">SQRT(pos_x^2+pos_z^2)</f>
        <v>8.02802396753445</v>
      </c>
      <c r="M48" s="418" t="n">
        <f aca="false">IF(AND(L47&gt;L_rampe,G48&gt;0),ATAN2(G48,H48),$M$4)</f>
        <v>1.38999451296836</v>
      </c>
      <c r="N48" s="417" t="n">
        <f aca="false">DEGREES(Beta)</f>
        <v>79.6408191394296</v>
      </c>
      <c r="O48" s="401"/>
      <c r="P48" s="420" t="n">
        <f aca="false">MATCH(t-pas/2-T_ini,CdP_t)</f>
        <v>2</v>
      </c>
      <c r="Q48" s="417" t="n">
        <f aca="false">(INDEX(CdP,2,i_P+1)-INDEX(CdP,2,i_P+0))/(INDEX(CdP,1,i_P+1)-INDEX(CdP,1,i_P+0))*(t-pas/2-T_ini-INDEX(CdP,1,i_P+0))+INDEX(CdP,2,i_P+0)</f>
        <v>811.722222222222</v>
      </c>
      <c r="R48" s="418" t="n">
        <f aca="false">Poussee/(g*ISP)</f>
        <v>0.407365563798324</v>
      </c>
      <c r="S48" s="419" t="n">
        <f aca="false">S47-Débit*pas</f>
        <v>8.23307289262863</v>
      </c>
      <c r="T48" s="417" t="n">
        <f aca="false">m*g</f>
        <v>80.7664450766869</v>
      </c>
      <c r="U48" s="421" t="n">
        <f aca="false">IF(pos_xz&lt;L_rampe,Poids*COS(Beta),0)</f>
        <v>0</v>
      </c>
      <c r="V48" s="418" t="n">
        <f aca="false">Rho_moyen*(20000-Alt_rampe-pos_z)/(20000+Alt_rampe+pos_z)</f>
        <v>1.2240321808286</v>
      </c>
      <c r="W48" s="417" t="n">
        <f aca="false">1/2*Rho*Sref*Cx*vit_xz^2</f>
        <v>5.51366706485828</v>
      </c>
      <c r="X48" s="401"/>
      <c r="Y48" s="422" t="str">
        <f aca="false">IF(AND(pos_z&lt;=0,K47&gt;0),"Impact balistique","") &amp; IF(AND(H49&lt;0,vit_z&gt;=0),"Apogée","") &amp; IF(AND(Poussee=0,Q47&gt;0),"Fin de propulsion","") &amp; IF(AND(L49&gt;L_rampe,pos_xz&lt;=L_rampe),"Sortie de rampe","")</f>
        <v/>
      </c>
      <c r="Z48" s="423" t="str">
        <f aca="false">IF(ABS(t-T_para)&lt;pas/2,"Para","")</f>
        <v/>
      </c>
      <c r="AA48" s="424" t="str">
        <f aca="false">IF(ABS(t-T_satellite)&lt;pas/2,"Satellite","")</f>
        <v/>
      </c>
      <c r="AB48" s="412"/>
      <c r="AC48" s="420" t="e">
        <f aca="false">IF(ABS(t-ROUND(t,0))&lt;0.001,t,NA())</f>
        <v>#N/A</v>
      </c>
      <c r="AD48" s="425" t="e">
        <f aca="false">IF(ABS(t-ROUND(t,0))&lt;0.001,pos_x,NA())</f>
        <v>#N/A</v>
      </c>
      <c r="AE48" s="426" t="n">
        <f aca="false">IF(t&lt;T_para, pos_z, NA())</f>
        <v>7.90368684391139</v>
      </c>
      <c r="AF48" s="412"/>
      <c r="AG48" s="418" t="n">
        <f aca="false">IF(AND(L47&lt;L_rampe,Poussee&lt;Poids*SIN(M47)),0,(-W47+Poussee)/m-Poids*SIN(M47)/m)</f>
        <v>88.3027809136758</v>
      </c>
      <c r="AH48" s="417" t="n">
        <f aca="false">IF(AND(L47&lt;L_rampe,Poussee&lt;Poids*SIN(M47)), g*SIN(M47), (-W47+Poussee)/m)</f>
        <v>97.9536861813085</v>
      </c>
    </row>
    <row r="49" customFormat="false" ht="12" hidden="false" customHeight="false" outlineLevel="0" collapsed="false">
      <c r="A49" s="416" t="n">
        <f aca="false">IF(B48+0.01&lt;=T_ini+ROUNDUP(Temps_fin_propu,0), 0.01, IF(K48&gt;0, 0.1, 0.0001))</f>
        <v>0.01</v>
      </c>
      <c r="B49" s="417" t="n">
        <f aca="false">B48+pas</f>
        <v>0.45</v>
      </c>
      <c r="C49" s="401"/>
      <c r="D49" s="418" t="n">
        <f aca="false">IF(AND(L48&lt;L_rampe,Poussee&lt;Poids*SIN(M48)),0,(-W48+Poussee)/m*COS(M48)-U48/m*SIN(M48))</f>
        <v>17.5709470401698</v>
      </c>
      <c r="E49" s="419" t="n">
        <f aca="false">IF(AND(L48&lt;L_rampe,Poussee&lt;Poids*SIN(M48)),0,(-W48+Poussee)/m*SIN(M48)+U48/m*COS(M48)-Poids/m)</f>
        <v>86.3121986253087</v>
      </c>
      <c r="F49" s="417" t="n">
        <f aca="false">SQRT(acc_x^2+acc_z^2)</f>
        <v>88.0825397648319</v>
      </c>
      <c r="G49" s="418" t="n">
        <f aca="false">G48+acc_x*pas</f>
        <v>7.05811191925847</v>
      </c>
      <c r="H49" s="419" t="n">
        <f aca="false">H48+acc_z*pas</f>
        <v>38.5134349543542</v>
      </c>
      <c r="I49" s="417" t="n">
        <f aca="false">SQRT(vit_x^2+vit_z^2)</f>
        <v>39.1548415377722</v>
      </c>
      <c r="J49" s="418" t="n">
        <f aca="false">J48+0.5*(vit_x+G48)*pas*(K48&gt;=0)</f>
        <v>1.47714816463969</v>
      </c>
      <c r="K49" s="419" t="n">
        <f aca="false">K48+0.5*(vit_z+H48)*pas</f>
        <v>8.28450558352366</v>
      </c>
      <c r="L49" s="417" t="n">
        <f aca="false">SQRT(pos_x^2+pos_z^2)</f>
        <v>8.41516485065701</v>
      </c>
      <c r="M49" s="418" t="n">
        <f aca="false">IF(AND(L48&gt;L_rampe,G49&gt;0),ATAN2(G49,H49),$M$4)</f>
        <v>1.38954398929063</v>
      </c>
      <c r="N49" s="417" t="n">
        <f aca="false">DEGREES(Beta)</f>
        <v>79.615006034125</v>
      </c>
      <c r="O49" s="401"/>
      <c r="P49" s="420" t="n">
        <f aca="false">MATCH(t-pas/2-T_ini,CdP_t)</f>
        <v>2</v>
      </c>
      <c r="Q49" s="417" t="n">
        <f aca="false">(INDEX(CdP,2,i_P+1)-INDEX(CdP,2,i_P+0))/(INDEX(CdP,1,i_P+1)-INDEX(CdP,1,i_P+0))*(t-pas/2-T_ini-INDEX(CdP,1,i_P+0))+INDEX(CdP,2,i_P+0)</f>
        <v>809.611111111111</v>
      </c>
      <c r="R49" s="418" t="n">
        <f aca="false">Poussee/(g*ISP)</f>
        <v>0.406306095491957</v>
      </c>
      <c r="S49" s="419" t="n">
        <f aca="false">S48-Débit*pas</f>
        <v>8.22900983167371</v>
      </c>
      <c r="T49" s="417" t="n">
        <f aca="false">m*g</f>
        <v>80.7265864487191</v>
      </c>
      <c r="U49" s="421" t="n">
        <f aca="false">IF(pos_xz&lt;L_rampe,Poids*COS(Beta),0)</f>
        <v>0</v>
      </c>
      <c r="V49" s="418" t="n">
        <f aca="false">Rho_moyen*(20000-Alt_rampe-pos_z)/(20000+Alt_rampe+pos_z)</f>
        <v>1.22398556826929</v>
      </c>
      <c r="W49" s="417" t="n">
        <f aca="false">1/2*Rho*Sref*Cx*vit_xz^2</f>
        <v>5.77009482979961</v>
      </c>
      <c r="X49" s="401"/>
      <c r="Y49" s="422" t="str">
        <f aca="false">IF(AND(pos_z&lt;=0,K48&gt;0),"Impact balistique","") &amp; IF(AND(H50&lt;0,vit_z&gt;=0),"Apogée","") &amp; IF(AND(Poussee=0,Q48&gt;0),"Fin de propulsion","") &amp; IF(AND(L50&gt;L_rampe,pos_xz&lt;=L_rampe),"Sortie de rampe","")</f>
        <v/>
      </c>
      <c r="Z49" s="423" t="str">
        <f aca="false">IF(ABS(t-T_para)&lt;pas/2,"Para","")</f>
        <v/>
      </c>
      <c r="AA49" s="424" t="str">
        <f aca="false">IF(ABS(t-T_satellite)&lt;pas/2,"Satellite","")</f>
        <v/>
      </c>
      <c r="AB49" s="412"/>
      <c r="AC49" s="420" t="e">
        <f aca="false">IF(ABS(t-ROUND(t,0))&lt;0.001,t,NA())</f>
        <v>#N/A</v>
      </c>
      <c r="AD49" s="425" t="e">
        <f aca="false">IF(ABS(t-ROUND(t,0))&lt;0.001,pos_x,NA())</f>
        <v>#N/A</v>
      </c>
      <c r="AE49" s="426" t="n">
        <f aca="false">IF(t&lt;T_para, pos_z, NA())</f>
        <v>8.28450558352366</v>
      </c>
      <c r="AF49" s="412"/>
      <c r="AG49" s="418" t="n">
        <f aca="false">IF(AND(L48&lt;L_rampe,Poussee&lt;Poids*SIN(M48)),0,(-W48+Poussee)/m-Poids*SIN(M48)/m)</f>
        <v>88.0648741042461</v>
      </c>
      <c r="AH49" s="417" t="n">
        <f aca="false">IF(AND(L48&lt;L_rampe,Poussee&lt;Poids*SIN(M48)), g*SIN(M48), (-W48+Poussee)/m)</f>
        <v>97.714969418466</v>
      </c>
    </row>
    <row r="50" customFormat="false" ht="12" hidden="false" customHeight="false" outlineLevel="0" collapsed="false">
      <c r="A50" s="416" t="n">
        <f aca="false">IF(B49+0.01&lt;=T_ini+ROUNDUP(Temps_fin_propu,0), 0.01, IF(K49&gt;0, 0.1, 0.0001))</f>
        <v>0.01</v>
      </c>
      <c r="B50" s="417" t="n">
        <f aca="false">B49+pas</f>
        <v>0.46</v>
      </c>
      <c r="C50" s="401"/>
      <c r="D50" s="418" t="n">
        <f aca="false">IF(AND(L49&lt;L_rampe,Poussee&lt;Poids*SIN(M49)),0,(-W49+Poussee)/m*COS(M49)-U49/m*SIN(M49))</f>
        <v>17.5710412344998</v>
      </c>
      <c r="E50" s="419" t="n">
        <f aca="false">IF(AND(L49&lt;L_rampe,Poussee&lt;Poids*SIN(M49)),0,(-W49+Poussee)/m*SIN(M49)+U49/m*COS(M49)-Poids/m)</f>
        <v>86.0684957516342</v>
      </c>
      <c r="F50" s="417" t="n">
        <f aca="false">SQRT(acc_x^2+acc_z^2)</f>
        <v>87.8437672860948</v>
      </c>
      <c r="G50" s="418" t="n">
        <f aca="false">G49+acc_x*pas</f>
        <v>7.23382233160347</v>
      </c>
      <c r="H50" s="419" t="n">
        <f aca="false">H49+acc_z*pas</f>
        <v>39.3741199118706</v>
      </c>
      <c r="I50" s="417" t="n">
        <f aca="false">SQRT(vit_x^2+vit_z^2)</f>
        <v>40.0331051051448</v>
      </c>
      <c r="J50" s="418" t="n">
        <f aca="false">J49+0.5*(vit_x+G49)*pas*(K49&gt;=0)</f>
        <v>1.548607835894</v>
      </c>
      <c r="K50" s="419" t="n">
        <f aca="false">K49+0.5*(vit_z+H49)*pas</f>
        <v>8.67394335785479</v>
      </c>
      <c r="L50" s="417" t="n">
        <f aca="false">SQRT(pos_x^2+pos_z^2)</f>
        <v>8.81109979540951</v>
      </c>
      <c r="M50" s="418" t="n">
        <f aca="false">IF(AND(L49&gt;L_rampe,G50&gt;0),ATAN2(G50,H50),$M$4)</f>
        <v>1.38910226344112</v>
      </c>
      <c r="N50" s="417" t="n">
        <f aca="false">DEGREES(Beta)</f>
        <v>79.5896970072457</v>
      </c>
      <c r="O50" s="401"/>
      <c r="P50" s="420" t="n">
        <f aca="false">MATCH(t-pas/2-T_ini,CdP_t)</f>
        <v>2</v>
      </c>
      <c r="Q50" s="417" t="n">
        <f aca="false">(INDEX(CdP,2,i_P+1)-INDEX(CdP,2,i_P+0))/(INDEX(CdP,1,i_P+1)-INDEX(CdP,1,i_P+0))*(t-pas/2-T_ini-INDEX(CdP,1,i_P+0))+INDEX(CdP,2,i_P+0)</f>
        <v>807.5</v>
      </c>
      <c r="R50" s="418" t="n">
        <f aca="false">Poussee/(g*ISP)</f>
        <v>0.405246627185589</v>
      </c>
      <c r="S50" s="419" t="n">
        <f aca="false">S49-Débit*pas</f>
        <v>8.22495736540186</v>
      </c>
      <c r="T50" s="417" t="n">
        <f aca="false">m*g</f>
        <v>80.6868317545922</v>
      </c>
      <c r="U50" s="421" t="n">
        <f aca="false">IF(pos_xz&lt;L_rampe,Poids*COS(Beta),0)</f>
        <v>0</v>
      </c>
      <c r="V50" s="418" t="n">
        <f aca="false">Rho_moyen*(20000-Alt_rampe-pos_z)/(20000+Alt_rampe+pos_z)</f>
        <v>1.22393790256731</v>
      </c>
      <c r="W50" s="417" t="n">
        <f aca="false">1/2*Rho*Sref*Cx*vit_xz^2</f>
        <v>6.03161551733683</v>
      </c>
      <c r="X50" s="401"/>
      <c r="Y50" s="422" t="str">
        <f aca="false">IF(AND(pos_z&lt;=0,K49&gt;0),"Impact balistique","") &amp; IF(AND(H51&lt;0,vit_z&gt;=0),"Apogée","") &amp; IF(AND(Poussee=0,Q49&gt;0),"Fin de propulsion","") &amp; IF(AND(L51&gt;L_rampe,pos_xz&lt;=L_rampe),"Sortie de rampe","")</f>
        <v/>
      </c>
      <c r="Z50" s="423" t="str">
        <f aca="false">IF(ABS(t-T_para)&lt;pas/2,"Para","")</f>
        <v/>
      </c>
      <c r="AA50" s="424" t="str">
        <f aca="false">IF(ABS(t-T_satellite)&lt;pas/2,"Satellite","")</f>
        <v/>
      </c>
      <c r="AB50" s="412"/>
      <c r="AC50" s="420" t="e">
        <f aca="false">IF(ABS(t-ROUND(t,0))&lt;0.001,t,NA())</f>
        <v>#N/A</v>
      </c>
      <c r="AD50" s="425" t="e">
        <f aca="false">IF(ABS(t-ROUND(t,0))&lt;0.001,pos_x,NA())</f>
        <v>#N/A</v>
      </c>
      <c r="AE50" s="426" t="n">
        <f aca="false">IF(t&lt;T_para, pos_z, NA())</f>
        <v>8.67394335785479</v>
      </c>
      <c r="AF50" s="412"/>
      <c r="AG50" s="418" t="n">
        <f aca="false">IF(AND(L49&lt;L_rampe,Poussee&lt;Poids*SIN(M49)),0,(-W49+Poussee)/m-Poids*SIN(M49)/m)</f>
        <v>87.8259661708323</v>
      </c>
      <c r="AH50" s="417" t="n">
        <f aca="false">IF(AND(L49&lt;L_rampe,Poussee&lt;Poids*SIN(M49)), g*SIN(M49), (-W49+Poussee)/m)</f>
        <v>97.4752657737369</v>
      </c>
    </row>
    <row r="51" customFormat="false" ht="12" hidden="false" customHeight="false" outlineLevel="0" collapsed="false">
      <c r="A51" s="416" t="n">
        <f aca="false">IF(B50+0.01&lt;=T_ini+ROUNDUP(Temps_fin_propu,0), 0.01, IF(K50&gt;0, 0.1, 0.0001))</f>
        <v>0.01</v>
      </c>
      <c r="B51" s="417" t="n">
        <f aca="false">B50+pas</f>
        <v>0.47</v>
      </c>
      <c r="C51" s="401"/>
      <c r="D51" s="418" t="n">
        <f aca="false">IF(AND(L50&lt;L_rampe,Poussee&lt;Poids*SIN(M50)),0,(-W50+Poussee)/m*COS(M50)-U50/m*SIN(M50))</f>
        <v>17.5699007484294</v>
      </c>
      <c r="E51" s="419" t="n">
        <f aca="false">IF(AND(L50&lt;L_rampe,Poussee&lt;Poids*SIN(M50)),0,(-W50+Poussee)/m*SIN(M50)+U50/m*COS(M50)-Poids/m)</f>
        <v>85.8240019419552</v>
      </c>
      <c r="F51" s="417" t="n">
        <f aca="false">SQRT(acc_x^2+acc_z^2)</f>
        <v>87.6039994614537</v>
      </c>
      <c r="G51" s="418" t="n">
        <f aca="false">G50+acc_x*pas</f>
        <v>7.40952133908776</v>
      </c>
      <c r="H51" s="419" t="n">
        <f aca="false">H50+acc_z*pas</f>
        <v>40.2323599312901</v>
      </c>
      <c r="I51" s="417" t="n">
        <f aca="false">SQRT(vit_x^2+vit_z^2)</f>
        <v>40.9089695802189</v>
      </c>
      <c r="J51" s="418" t="n">
        <f aca="false">J50+0.5*(vit_x+G50)*pas*(K50&gt;=0)</f>
        <v>1.62182455424745</v>
      </c>
      <c r="K51" s="419" t="n">
        <f aca="false">K50+0.5*(vit_z+H50)*pas</f>
        <v>9.07197575707059</v>
      </c>
      <c r="L51" s="417" t="n">
        <f aca="false">SQRT(pos_x^2+pos_z^2)</f>
        <v>9.21580484936809</v>
      </c>
      <c r="M51" s="418" t="n">
        <f aca="false">IF(AND(L50&gt;L_rampe,G51&gt;0),ATAN2(G51,H51),$M$4)</f>
        <v>1.38866895311218</v>
      </c>
      <c r="N51" s="417" t="n">
        <f aca="false">DEGREES(Beta)</f>
        <v>79.5648701541784</v>
      </c>
      <c r="O51" s="401"/>
      <c r="P51" s="420" t="n">
        <f aca="false">MATCH(t-pas/2-T_ini,CdP_t)</f>
        <v>2</v>
      </c>
      <c r="Q51" s="417" t="n">
        <f aca="false">(INDEX(CdP,2,i_P+1)-INDEX(CdP,2,i_P+0))/(INDEX(CdP,1,i_P+1)-INDEX(CdP,1,i_P+0))*(t-pas/2-T_ini-INDEX(CdP,1,i_P+0))+INDEX(CdP,2,i_P+0)</f>
        <v>805.388888888889</v>
      </c>
      <c r="R51" s="418" t="n">
        <f aca="false">Poussee/(g*ISP)</f>
        <v>0.404187158879222</v>
      </c>
      <c r="S51" s="419" t="n">
        <f aca="false">S50-Débit*pas</f>
        <v>8.22091549381306</v>
      </c>
      <c r="T51" s="417" t="n">
        <f aca="false">m*g</f>
        <v>80.6471809943062</v>
      </c>
      <c r="U51" s="421" t="n">
        <f aca="false">IF(pos_xz&lt;L_rampe,Poids*COS(Beta),0)</f>
        <v>0</v>
      </c>
      <c r="V51" s="418" t="n">
        <f aca="false">Rho_moyen*(20000-Alt_rampe-pos_z)/(20000+Alt_rampe+pos_z)</f>
        <v>1.22388918683327</v>
      </c>
      <c r="W51" s="417" t="n">
        <f aca="false">1/2*Rho*Sref*Cx*vit_xz^2</f>
        <v>6.29817742753283</v>
      </c>
      <c r="X51" s="401"/>
      <c r="Y51" s="422" t="str">
        <f aca="false">IF(AND(pos_z&lt;=0,K50&gt;0),"Impact balistique","") &amp; IF(AND(H52&lt;0,vit_z&gt;=0),"Apogée","") &amp; IF(AND(Poussee=0,Q50&gt;0),"Fin de propulsion","") &amp; IF(AND(L52&gt;L_rampe,pos_xz&lt;=L_rampe),"Sortie de rampe","")</f>
        <v/>
      </c>
      <c r="Z51" s="423" t="str">
        <f aca="false">IF(ABS(t-T_para)&lt;pas/2,"Para","")</f>
        <v/>
      </c>
      <c r="AA51" s="424" t="str">
        <f aca="false">IF(ABS(t-T_satellite)&lt;pas/2,"Satellite","")</f>
        <v/>
      </c>
      <c r="AB51" s="412"/>
      <c r="AC51" s="420" t="e">
        <f aca="false">IF(ABS(t-ROUND(t,0))&lt;0.001,t,NA())</f>
        <v>#N/A</v>
      </c>
      <c r="AD51" s="425" t="e">
        <f aca="false">IF(ABS(t-ROUND(t,0))&lt;0.001,pos_x,NA())</f>
        <v>#N/A</v>
      </c>
      <c r="AE51" s="426" t="n">
        <f aca="false">IF(t&lt;T_para, pos_z, NA())</f>
        <v>9.07197575707059</v>
      </c>
      <c r="AF51" s="412"/>
      <c r="AG51" s="418" t="n">
        <f aca="false">IF(AND(L50&lt;L_rampe,Poussee&lt;Poids*SIN(M50)),0,(-W50+Poussee)/m-Poids*SIN(M50)/m)</f>
        <v>87.5860634584298</v>
      </c>
      <c r="AH51" s="417" t="n">
        <f aca="false">IF(AND(L50&lt;L_rampe,Poussee&lt;Poids*SIN(M50)), g*SIN(M50), (-W50+Poussee)/m)</f>
        <v>97.2345809871341</v>
      </c>
    </row>
    <row r="52" customFormat="false" ht="12" hidden="false" customHeight="false" outlineLevel="0" collapsed="false">
      <c r="A52" s="416" t="n">
        <f aca="false">IF(B51+0.01&lt;=T_ini+ROUNDUP(Temps_fin_propu,0), 0.01, IF(K51&gt;0, 0.1, 0.0001))</f>
        <v>0.01</v>
      </c>
      <c r="B52" s="417" t="n">
        <f aca="false">B51+pas</f>
        <v>0.48</v>
      </c>
      <c r="C52" s="401"/>
      <c r="D52" s="418" t="n">
        <f aca="false">IF(AND(L51&lt;L_rampe,Poussee&lt;Poids*SIN(M51)),0,(-W51+Poussee)/m*COS(M51)-U51/m*SIN(M51))</f>
        <v>17.5675682871592</v>
      </c>
      <c r="E52" s="419" t="n">
        <f aca="false">IF(AND(L51&lt;L_rampe,Poussee&lt;Poids*SIN(M51)),0,(-W51+Poussee)/m*SIN(M51)+U51/m*COS(M51)-Poids/m)</f>
        <v>85.5787165042601</v>
      </c>
      <c r="F52" s="417" t="n">
        <f aca="false">SQRT(acc_x^2+acc_z^2)</f>
        <v>87.3632426941705</v>
      </c>
      <c r="G52" s="418" t="n">
        <f aca="false">G51+acc_x*pas</f>
        <v>7.58519702195936</v>
      </c>
      <c r="H52" s="419" t="n">
        <f aca="false">H51+acc_z*pas</f>
        <v>41.0881470963327</v>
      </c>
      <c r="I52" s="417" t="n">
        <f aca="false">SQRT(vit_x^2+vit_z^2)</f>
        <v>41.7824250812685</v>
      </c>
      <c r="J52" s="418" t="n">
        <f aca="false">J51+0.5*(vit_x+G51)*pas*(K51&gt;=0)</f>
        <v>1.69679814605269</v>
      </c>
      <c r="K52" s="419" t="n">
        <f aca="false">K51+0.5*(vit_z+H51)*pas</f>
        <v>9.47857829220871</v>
      </c>
      <c r="L52" s="417" t="n">
        <f aca="false">SQRT(pos_x^2+pos_z^2)</f>
        <v>9.62925596242918</v>
      </c>
      <c r="M52" s="418" t="n">
        <f aca="false">IF(AND(L51&gt;L_rampe,G52&gt;0),ATAN2(G52,H52),$M$4)</f>
        <v>1.38824370050013</v>
      </c>
      <c r="N52" s="417" t="n">
        <f aca="false">DEGREES(Beta)</f>
        <v>79.5405049742811</v>
      </c>
      <c r="O52" s="401"/>
      <c r="P52" s="420" t="n">
        <f aca="false">MATCH(t-pas/2-T_ini,CdP_t)</f>
        <v>2</v>
      </c>
      <c r="Q52" s="417" t="n">
        <f aca="false">(INDEX(CdP,2,i_P+1)-INDEX(CdP,2,i_P+0))/(INDEX(CdP,1,i_P+1)-INDEX(CdP,1,i_P+0))*(t-pas/2-T_ini-INDEX(CdP,1,i_P+0))+INDEX(CdP,2,i_P+0)</f>
        <v>803.277777777778</v>
      </c>
      <c r="R52" s="418" t="n">
        <f aca="false">Poussee/(g*ISP)</f>
        <v>0.403127690572854</v>
      </c>
      <c r="S52" s="419" t="n">
        <f aca="false">S51-Débit*pas</f>
        <v>8.21688421690734</v>
      </c>
      <c r="T52" s="417" t="n">
        <f aca="false">m*g</f>
        <v>80.607634167861</v>
      </c>
      <c r="U52" s="421" t="n">
        <f aca="false">IF(pos_xz&lt;L_rampe,Poids*COS(Beta),0)</f>
        <v>0</v>
      </c>
      <c r="V52" s="418" t="n">
        <f aca="false">Rho_moyen*(20000-Alt_rampe-pos_z)/(20000+Alt_rampe+pos_z)</f>
        <v>1.22383942418964</v>
      </c>
      <c r="W52" s="417" t="n">
        <f aca="false">1/2*Rho*Sref*Cx*vit_xz^2</f>
        <v>6.56972873231556</v>
      </c>
      <c r="X52" s="401"/>
      <c r="Y52" s="422" t="str">
        <f aca="false">IF(AND(pos_z&lt;=0,K51&gt;0),"Impact balistique","") &amp; IF(AND(H53&lt;0,vit_z&gt;=0),"Apogée","") &amp; IF(AND(Poussee=0,Q51&gt;0),"Fin de propulsion","") &amp; IF(AND(L53&gt;L_rampe,pos_xz&lt;=L_rampe),"Sortie de rampe","")</f>
        <v/>
      </c>
      <c r="Z52" s="423" t="str">
        <f aca="false">IF(ABS(t-T_para)&lt;pas/2,"Para","")</f>
        <v/>
      </c>
      <c r="AA52" s="424" t="str">
        <f aca="false">IF(ABS(t-T_satellite)&lt;pas/2,"Satellite","")</f>
        <v/>
      </c>
      <c r="AB52" s="412"/>
      <c r="AC52" s="420" t="e">
        <f aca="false">IF(ABS(t-ROUND(t,0))&lt;0.001,t,NA())</f>
        <v>#N/A</v>
      </c>
      <c r="AD52" s="425" t="e">
        <f aca="false">IF(ABS(t-ROUND(t,0))&lt;0.001,pos_x,NA())</f>
        <v>#N/A</v>
      </c>
      <c r="AE52" s="426" t="n">
        <f aca="false">IF(t&lt;T_para, pos_z, NA())</f>
        <v>9.47857829220871</v>
      </c>
      <c r="AF52" s="412"/>
      <c r="AG52" s="418" t="n">
        <f aca="false">IF(AND(L51&lt;L_rampe,Poussee&lt;Poids*SIN(M51)),0,(-W51+Poussee)/m-Poids*SIN(M51)/m)</f>
        <v>87.3451723087301</v>
      </c>
      <c r="AH52" s="417" t="n">
        <f aca="false">IF(AND(L51&lt;L_rampe,Poussee&lt;Poids*SIN(M51)), g*SIN(M51), (-W51+Poussee)/m)</f>
        <v>96.9929208337089</v>
      </c>
    </row>
    <row r="53" customFormat="false" ht="12" hidden="false" customHeight="false" outlineLevel="0" collapsed="false">
      <c r="A53" s="416" t="n">
        <f aca="false">IF(B52+0.01&lt;=T_ini+ROUNDUP(Temps_fin_propu,0), 0.01, IF(K52&gt;0, 0.1, 0.0001))</f>
        <v>0.01</v>
      </c>
      <c r="B53" s="417" t="n">
        <f aca="false">B52+pas</f>
        <v>0.49</v>
      </c>
      <c r="C53" s="401"/>
      <c r="D53" s="418" t="n">
        <f aca="false">IF(AND(L52&lt;L_rampe,Poussee&lt;Poids*SIN(M52)),0,(-W52+Poussee)/m*COS(M52)-U52/m*SIN(M52))</f>
        <v>17.564083910223</v>
      </c>
      <c r="E53" s="419" t="n">
        <f aca="false">IF(AND(L52&lt;L_rampe,Poussee&lt;Poids*SIN(M52)),0,(-W52+Poussee)/m*SIN(M52)+U52/m*COS(M52)-Poids/m)</f>
        <v>85.3326391728922</v>
      </c>
      <c r="F53" s="417" t="n">
        <f aca="false">SQRT(acc_x^2+acc_z^2)</f>
        <v>87.121503383587</v>
      </c>
      <c r="G53" s="418" t="n">
        <f aca="false">G52+acc_x*pas</f>
        <v>7.76083786106159</v>
      </c>
      <c r="H53" s="419" t="n">
        <f aca="false">H52+acc_z*pas</f>
        <v>41.9414734880616</v>
      </c>
      <c r="I53" s="417" t="n">
        <f aca="false">SQRT(vit_x^2+vit_z^2)</f>
        <v>42.653461789818</v>
      </c>
      <c r="J53" s="418" t="n">
        <f aca="false">J52+0.5*(vit_x+G52)*pas*(K52&gt;=0)</f>
        <v>1.77352832046779</v>
      </c>
      <c r="K53" s="419" t="n">
        <f aca="false">K52+0.5*(vit_z+H52)*pas</f>
        <v>9.89372639513068</v>
      </c>
      <c r="L53" s="417" t="n">
        <f aca="false">SQRT(pos_x^2+pos_z^2)</f>
        <v>10.051428987224</v>
      </c>
      <c r="M53" s="418" t="n">
        <f aca="false">IF(AND(L52&gt;L_rampe,G53&gt;0),ATAN2(G53,H53),$M$4)</f>
        <v>1.38782617023804</v>
      </c>
      <c r="N53" s="417" t="n">
        <f aca="false">DEGREES(Beta)</f>
        <v>79.5165822524442</v>
      </c>
      <c r="O53" s="401"/>
      <c r="P53" s="420" t="n">
        <f aca="false">MATCH(t-pas/2-T_ini,CdP_t)</f>
        <v>2</v>
      </c>
      <c r="Q53" s="417" t="n">
        <f aca="false">(INDEX(CdP,2,i_P+1)-INDEX(CdP,2,i_P+0))/(INDEX(CdP,1,i_P+1)-INDEX(CdP,1,i_P+0))*(t-pas/2-T_ini-INDEX(CdP,1,i_P+0))+INDEX(CdP,2,i_P+0)</f>
        <v>801.166666666667</v>
      </c>
      <c r="R53" s="418" t="n">
        <f aca="false">Poussee/(g*ISP)</f>
        <v>0.402068222266487</v>
      </c>
      <c r="S53" s="419" t="n">
        <f aca="false">S52-Débit*pas</f>
        <v>8.21286353468467</v>
      </c>
      <c r="T53" s="417" t="n">
        <f aca="false">m*g</f>
        <v>80.5681912752566</v>
      </c>
      <c r="U53" s="421" t="n">
        <f aca="false">IF(pos_xz&lt;L_rampe,Poids*COS(Beta),0)</f>
        <v>0</v>
      </c>
      <c r="V53" s="418" t="n">
        <f aca="false">Rho_moyen*(20000-Alt_rampe-pos_z)/(20000+Alt_rampe+pos_z)</f>
        <v>1.22378861777081</v>
      </c>
      <c r="W53" s="417" t="n">
        <f aca="false">1/2*Rho*Sref*Cx*vit_xz^2</f>
        <v>6.84621747994997</v>
      </c>
      <c r="X53" s="401"/>
      <c r="Y53" s="422" t="str">
        <f aca="false">IF(AND(pos_z&lt;=0,K52&gt;0),"Impact balistique","") &amp; IF(AND(H54&lt;0,vit_z&gt;=0),"Apogée","") &amp; IF(AND(Poussee=0,Q52&gt;0),"Fin de propulsion","") &amp; IF(AND(L54&gt;L_rampe,pos_xz&lt;=L_rampe),"Sortie de rampe","")</f>
        <v/>
      </c>
      <c r="Z53" s="423" t="str">
        <f aca="false">IF(ABS(t-T_para)&lt;pas/2,"Para","")</f>
        <v/>
      </c>
      <c r="AA53" s="424" t="str">
        <f aca="false">IF(ABS(t-T_satellite)&lt;pas/2,"Satellite","")</f>
        <v/>
      </c>
      <c r="AB53" s="412"/>
      <c r="AC53" s="420" t="e">
        <f aca="false">IF(ABS(t-ROUND(t,0))&lt;0.001,t,NA())</f>
        <v>#N/A</v>
      </c>
      <c r="AD53" s="425" t="e">
        <f aca="false">IF(ABS(t-ROUND(t,0))&lt;0.001,pos_x,NA())</f>
        <v>#N/A</v>
      </c>
      <c r="AE53" s="426" t="n">
        <f aca="false">IF(t&lt;T_para, pos_z, NA())</f>
        <v>9.89372639513068</v>
      </c>
      <c r="AF53" s="412"/>
      <c r="AG53" s="418" t="n">
        <f aca="false">IF(AND(L52&lt;L_rampe,Poussee&lt;Poids*SIN(M52)),0,(-W52+Poussee)/m-Poids*SIN(M52)/m)</f>
        <v>87.1032990628139</v>
      </c>
      <c r="AH53" s="417" t="n">
        <f aca="false">IF(AND(L52&lt;L_rampe,Poussee&lt;Poids*SIN(M52)), g*SIN(M52), (-W52+Poussee)/m)</f>
        <v>96.7502911230169</v>
      </c>
    </row>
    <row r="54" customFormat="false" ht="12" hidden="false" customHeight="false" outlineLevel="0" collapsed="false">
      <c r="A54" s="416" t="n">
        <f aca="false">IF(B53+0.01&lt;=T_ini+ROUNDUP(Temps_fin_propu,0), 0.01, IF(K53&gt;0, 0.1, 0.0001))</f>
        <v>0.01</v>
      </c>
      <c r="B54" s="417" t="n">
        <f aca="false">B53+pas</f>
        <v>0.5</v>
      </c>
      <c r="C54" s="401"/>
      <c r="D54" s="418" t="n">
        <f aca="false">IF(AND(L53&lt;L_rampe,Poussee&lt;Poids*SIN(M53)),0,(-W53+Poussee)/m*COS(M53)-U53/m*SIN(M53))</f>
        <v>17.5594852543477</v>
      </c>
      <c r="E54" s="419" t="n">
        <f aca="false">IF(AND(L53&lt;L_rampe,Poussee&lt;Poids*SIN(M53)),0,(-W53+Poussee)/m*SIN(M53)+U53/m*COS(M53)-Poids/m)</f>
        <v>85.0857700758477</v>
      </c>
      <c r="F54" s="417" t="n">
        <f aca="false">SQRT(acc_x^2+acc_z^2)</f>
        <v>86.8787879277657</v>
      </c>
      <c r="G54" s="418" t="n">
        <f aca="false">G53+acc_x*pas</f>
        <v>7.93643271360506</v>
      </c>
      <c r="H54" s="419" t="n">
        <f aca="false">H53+acc_z*pas</f>
        <v>42.7923311888201</v>
      </c>
      <c r="I54" s="417" t="n">
        <f aca="false">SQRT(vit_x^2+vit_z^2)</f>
        <v>43.5220699506727</v>
      </c>
      <c r="J54" s="418" t="n">
        <f aca="false">J53+0.5*(vit_x+G53)*pas*(K53&gt;=0)</f>
        <v>1.85201467334113</v>
      </c>
      <c r="K54" s="419" t="n">
        <f aca="false">K53+0.5*(vit_z+H53)*pas</f>
        <v>10.3173954185151</v>
      </c>
      <c r="L54" s="417" t="n">
        <f aca="false">SQRT(pos_x^2+pos_z^2)</f>
        <v>10.4822996795678</v>
      </c>
      <c r="M54" s="418" t="n">
        <f aca="false">IF(AND(L53&gt;L_rampe,G54&gt;0),ATAN2(G54,H54),$M$4)</f>
        <v>1.38741604754302</v>
      </c>
      <c r="N54" s="417" t="n">
        <f aca="false">DEGREES(Beta)</f>
        <v>79.4930839529372</v>
      </c>
      <c r="O54" s="401"/>
      <c r="P54" s="420" t="n">
        <f aca="false">MATCH(t-pas/2-T_ini,CdP_t)</f>
        <v>2</v>
      </c>
      <c r="Q54" s="417" t="n">
        <f aca="false">(INDEX(CdP,2,i_P+1)-INDEX(CdP,2,i_P+0))/(INDEX(CdP,1,i_P+1)-INDEX(CdP,1,i_P+0))*(t-pas/2-T_ini-INDEX(CdP,1,i_P+0))+INDEX(CdP,2,i_P+0)</f>
        <v>799.055555555556</v>
      </c>
      <c r="R54" s="418" t="n">
        <f aca="false">Poussee/(g*ISP)</f>
        <v>0.401008753960119</v>
      </c>
      <c r="S54" s="419" t="n">
        <f aca="false">S53-Débit*pas</f>
        <v>8.20885344714507</v>
      </c>
      <c r="T54" s="417" t="n">
        <f aca="false">m*g</f>
        <v>80.5288523164931</v>
      </c>
      <c r="U54" s="421" t="n">
        <f aca="false">IF(pos_xz&lt;L_rampe,Poids*COS(Beta),0)</f>
        <v>0</v>
      </c>
      <c r="V54" s="418" t="n">
        <f aca="false">Rho_moyen*(20000-Alt_rampe-pos_z)/(20000+Alt_rampe+pos_z)</f>
        <v>1.22373677072303</v>
      </c>
      <c r="W54" s="417" t="n">
        <f aca="false">1/2*Rho*Sref*Cx*vit_xz^2</f>
        <v>7.12759159950626</v>
      </c>
      <c r="X54" s="401"/>
      <c r="Y54" s="422" t="str">
        <f aca="false">IF(AND(pos_z&lt;=0,K53&gt;0),"Impact balistique","") &amp; IF(AND(H55&lt;0,vit_z&gt;=0),"Apogée","") &amp; IF(AND(Poussee=0,Q53&gt;0),"Fin de propulsion","") &amp; IF(AND(L55&gt;L_rampe,pos_xz&lt;=L_rampe),"Sortie de rampe","")</f>
        <v/>
      </c>
      <c r="Z54" s="423" t="str">
        <f aca="false">IF(ABS(t-T_para)&lt;pas/2,"Para","")</f>
        <v/>
      </c>
      <c r="AA54" s="424" t="str">
        <f aca="false">IF(ABS(t-T_satellite)&lt;pas/2,"Satellite","")</f>
        <v/>
      </c>
      <c r="AB54" s="412"/>
      <c r="AC54" s="420" t="e">
        <f aca="false">IF(ABS(t-ROUND(t,0))&lt;0.001,t,NA())</f>
        <v>#N/A</v>
      </c>
      <c r="AD54" s="425" t="e">
        <f aca="false">IF(ABS(t-ROUND(t,0))&lt;0.001,pos_x,NA())</f>
        <v>#N/A</v>
      </c>
      <c r="AE54" s="426" t="n">
        <f aca="false">IF(t&lt;T_para, pos_z, NA())</f>
        <v>10.3173954185151</v>
      </c>
      <c r="AF54" s="412"/>
      <c r="AG54" s="418" t="n">
        <f aca="false">IF(AND(L53&lt;L_rampe,Poussee&lt;Poids*SIN(M53)),0,(-W53+Poussee)/m-Poids*SIN(M53)/m)</f>
        <v>86.8604500635065</v>
      </c>
      <c r="AH54" s="417" t="n">
        <f aca="false">IF(AND(L53&lt;L_rampe,Poussee&lt;Poids*SIN(M53)), g*SIN(M53), (-W53+Poussee)/m)</f>
        <v>96.5066976985837</v>
      </c>
    </row>
    <row r="55" customFormat="false" ht="12" hidden="false" customHeight="false" outlineLevel="0" collapsed="false">
      <c r="A55" s="416" t="n">
        <f aca="false">IF(B54+0.01&lt;=T_ini+ROUNDUP(Temps_fin_propu,0), 0.01, IF(K54&gt;0, 0.1, 0.0001))</f>
        <v>0.01</v>
      </c>
      <c r="B55" s="417" t="n">
        <f aca="false">B54+pas</f>
        <v>0.51</v>
      </c>
      <c r="C55" s="401"/>
      <c r="D55" s="418" t="n">
        <f aca="false">IF(AND(L54&lt;L_rampe,Poussee&lt;Poids*SIN(M54)),0,(-W54+Poussee)/m*COS(M54)-U54/m*SIN(M54))</f>
        <v>17.564159782585</v>
      </c>
      <c r="E55" s="419" t="n">
        <f aca="false">IF(AND(L54&lt;L_rampe,Poussee&lt;Poids*SIN(M54)),0,(-W54+Poussee)/m*SIN(M54)+U54/m*COS(M54)-Poids/m)</f>
        <v>84.8939267631258</v>
      </c>
      <c r="F55" s="417" t="n">
        <f aca="false">SQRT(acc_x^2+acc_z^2)</f>
        <v>86.6918595378548</v>
      </c>
      <c r="G55" s="418" t="n">
        <f aca="false">G54+acc_x*pas</f>
        <v>8.11207431143091</v>
      </c>
      <c r="H55" s="419" t="n">
        <f aca="false">H54+acc_z*pas</f>
        <v>43.6412704564514</v>
      </c>
      <c r="I55" s="417" t="n">
        <f aca="false">SQRT(vit_x^2+vit_z^2)</f>
        <v>44.388807560998</v>
      </c>
      <c r="J55" s="418" t="n">
        <f aca="false">J54+0.5*(vit_x+G54)*pas*(K54&gt;=0)</f>
        <v>1.93225720846631</v>
      </c>
      <c r="K55" s="419" t="n">
        <f aca="false">K54+0.5*(vit_z+H54)*pas</f>
        <v>10.7495634267414</v>
      </c>
      <c r="L55" s="417" t="n">
        <f aca="false">SQRT(pos_x^2+pos_z^2)</f>
        <v>10.9218465373401</v>
      </c>
      <c r="M55" s="418" t="n">
        <f aca="false">IF(AND(L54&gt;L_rampe,G55&gt;0),ATAN2(G55,H55),$M$4)</f>
        <v>1.38701304170583</v>
      </c>
      <c r="N55" s="417" t="n">
        <f aca="false">DEGREES(Beta)</f>
        <v>79.4699934193467</v>
      </c>
      <c r="O55" s="401"/>
      <c r="P55" s="420" t="n">
        <f aca="false">MATCH(t-pas/2-T_ini,CdP_t)</f>
        <v>3</v>
      </c>
      <c r="Q55" s="417" t="n">
        <f aca="false">(INDEX(CdP,2,i_P+1)-INDEX(CdP,2,i_P+0))/(INDEX(CdP,1,i_P+1)-INDEX(CdP,1,i_P+0))*(t-pas/2-T_ini-INDEX(CdP,1,i_P+0))+INDEX(CdP,2,i_P+0)</f>
        <v>797.41</v>
      </c>
      <c r="R55" s="418" t="n">
        <f aca="false">Poussee/(g*ISP)</f>
        <v>0.40018292629605</v>
      </c>
      <c r="S55" s="419" t="n">
        <f aca="false">S54-Débit*pas</f>
        <v>8.20485161788211</v>
      </c>
      <c r="T55" s="417" t="n">
        <f aca="false">m*g</f>
        <v>80.4895943714235</v>
      </c>
      <c r="U55" s="421" t="n">
        <f aca="false">IF(pos_xz&lt;L_rampe,Poids*COS(Beta),0)</f>
        <v>0</v>
      </c>
      <c r="V55" s="418" t="n">
        <f aca="false">Rho_moyen*(20000-Alt_rampe-pos_z)/(20000+Alt_rampe+pos_z)</f>
        <v>1.22368388586284</v>
      </c>
      <c r="W55" s="417" t="n">
        <f aca="false">1/2*Rho*Sref*Cx*vit_xz^2</f>
        <v>7.41398853723136</v>
      </c>
      <c r="X55" s="401"/>
      <c r="Y55" s="422" t="str">
        <f aca="false">IF(AND(pos_z&lt;=0,K54&gt;0),"Impact balistique","") &amp; IF(AND(H56&lt;0,vit_z&gt;=0),"Apogée","") &amp; IF(AND(Poussee=0,Q54&gt;0),"Fin de propulsion","") &amp; IF(AND(L56&gt;L_rampe,pos_xz&lt;=L_rampe),"Sortie de rampe","")</f>
        <v/>
      </c>
      <c r="Z55" s="423" t="str">
        <f aca="false">IF(ABS(t-T_para)&lt;pas/2,"Para","")</f>
        <v/>
      </c>
      <c r="AA55" s="424" t="str">
        <f aca="false">IF(ABS(t-T_satellite)&lt;pas/2,"Satellite","")</f>
        <v/>
      </c>
      <c r="AB55" s="412"/>
      <c r="AC55" s="420" t="e">
        <f aca="false">IF(ABS(t-ROUND(t,0))&lt;0.001,t,NA())</f>
        <v>#N/A</v>
      </c>
      <c r="AD55" s="425" t="e">
        <f aca="false">IF(ABS(t-ROUND(t,0))&lt;0.001,pos_x,NA())</f>
        <v>#N/A</v>
      </c>
      <c r="AE55" s="426" t="n">
        <f aca="false">IF(t&lt;T_para, pos_z, NA())</f>
        <v>10.7495634267414</v>
      </c>
      <c r="AF55" s="412"/>
      <c r="AG55" s="418" t="n">
        <f aca="false">IF(AND(L54&lt;L_rampe,Poussee&lt;Poids*SIN(M54)),0,(-W54+Poussee)/m-Poids*SIN(M54)/m)</f>
        <v>86.6734005650002</v>
      </c>
      <c r="AH55" s="417" t="n">
        <f aca="false">IF(AND(L54&lt;L_rampe,Poussee&lt;Poids*SIN(M54)), g*SIN(M54), (-W54+Poussee)/m)</f>
        <v>96.3189153449294</v>
      </c>
    </row>
    <row r="56" customFormat="false" ht="12" hidden="false" customHeight="false" outlineLevel="0" collapsed="false">
      <c r="A56" s="416" t="n">
        <f aca="false">IF(B55+0.01&lt;=T_ini+ROUNDUP(Temps_fin_propu,0), 0.01, IF(K55&gt;0, 0.1, 0.0001))</f>
        <v>0.01</v>
      </c>
      <c r="B56" s="417" t="n">
        <f aca="false">B55+pas</f>
        <v>0.52</v>
      </c>
      <c r="C56" s="401"/>
      <c r="D56" s="418" t="n">
        <f aca="false">IF(AND(L55&lt;L_rampe,Poussee&lt;Poids*SIN(M55)),0,(-W55+Poussee)/m*COS(M55)-U55/m*SIN(M55))</f>
        <v>17.5782237600432</v>
      </c>
      <c r="E56" s="419" t="n">
        <f aca="false">IF(AND(L55&lt;L_rampe,Poussee&lt;Poids*SIN(M55)),0,(-W55+Poussee)/m*SIN(M55)+U55/m*COS(M55)-Poids/m)</f>
        <v>84.7571831648626</v>
      </c>
      <c r="F56" s="417" t="n">
        <f aca="false">SQRT(acc_x^2+acc_z^2)</f>
        <v>86.5608112750811</v>
      </c>
      <c r="G56" s="418" t="n">
        <f aca="false">G55+acc_x*pas</f>
        <v>8.28785654903134</v>
      </c>
      <c r="H56" s="419" t="n">
        <f aca="false">H55+acc_z*pas</f>
        <v>44.4888422881</v>
      </c>
      <c r="I56" s="417" t="n">
        <f aca="false">SQRT(vit_x^2+vit_z^2)</f>
        <v>45.2542335512685</v>
      </c>
      <c r="J56" s="418" t="n">
        <f aca="false">J55+0.5*(vit_x+G55)*pas*(K55&gt;=0)</f>
        <v>2.01425686276862</v>
      </c>
      <c r="K56" s="419" t="n">
        <f aca="false">K55+0.5*(vit_z+H55)*pas</f>
        <v>11.1902139904642</v>
      </c>
      <c r="L56" s="417" t="n">
        <f aca="false">SQRT(pos_x^2+pos_z^2)</f>
        <v>11.3700536437429</v>
      </c>
      <c r="M56" s="418" t="n">
        <f aca="false">IF(AND(L55&gt;L_rampe,G56&gt;0),ATAN2(G56,H56),$M$4)</f>
        <v>1.3866168838734</v>
      </c>
      <c r="N56" s="417" t="n">
        <f aca="false">DEGREES(Beta)</f>
        <v>79.4472952475276</v>
      </c>
      <c r="O56" s="401"/>
      <c r="P56" s="420" t="n">
        <f aca="false">MATCH(t-pas/2-T_ini,CdP_t)</f>
        <v>3</v>
      </c>
      <c r="Q56" s="417" t="n">
        <f aca="false">(INDEX(CdP,2,i_P+1)-INDEX(CdP,2,i_P+0))/(INDEX(CdP,1,i_P+1)-INDEX(CdP,1,i_P+0))*(t-pas/2-T_ini-INDEX(CdP,1,i_P+0))+INDEX(CdP,2,i_P+0)</f>
        <v>796.23</v>
      </c>
      <c r="R56" s="418" t="n">
        <f aca="false">Poussee/(g*ISP)</f>
        <v>0.399590739274281</v>
      </c>
      <c r="S56" s="419" t="n">
        <f aca="false">S55-Débit*pas</f>
        <v>8.20085571048937</v>
      </c>
      <c r="T56" s="417" t="n">
        <f aca="false">m*g</f>
        <v>80.4503945199007</v>
      </c>
      <c r="U56" s="421" t="n">
        <f aca="false">IF(pos_xz&lt;L_rampe,Poids*COS(Beta),0)</f>
        <v>0</v>
      </c>
      <c r="V56" s="418" t="n">
        <f aca="false">Rho_moyen*(20000-Alt_rampe-pos_z)/(20000+Alt_rampe+pos_z)</f>
        <v>1.22362996533522</v>
      </c>
      <c r="W56" s="417" t="n">
        <f aca="false">1/2*Rho*Sref*Cx*vit_xz^2</f>
        <v>7.70556066095949</v>
      </c>
      <c r="X56" s="401"/>
      <c r="Y56" s="422" t="str">
        <f aca="false">IF(AND(pos_z&lt;=0,K55&gt;0),"Impact balistique","") &amp; IF(AND(H57&lt;0,vit_z&gt;=0),"Apogée","") &amp; IF(AND(Poussee=0,Q55&gt;0),"Fin de propulsion","") &amp; IF(AND(L57&gt;L_rampe,pos_xz&lt;=L_rampe),"Sortie de rampe","")</f>
        <v/>
      </c>
      <c r="Z56" s="423" t="str">
        <f aca="false">IF(ABS(t-T_para)&lt;pas/2,"Para","")</f>
        <v/>
      </c>
      <c r="AA56" s="424" t="str">
        <f aca="false">IF(ABS(t-T_satellite)&lt;pas/2,"Satellite","")</f>
        <v/>
      </c>
      <c r="AB56" s="412"/>
      <c r="AC56" s="420" t="e">
        <f aca="false">IF(ABS(t-ROUND(t,0))&lt;0.001,t,NA())</f>
        <v>#N/A</v>
      </c>
      <c r="AD56" s="425" t="e">
        <f aca="false">IF(ABS(t-ROUND(t,0))&lt;0.001,pos_x,NA())</f>
        <v>#N/A</v>
      </c>
      <c r="AE56" s="426" t="n">
        <f aca="false">IF(t&lt;T_para, pos_z, NA())</f>
        <v>11.1902139904642</v>
      </c>
      <c r="AF56" s="412"/>
      <c r="AG56" s="418" t="n">
        <f aca="false">IF(AND(L55&lt;L_rampe,Poussee&lt;Poids*SIN(M55)),0,(-W55+Poussee)/m-Poids*SIN(M55)/m)</f>
        <v>86.542243914759</v>
      </c>
      <c r="AH56" s="417" t="n">
        <f aca="false">IF(AND(L55&lt;L_rampe,Poussee&lt;Poids*SIN(M55)), g*SIN(M55), (-W55+Poussee)/m)</f>
        <v>96.1870369763765</v>
      </c>
    </row>
    <row r="57" customFormat="false" ht="12" hidden="false" customHeight="false" outlineLevel="0" collapsed="false">
      <c r="A57" s="416" t="n">
        <f aca="false">IF(B56+0.01&lt;=T_ini+ROUNDUP(Temps_fin_propu,0), 0.01, IF(K56&gt;0, 0.1, 0.0001))</f>
        <v>0.01</v>
      </c>
      <c r="B57" s="417" t="n">
        <f aca="false">B56+pas</f>
        <v>0.53</v>
      </c>
      <c r="C57" s="401"/>
      <c r="D57" s="418" t="n">
        <f aca="false">IF(AND(L56&lt;L_rampe,Poussee&lt;Poids*SIN(M56)),0,(-W56+Poussee)/m*COS(M56)-U56/m*SIN(M56))</f>
        <v>17.5913818319897</v>
      </c>
      <c r="E57" s="419" t="n">
        <f aca="false">IF(AND(L56&lt;L_rampe,Poussee&lt;Poids*SIN(M56)),0,(-W56+Poussee)/m*SIN(M56)+U56/m*COS(M56)-Poids/m)</f>
        <v>84.6197487924797</v>
      </c>
      <c r="F57" s="417" t="n">
        <f aca="false">SQRT(acc_x^2+acc_z^2)</f>
        <v>86.4289222451676</v>
      </c>
      <c r="G57" s="418" t="n">
        <f aca="false">G56+acc_x*pas</f>
        <v>8.46377036735124</v>
      </c>
      <c r="H57" s="419" t="n">
        <f aca="false">H56+acc_z*pas</f>
        <v>45.3350397760248</v>
      </c>
      <c r="I57" s="417" t="n">
        <f aca="false">SQRT(vit_x^2+vit_z^2)</f>
        <v>46.1183395226346</v>
      </c>
      <c r="J57" s="418" t="n">
        <f aca="false">J56+0.5*(vit_x+G56)*pas*(K56&gt;=0)</f>
        <v>2.09801499735053</v>
      </c>
      <c r="K57" s="419" t="n">
        <f aca="false">K56+0.5*(vit_z+H56)*pas</f>
        <v>11.6393334007848</v>
      </c>
      <c r="L57" s="417" t="n">
        <f aca="false">SQRT(pos_x^2+pos_z^2)</f>
        <v>11.8269078352599</v>
      </c>
      <c r="M57" s="418" t="n">
        <f aca="false">IF(AND(L56&gt;L_rampe,G57&gt;0),ATAN2(G57,H57),$M$4)</f>
        <v>1.38622732027596</v>
      </c>
      <c r="N57" s="417" t="n">
        <f aca="false">DEGREES(Beta)</f>
        <v>79.4249748975421</v>
      </c>
      <c r="O57" s="401"/>
      <c r="P57" s="420" t="n">
        <f aca="false">MATCH(t-pas/2-T_ini,CdP_t)</f>
        <v>3</v>
      </c>
      <c r="Q57" s="417" t="n">
        <f aca="false">(INDEX(CdP,2,i_P+1)-INDEX(CdP,2,i_P+0))/(INDEX(CdP,1,i_P+1)-INDEX(CdP,1,i_P+0))*(t-pas/2-T_ini-INDEX(CdP,1,i_P+0))+INDEX(CdP,2,i_P+0)</f>
        <v>795.05</v>
      </c>
      <c r="R57" s="418" t="n">
        <f aca="false">Poussee/(g*ISP)</f>
        <v>0.398998552252511</v>
      </c>
      <c r="S57" s="419" t="n">
        <f aca="false">S56-Débit*pas</f>
        <v>8.19686572496684</v>
      </c>
      <c r="T57" s="417" t="n">
        <f aca="false">m*g</f>
        <v>80.4112527619247</v>
      </c>
      <c r="U57" s="421" t="n">
        <f aca="false">IF(pos_xz&lt;L_rampe,Poids*COS(Beta),0)</f>
        <v>0</v>
      </c>
      <c r="V57" s="418" t="n">
        <f aca="false">Rho_moyen*(20000-Alt_rampe-pos_z)/(20000+Alt_rampe+pos_z)</f>
        <v>1.22357501095453</v>
      </c>
      <c r="W57" s="417" t="n">
        <f aca="false">1/2*Rho*Sref*Cx*vit_xz^2</f>
        <v>8.00227801390779</v>
      </c>
      <c r="X57" s="401"/>
      <c r="Y57" s="422" t="str">
        <f aca="false">IF(AND(pos_z&lt;=0,K56&gt;0),"Impact balistique","") &amp; IF(AND(H58&lt;0,vit_z&gt;=0),"Apogée","") &amp; IF(AND(Poussee=0,Q56&gt;0),"Fin de propulsion","") &amp; IF(AND(L58&gt;L_rampe,pos_xz&lt;=L_rampe),"Sortie de rampe","")</f>
        <v/>
      </c>
      <c r="Z57" s="423" t="str">
        <f aca="false">IF(ABS(t-T_para)&lt;pas/2,"Para","")</f>
        <v/>
      </c>
      <c r="AA57" s="424" t="str">
        <f aca="false">IF(ABS(t-T_satellite)&lt;pas/2,"Satellite","")</f>
        <v/>
      </c>
      <c r="AB57" s="412"/>
      <c r="AC57" s="420" t="e">
        <f aca="false">IF(ABS(t-ROUND(t,0))&lt;0.001,t,NA())</f>
        <v>#N/A</v>
      </c>
      <c r="AD57" s="425" t="e">
        <f aca="false">IF(ABS(t-ROUND(t,0))&lt;0.001,pos_x,NA())</f>
        <v>#N/A</v>
      </c>
      <c r="AE57" s="426" t="n">
        <f aca="false">IF(t&lt;T_para, pos_z, NA())</f>
        <v>11.6393334007848</v>
      </c>
      <c r="AF57" s="412"/>
      <c r="AG57" s="418" t="n">
        <f aca="false">IF(AND(L56&lt;L_rampe,Poussee&lt;Poids*SIN(M56)),0,(-W56+Poussee)/m-Poids*SIN(M56)/m)</f>
        <v>86.4102471911255</v>
      </c>
      <c r="AH57" s="417" t="n">
        <f aca="false">IF(AND(L56&lt;L_rampe,Poussee&lt;Poids*SIN(M56)), g*SIN(M56), (-W56+Poussee)/m)</f>
        <v>96.054329271354</v>
      </c>
    </row>
    <row r="58" customFormat="false" ht="12" hidden="false" customHeight="false" outlineLevel="0" collapsed="false">
      <c r="A58" s="416" t="n">
        <f aca="false">IF(B57+0.01&lt;=T_ini+ROUNDUP(Temps_fin_propu,0), 0.01, IF(K57&gt;0, 0.1, 0.0001))</f>
        <v>0.01</v>
      </c>
      <c r="B58" s="417" t="n">
        <f aca="false">B57+pas</f>
        <v>0.54</v>
      </c>
      <c r="C58" s="401"/>
      <c r="D58" s="418" t="n">
        <f aca="false">IF(AND(L57&lt;L_rampe,Poussee&lt;Poids*SIN(M57)),0,(-W57+Poussee)/m*COS(M57)-U57/m*SIN(M57))</f>
        <v>17.6036602882681</v>
      </c>
      <c r="E58" s="419" t="n">
        <f aca="false">IF(AND(L57&lt;L_rampe,Poussee&lt;Poids*SIN(M57)),0,(-W57+Poussee)/m*SIN(M57)+U57/m*COS(M57)-Poids/m)</f>
        <v>84.4816223779848</v>
      </c>
      <c r="F58" s="417" t="n">
        <f aca="false">SQRT(acc_x^2+acc_z^2)</f>
        <v>86.29619560074</v>
      </c>
      <c r="G58" s="418" t="n">
        <f aca="false">G57+acc_x*pas</f>
        <v>8.63980697023392</v>
      </c>
      <c r="H58" s="419" t="n">
        <f aca="false">H57+acc_z*pas</f>
        <v>46.1798559998046</v>
      </c>
      <c r="I58" s="417" t="n">
        <f aca="false">SQRT(vit_x^2+vit_z^2)</f>
        <v>46.9811171072549</v>
      </c>
      <c r="J58" s="418" t="n">
        <f aca="false">J57+0.5*(vit_x+G57)*pas*(K57&gt;=0)</f>
        <v>2.18353288403846</v>
      </c>
      <c r="K58" s="419" t="n">
        <f aca="false">K57+0.5*(vit_z+H57)*pas</f>
        <v>12.096907879664</v>
      </c>
      <c r="L58" s="417" t="n">
        <f aca="false">SQRT(pos_x^2+pos_z^2)</f>
        <v>12.2923958651173</v>
      </c>
      <c r="M58" s="418" t="n">
        <f aca="false">IF(AND(L57&gt;L_rampe,G58&gt;0),ATAN2(G58,H58),$M$4)</f>
        <v>1.38584411110989</v>
      </c>
      <c r="N58" s="417" t="n">
        <f aca="false">DEGREES(Beta)</f>
        <v>79.4030186296555</v>
      </c>
      <c r="O58" s="401"/>
      <c r="P58" s="420" t="n">
        <f aca="false">MATCH(t-pas/2-T_ini,CdP_t)</f>
        <v>3</v>
      </c>
      <c r="Q58" s="417" t="n">
        <f aca="false">(INDEX(CdP,2,i_P+1)-INDEX(CdP,2,i_P+0))/(INDEX(CdP,1,i_P+1)-INDEX(CdP,1,i_P+0))*(t-pas/2-T_ini-INDEX(CdP,1,i_P+0))+INDEX(CdP,2,i_P+0)</f>
        <v>793.87</v>
      </c>
      <c r="R58" s="418" t="n">
        <f aca="false">Poussee/(g*ISP)</f>
        <v>0.398406365230741</v>
      </c>
      <c r="S58" s="419" t="n">
        <f aca="false">S57-Débit*pas</f>
        <v>8.19288166131453</v>
      </c>
      <c r="T58" s="417" t="n">
        <f aca="false">m*g</f>
        <v>80.3721690974956</v>
      </c>
      <c r="U58" s="421" t="n">
        <f aca="false">IF(pos_xz&lt;L_rampe,Poids*COS(Beta),0)</f>
        <v>0</v>
      </c>
      <c r="V58" s="418" t="n">
        <f aca="false">Rho_moyen*(20000-Alt_rampe-pos_z)/(20000+Alt_rampe+pos_z)</f>
        <v>1.22351902454592</v>
      </c>
      <c r="W58" s="417" t="n">
        <f aca="false">1/2*Rho*Sref*Cx*vit_xz^2</f>
        <v>8.30411045163556</v>
      </c>
      <c r="X58" s="401"/>
      <c r="Y58" s="422" t="str">
        <f aca="false">IF(AND(pos_z&lt;=0,K57&gt;0),"Impact balistique","") &amp; IF(AND(H59&lt;0,vit_z&gt;=0),"Apogée","") &amp; IF(AND(Poussee=0,Q57&gt;0),"Fin de propulsion","") &amp; IF(AND(L59&gt;L_rampe,pos_xz&lt;=L_rampe),"Sortie de rampe","")</f>
        <v/>
      </c>
      <c r="Z58" s="423" t="str">
        <f aca="false">IF(ABS(t-T_para)&lt;pas/2,"Para","")</f>
        <v/>
      </c>
      <c r="AA58" s="424" t="str">
        <f aca="false">IF(ABS(t-T_satellite)&lt;pas/2,"Satellite","")</f>
        <v/>
      </c>
      <c r="AB58" s="412"/>
      <c r="AC58" s="420" t="e">
        <f aca="false">IF(ABS(t-ROUND(t,0))&lt;0.001,t,NA())</f>
        <v>#N/A</v>
      </c>
      <c r="AD58" s="425" t="e">
        <f aca="false">IF(ABS(t-ROUND(t,0))&lt;0.001,pos_x,NA())</f>
        <v>#N/A</v>
      </c>
      <c r="AE58" s="426" t="n">
        <f aca="false">IF(t&lt;T_para, pos_z, NA())</f>
        <v>12.096907879664</v>
      </c>
      <c r="AF58" s="412"/>
      <c r="AG58" s="418" t="n">
        <f aca="false">IF(AND(L57&lt;L_rampe,Poussee&lt;Poids*SIN(M57)),0,(-W57+Poussee)/m-Poids*SIN(M57)/m)</f>
        <v>86.2774135049019</v>
      </c>
      <c r="AH58" s="417" t="n">
        <f aca="false">IF(AND(L57&lt;L_rampe,Poussee&lt;Poids*SIN(M57)), g*SIN(M57), (-W57+Poussee)/m)</f>
        <v>95.9207949623919</v>
      </c>
    </row>
    <row r="59" customFormat="false" ht="12" hidden="false" customHeight="false" outlineLevel="0" collapsed="false">
      <c r="A59" s="416" t="n">
        <f aca="false">IF(B58+0.01&lt;=T_ini+ROUNDUP(Temps_fin_propu,0), 0.01, IF(K58&gt;0, 0.1, 0.0001))</f>
        <v>0.01</v>
      </c>
      <c r="B59" s="417" t="n">
        <f aca="false">B58+pas</f>
        <v>0.55</v>
      </c>
      <c r="C59" s="401"/>
      <c r="D59" s="418" t="n">
        <f aca="false">IF(AND(L58&lt;L_rampe,Poussee&lt;Poids*SIN(M58)),0,(-W58+Poussee)/m*COS(M58)-U58/m*SIN(M58))</f>
        <v>17.6150840038312</v>
      </c>
      <c r="E59" s="419" t="n">
        <f aca="false">IF(AND(L58&lt;L_rampe,Poussee&lt;Poids*SIN(M58)),0,(-W58+Poussee)/m*SIN(M58)+U58/m*COS(M58)-Poids/m)</f>
        <v>84.3428028952438</v>
      </c>
      <c r="F59" s="417" t="n">
        <f aca="false">SQRT(acc_x^2+acc_z^2)</f>
        <v>86.1626345041049</v>
      </c>
      <c r="G59" s="418" t="n">
        <f aca="false">G58+acc_x*pas</f>
        <v>8.81595781027223</v>
      </c>
      <c r="H59" s="419" t="n">
        <f aca="false">H58+acc_z*pas</f>
        <v>47.0232840287571</v>
      </c>
      <c r="I59" s="417" t="n">
        <f aca="false">SQRT(vit_x^2+vit_z^2)</f>
        <v>47.8425579684203</v>
      </c>
      <c r="J59" s="418" t="n">
        <f aca="false">J58+0.5*(vit_x+G58)*pas*(K58&gt;=0)</f>
        <v>2.27081170794099</v>
      </c>
      <c r="K59" s="419" t="n">
        <f aca="false">K58+0.5*(vit_z+H58)*pas</f>
        <v>12.5629235798068</v>
      </c>
      <c r="L59" s="417" t="n">
        <f aca="false">SQRT(pos_x^2+pos_z^2)</f>
        <v>12.7665044035158</v>
      </c>
      <c r="M59" s="418" t="n">
        <f aca="false">IF(AND(L58&gt;L_rampe,G59&gt;0),ATAN2(G59,H59),$M$4)</f>
        <v>1.38546702952271</v>
      </c>
      <c r="N59" s="417" t="n">
        <f aca="false">DEGREES(Beta)</f>
        <v>79.381413446178</v>
      </c>
      <c r="O59" s="401"/>
      <c r="P59" s="420" t="n">
        <f aca="false">MATCH(t-pas/2-T_ini,CdP_t)</f>
        <v>3</v>
      </c>
      <c r="Q59" s="417" t="n">
        <f aca="false">(INDEX(CdP,2,i_P+1)-INDEX(CdP,2,i_P+0))/(INDEX(CdP,1,i_P+1)-INDEX(CdP,1,i_P+0))*(t-pas/2-T_ini-INDEX(CdP,1,i_P+0))+INDEX(CdP,2,i_P+0)</f>
        <v>792.69</v>
      </c>
      <c r="R59" s="418" t="n">
        <f aca="false">Poussee/(g*ISP)</f>
        <v>0.397814178208972</v>
      </c>
      <c r="S59" s="419" t="n">
        <f aca="false">S58-Débit*pas</f>
        <v>8.18890351953244</v>
      </c>
      <c r="T59" s="417" t="n">
        <f aca="false">m*g</f>
        <v>80.3331435266133</v>
      </c>
      <c r="U59" s="421" t="n">
        <f aca="false">IF(pos_xz&lt;L_rampe,Poids*COS(Beta),0)</f>
        <v>0</v>
      </c>
      <c r="V59" s="418" t="n">
        <f aca="false">Rho_moyen*(20000-Alt_rampe-pos_z)/(20000+Alt_rampe+pos_z)</f>
        <v>1.22346200794531</v>
      </c>
      <c r="W59" s="417" t="n">
        <f aca="false">1/2*Rho*Sref*Cx*vit_xz^2</f>
        <v>8.61102764430111</v>
      </c>
      <c r="X59" s="401"/>
      <c r="Y59" s="422" t="str">
        <f aca="false">IF(AND(pos_z&lt;=0,K58&gt;0),"Impact balistique","") &amp; IF(AND(H60&lt;0,vit_z&gt;=0),"Apogée","") &amp; IF(AND(Poussee=0,Q58&gt;0),"Fin de propulsion","") &amp; IF(AND(L60&gt;L_rampe,pos_xz&lt;=L_rampe),"Sortie de rampe","")</f>
        <v/>
      </c>
      <c r="Z59" s="423" t="str">
        <f aca="false">IF(ABS(t-T_para)&lt;pas/2,"Para","")</f>
        <v/>
      </c>
      <c r="AA59" s="424" t="str">
        <f aca="false">IF(ABS(t-T_satellite)&lt;pas/2,"Satellite","")</f>
        <v/>
      </c>
      <c r="AB59" s="412"/>
      <c r="AC59" s="420" t="e">
        <f aca="false">IF(ABS(t-ROUND(t,0))&lt;0.001,t,NA())</f>
        <v>#N/A</v>
      </c>
      <c r="AD59" s="425" t="e">
        <f aca="false">IF(ABS(t-ROUND(t,0))&lt;0.001,pos_x,NA())</f>
        <v>#N/A</v>
      </c>
      <c r="AE59" s="426" t="n">
        <f aca="false">IF(t&lt;T_para, pos_z, NA())</f>
        <v>12.5629235798068</v>
      </c>
      <c r="AF59" s="412"/>
      <c r="AG59" s="418" t="n">
        <f aca="false">IF(AND(L58&lt;L_rampe,Poussee&lt;Poids*SIN(M58)),0,(-W58+Poussee)/m-Poids*SIN(M58)/m)</f>
        <v>86.143745978634</v>
      </c>
      <c r="AH59" s="417" t="n">
        <f aca="false">IF(AND(L58&lt;L_rampe,Poussee&lt;Poids*SIN(M58)), g*SIN(M58), (-W58+Poussee)/m)</f>
        <v>95.7864368138447</v>
      </c>
    </row>
    <row r="60" customFormat="false" ht="12" hidden="false" customHeight="false" outlineLevel="0" collapsed="false">
      <c r="A60" s="416" t="n">
        <f aca="false">IF(B59+0.01&lt;=T_ini+ROUNDUP(Temps_fin_propu,0), 0.01, IF(K59&gt;0, 0.1, 0.0001))</f>
        <v>0.01</v>
      </c>
      <c r="B60" s="417" t="n">
        <f aca="false">B59+pas</f>
        <v>0.56</v>
      </c>
      <c r="C60" s="401"/>
      <c r="D60" s="418" t="n">
        <f aca="false">IF(AND(L59&lt;L_rampe,Poussee&lt;Poids*SIN(M59)),0,(-W59+Poussee)/m*COS(M59)-U59/m*SIN(M59))</f>
        <v>17.6256765419767</v>
      </c>
      <c r="E60" s="419" t="n">
        <f aca="false">IF(AND(L59&lt;L_rampe,Poussee&lt;Poids*SIN(M59)),0,(-W59+Poussee)/m*SIN(M59)+U59/m*COS(M59)-Poids/m)</f>
        <v>84.2032895448574</v>
      </c>
      <c r="F60" s="417" t="n">
        <f aca="false">SQRT(acc_x^2+acc_z^2)</f>
        <v>86.0282421286026</v>
      </c>
      <c r="G60" s="418" t="n">
        <f aca="false">G59+acc_x*pas</f>
        <v>8.992214575692</v>
      </c>
      <c r="H60" s="419" t="n">
        <f aca="false">H59+acc_z*pas</f>
        <v>47.8653169242057</v>
      </c>
      <c r="I60" s="417" t="n">
        <f aca="false">SQRT(vit_x^2+vit_z^2)</f>
        <v>48.7026538006907</v>
      </c>
      <c r="J60" s="418" t="n">
        <f aca="false">J59+0.5*(vit_x+G59)*pas*(K59&gt;=0)</f>
        <v>2.35985256987081</v>
      </c>
      <c r="K60" s="419" t="n">
        <f aca="false">K59+0.5*(vit_z+H59)*pas</f>
        <v>13.0373665845716</v>
      </c>
      <c r="L60" s="417" t="n">
        <f aca="false">SQRT(pos_x^2+pos_z^2)</f>
        <v>13.2492200378751</v>
      </c>
      <c r="M60" s="418" t="n">
        <f aca="false">IF(AND(L59&gt;L_rampe,G60&gt;0),ATAN2(G60,H60),$M$4)</f>
        <v>1.38509586068901</v>
      </c>
      <c r="N60" s="417" t="n">
        <f aca="false">DEGREES(Beta)</f>
        <v>79.3601470385204</v>
      </c>
      <c r="O60" s="401"/>
      <c r="P60" s="420" t="n">
        <f aca="false">MATCH(t-pas/2-T_ini,CdP_t)</f>
        <v>3</v>
      </c>
      <c r="Q60" s="417" t="n">
        <f aca="false">(INDEX(CdP,2,i_P+1)-INDEX(CdP,2,i_P+0))/(INDEX(CdP,1,i_P+1)-INDEX(CdP,1,i_P+0))*(t-pas/2-T_ini-INDEX(CdP,1,i_P+0))+INDEX(CdP,2,i_P+0)</f>
        <v>791.51</v>
      </c>
      <c r="R60" s="418" t="n">
        <f aca="false">Poussee/(g*ISP)</f>
        <v>0.397221991187202</v>
      </c>
      <c r="S60" s="419" t="n">
        <f aca="false">S59-Débit*pas</f>
        <v>8.18493129962057</v>
      </c>
      <c r="T60" s="417" t="n">
        <f aca="false">m*g</f>
        <v>80.2941760492778</v>
      </c>
      <c r="U60" s="421" t="n">
        <f aca="false">IF(pos_xz&lt;L_rampe,Poids*COS(Beta),0)</f>
        <v>0</v>
      </c>
      <c r="V60" s="418" t="n">
        <f aca="false">Rho_moyen*(20000-Alt_rampe-pos_z)/(20000+Alt_rampe+pos_z)</f>
        <v>1.22340396299936</v>
      </c>
      <c r="W60" s="417" t="n">
        <f aca="false">1/2*Rho*Sref*Cx*vit_xz^2</f>
        <v>8.92299907892943</v>
      </c>
      <c r="X60" s="401"/>
      <c r="Y60" s="422" t="str">
        <f aca="false">IF(AND(pos_z&lt;=0,K59&gt;0),"Impact balistique","") &amp; IF(AND(H61&lt;0,vit_z&gt;=0),"Apogée","") &amp; IF(AND(Poussee=0,Q59&gt;0),"Fin de propulsion","") &amp; IF(AND(L61&gt;L_rampe,pos_xz&lt;=L_rampe),"Sortie de rampe","")</f>
        <v/>
      </c>
      <c r="Z60" s="423" t="str">
        <f aca="false">IF(ABS(t-T_para)&lt;pas/2,"Para","")</f>
        <v/>
      </c>
      <c r="AA60" s="424" t="str">
        <f aca="false">IF(ABS(t-T_satellite)&lt;pas/2,"Satellite","")</f>
        <v/>
      </c>
      <c r="AB60" s="412"/>
      <c r="AC60" s="420" t="e">
        <f aca="false">IF(ABS(t-ROUND(t,0))&lt;0.001,t,NA())</f>
        <v>#N/A</v>
      </c>
      <c r="AD60" s="425" t="e">
        <f aca="false">IF(ABS(t-ROUND(t,0))&lt;0.001,pos_x,NA())</f>
        <v>#N/A</v>
      </c>
      <c r="AE60" s="426" t="n">
        <f aca="false">IF(t&lt;T_para, pos_z, NA())</f>
        <v>13.0373665845716</v>
      </c>
      <c r="AF60" s="412"/>
      <c r="AG60" s="418" t="n">
        <f aca="false">IF(AND(L59&lt;L_rampe,Poussee&lt;Poids*SIN(M59)),0,(-W59+Poussee)/m-Poids*SIN(M59)/m)</f>
        <v>86.0092477478152</v>
      </c>
      <c r="AH60" s="417" t="n">
        <f aca="false">IF(AND(L59&lt;L_rampe,Poussee&lt;Poids*SIN(M59)), g*SIN(M59), (-W59+Poussee)/m)</f>
        <v>95.6512576216726</v>
      </c>
    </row>
    <row r="61" customFormat="false" ht="12" hidden="false" customHeight="false" outlineLevel="0" collapsed="false">
      <c r="A61" s="416" t="n">
        <f aca="false">IF(B60+0.01&lt;=T_ini+ROUNDUP(Temps_fin_propu,0), 0.01, IF(K60&gt;0, 0.1, 0.0001))</f>
        <v>0.01</v>
      </c>
      <c r="B61" s="417" t="n">
        <f aca="false">B60+pas</f>
        <v>0.57</v>
      </c>
      <c r="C61" s="401"/>
      <c r="D61" s="418" t="n">
        <f aca="false">IF(AND(L60&lt;L_rampe,Poussee&lt;Poids*SIN(M60)),0,(-W60+Poussee)/m*COS(M60)-U60/m*SIN(M60))</f>
        <v>17.6354602483318</v>
      </c>
      <c r="E61" s="419" t="n">
        <f aca="false">IF(AND(L60&lt;L_rampe,Poussee&lt;Poids*SIN(M60)),0,(-W60+Poussee)/m*SIN(M60)+U60/m*COS(M60)-Poids/m)</f>
        <v>84.0630817403422</v>
      </c>
      <c r="F61" s="417" t="n">
        <f aca="false">SQRT(acc_x^2+acc_z^2)</f>
        <v>85.8930216598179</v>
      </c>
      <c r="G61" s="418" t="n">
        <f aca="false">G60+acc_x*pas</f>
        <v>9.16856917817532</v>
      </c>
      <c r="H61" s="419" t="n">
        <f aca="false">H60+acc_z*pas</f>
        <v>48.7059477416091</v>
      </c>
      <c r="I61" s="417" t="n">
        <f aca="false">SQRT(vit_x^2+vit_z^2)</f>
        <v>49.5613963300404</v>
      </c>
      <c r="J61" s="418" t="n">
        <f aca="false">J60+0.5*(vit_x+G60)*pas*(K60&gt;=0)</f>
        <v>2.45065648864015</v>
      </c>
      <c r="K61" s="419" t="n">
        <f aca="false">K60+0.5*(vit_z+H60)*pas</f>
        <v>13.5202229079007</v>
      </c>
      <c r="L61" s="417" t="n">
        <f aca="false">SQRT(pos_x^2+pos_z^2)</f>
        <v>13.7405292730897</v>
      </c>
      <c r="M61" s="418" t="n">
        <f aca="false">IF(AND(L60&gt;L_rampe,G61&gt;0),ATAN2(G61,H61),$M$4)</f>
        <v>1.38473040096777</v>
      </c>
      <c r="N61" s="417" t="n">
        <f aca="false">DEGREES(Beta)</f>
        <v>79.3392077389115</v>
      </c>
      <c r="O61" s="401"/>
      <c r="P61" s="420" t="n">
        <f aca="false">MATCH(t-pas/2-T_ini,CdP_t)</f>
        <v>3</v>
      </c>
      <c r="Q61" s="417" t="n">
        <f aca="false">(INDEX(CdP,2,i_P+1)-INDEX(CdP,2,i_P+0))/(INDEX(CdP,1,i_P+1)-INDEX(CdP,1,i_P+0))*(t-pas/2-T_ini-INDEX(CdP,1,i_P+0))+INDEX(CdP,2,i_P+0)</f>
        <v>790.33</v>
      </c>
      <c r="R61" s="418" t="n">
        <f aca="false">Poussee/(g*ISP)</f>
        <v>0.396629804165433</v>
      </c>
      <c r="S61" s="419" t="n">
        <f aca="false">S60-Débit*pas</f>
        <v>8.18096500157892</v>
      </c>
      <c r="T61" s="417" t="n">
        <f aca="false">m*g</f>
        <v>80.2552666654892</v>
      </c>
      <c r="U61" s="421" t="n">
        <f aca="false">IF(pos_xz&lt;L_rampe,Poids*COS(Beta),0)</f>
        <v>0</v>
      </c>
      <c r="V61" s="418" t="n">
        <f aca="false">Rho_moyen*(20000-Alt_rampe-pos_z)/(20000+Alt_rampe+pos_z)</f>
        <v>1.22334489156553</v>
      </c>
      <c r="W61" s="417" t="n">
        <f aca="false">1/2*Rho*Sref*Cx*vit_xz^2</f>
        <v>9.23999406169098</v>
      </c>
      <c r="X61" s="401"/>
      <c r="Y61" s="422" t="str">
        <f aca="false">IF(AND(pos_z&lt;=0,K60&gt;0),"Impact balistique","") &amp; IF(AND(H62&lt;0,vit_z&gt;=0),"Apogée","") &amp; IF(AND(Poussee=0,Q60&gt;0),"Fin de propulsion","") &amp; IF(AND(L62&gt;L_rampe,pos_xz&lt;=L_rampe),"Sortie de rampe","")</f>
        <v/>
      </c>
      <c r="Z61" s="423" t="str">
        <f aca="false">IF(ABS(t-T_para)&lt;pas/2,"Para","")</f>
        <v/>
      </c>
      <c r="AA61" s="424" t="str">
        <f aca="false">IF(ABS(t-T_satellite)&lt;pas/2,"Satellite","")</f>
        <v/>
      </c>
      <c r="AB61" s="412"/>
      <c r="AC61" s="420" t="e">
        <f aca="false">IF(ABS(t-ROUND(t,0))&lt;0.001,t,NA())</f>
        <v>#N/A</v>
      </c>
      <c r="AD61" s="425" t="e">
        <f aca="false">IF(ABS(t-ROUND(t,0))&lt;0.001,pos_x,NA())</f>
        <v>#N/A</v>
      </c>
      <c r="AE61" s="426" t="n">
        <f aca="false">IF(t&lt;T_para, pos_z, NA())</f>
        <v>13.5202229079007</v>
      </c>
      <c r="AF61" s="412"/>
      <c r="AG61" s="418" t="n">
        <f aca="false">IF(AND(L60&lt;L_rampe,Poussee&lt;Poids*SIN(M60)),0,(-W60+Poussee)/m-Poids*SIN(M60)/m)</f>
        <v>85.8739219619621</v>
      </c>
      <c r="AH61" s="417" t="n">
        <f aca="false">IF(AND(L60&lt;L_rampe,Poussee&lt;Poids*SIN(M60)), g*SIN(M60), (-W60+Poussee)/m)</f>
        <v>95.5152602132218</v>
      </c>
    </row>
    <row r="62" customFormat="false" ht="12" hidden="false" customHeight="false" outlineLevel="0" collapsed="false">
      <c r="A62" s="416" t="n">
        <f aca="false">IF(B61+0.01&lt;=T_ini+ROUNDUP(Temps_fin_propu,0), 0.01, IF(K61&gt;0, 0.1, 0.0001))</f>
        <v>0.01</v>
      </c>
      <c r="B62" s="417" t="n">
        <f aca="false">B61+pas</f>
        <v>0.58</v>
      </c>
      <c r="C62" s="401"/>
      <c r="D62" s="418" t="n">
        <f aca="false">IF(AND(L61&lt;L_rampe,Poussee&lt;Poids*SIN(M61)),0,(-W61+Poussee)/m*COS(M61)-U61/m*SIN(M61))</f>
        <v>17.6444563365689</v>
      </c>
      <c r="E62" s="419" t="n">
        <f aca="false">IF(AND(L61&lt;L_rampe,Poussee&lt;Poids*SIN(M61)),0,(-W61+Poussee)/m*SIN(M61)+U61/m*COS(M61)-Poids/m)</f>
        <v>83.9221790954803</v>
      </c>
      <c r="F62" s="417" t="n">
        <f aca="false">SQRT(acc_x^2+acc_z^2)</f>
        <v>85.7569762966661</v>
      </c>
      <c r="G62" s="418" t="n">
        <f aca="false">G61+acc_x*pas</f>
        <v>9.34501374154101</v>
      </c>
      <c r="H62" s="419" t="n">
        <f aca="false">H61+acc_z*pas</f>
        <v>49.5451695325639</v>
      </c>
      <c r="I62" s="417" t="n">
        <f aca="false">SQRT(vit_x^2+vit_z^2)</f>
        <v>50.4187773140135</v>
      </c>
      <c r="J62" s="418" t="n">
        <f aca="false">J61+0.5*(vit_x+G61)*pas*(K61&gt;=0)</f>
        <v>2.54322440323873</v>
      </c>
      <c r="K62" s="419" t="n">
        <f aca="false">K61+0.5*(vit_z+H61)*pas</f>
        <v>14.0114784942715</v>
      </c>
      <c r="L62" s="417" t="n">
        <f aca="false">SQRT(pos_x^2+pos_z^2)</f>
        <v>14.240418531794</v>
      </c>
      <c r="M62" s="418" t="n">
        <f aca="false">IF(AND(L61&gt;L_rampe,G62&gt;0),ATAN2(G62,H62),$M$4)</f>
        <v>1.38437045713256</v>
      </c>
      <c r="N62" s="417" t="n">
        <f aca="false">DEGREES(Beta)</f>
        <v>79.3185844762921</v>
      </c>
      <c r="O62" s="401"/>
      <c r="P62" s="420" t="n">
        <f aca="false">MATCH(t-pas/2-T_ini,CdP_t)</f>
        <v>3</v>
      </c>
      <c r="Q62" s="417" t="n">
        <f aca="false">(INDEX(CdP,2,i_P+1)-INDEX(CdP,2,i_P+0))/(INDEX(CdP,1,i_P+1)-INDEX(CdP,1,i_P+0))*(t-pas/2-T_ini-INDEX(CdP,1,i_P+0))+INDEX(CdP,2,i_P+0)</f>
        <v>789.15</v>
      </c>
      <c r="R62" s="418" t="n">
        <f aca="false">Poussee/(g*ISP)</f>
        <v>0.396037617143663</v>
      </c>
      <c r="S62" s="419" t="n">
        <f aca="false">S61-Débit*pas</f>
        <v>8.17700462540748</v>
      </c>
      <c r="T62" s="417" t="n">
        <f aca="false">m*g</f>
        <v>80.2164153752474</v>
      </c>
      <c r="U62" s="421" t="n">
        <f aca="false">IF(pos_xz&lt;L_rampe,Poids*COS(Beta),0)</f>
        <v>0</v>
      </c>
      <c r="V62" s="418" t="n">
        <f aca="false">Rho_moyen*(20000-Alt_rampe-pos_z)/(20000+Alt_rampe+pos_z)</f>
        <v>1.22328479551199</v>
      </c>
      <c r="W62" s="417" t="n">
        <f aca="false">1/2*Rho*Sref*Cx*vit_xz^2</f>
        <v>9.56198172019114</v>
      </c>
      <c r="X62" s="401"/>
      <c r="Y62" s="422" t="str">
        <f aca="false">IF(AND(pos_z&lt;=0,K61&gt;0),"Impact balistique","") &amp; IF(AND(H63&lt;0,vit_z&gt;=0),"Apogée","") &amp; IF(AND(Poussee=0,Q61&gt;0),"Fin de propulsion","") &amp; IF(AND(L63&gt;L_rampe,pos_xz&lt;=L_rampe),"Sortie de rampe","")</f>
        <v/>
      </c>
      <c r="Z62" s="423" t="str">
        <f aca="false">IF(ABS(t-T_para)&lt;pas/2,"Para","")</f>
        <v/>
      </c>
      <c r="AA62" s="424" t="str">
        <f aca="false">IF(ABS(t-T_satellite)&lt;pas/2,"Satellite","")</f>
        <v/>
      </c>
      <c r="AB62" s="412"/>
      <c r="AC62" s="420" t="e">
        <f aca="false">IF(ABS(t-ROUND(t,0))&lt;0.001,t,NA())</f>
        <v>#N/A</v>
      </c>
      <c r="AD62" s="425" t="e">
        <f aca="false">IF(ABS(t-ROUND(t,0))&lt;0.001,pos_x,NA())</f>
        <v>#N/A</v>
      </c>
      <c r="AE62" s="426" t="n">
        <f aca="false">IF(t&lt;T_para, pos_z, NA())</f>
        <v>14.0114784942715</v>
      </c>
      <c r="AF62" s="412"/>
      <c r="AG62" s="418" t="n">
        <f aca="false">IF(AND(L61&lt;L_rampe,Poussee&lt;Poids*SIN(M61)),0,(-W61+Poussee)/m-Poids*SIN(M61)/m)</f>
        <v>85.7377717855772</v>
      </c>
      <c r="AH62" s="417" t="n">
        <f aca="false">IF(AND(L61&lt;L_rampe,Poussee&lt;Poids*SIN(M61)), g*SIN(M61), (-W61+Poussee)/m)</f>
        <v>95.3784474470007</v>
      </c>
    </row>
    <row r="63" customFormat="false" ht="12" hidden="false" customHeight="false" outlineLevel="0" collapsed="false">
      <c r="A63" s="416" t="n">
        <f aca="false">IF(B62+0.01&lt;=T_ini+ROUNDUP(Temps_fin_propu,0), 0.01, IF(K62&gt;0, 0.1, 0.0001))</f>
        <v>0.01</v>
      </c>
      <c r="B63" s="417" t="n">
        <f aca="false">B62+pas</f>
        <v>0.59</v>
      </c>
      <c r="C63" s="401"/>
      <c r="D63" s="418" t="n">
        <f aca="false">IF(AND(L62&lt;L_rampe,Poussee&lt;Poids*SIN(M62)),0,(-W62+Poussee)/m*COS(M62)-U62/m*SIN(M62))</f>
        <v>17.6526849667114</v>
      </c>
      <c r="E63" s="419" t="n">
        <f aca="false">IF(AND(L62&lt;L_rampe,Poussee&lt;Poids*SIN(M62)),0,(-W62+Poussee)/m*SIN(M62)+U62/m*COS(M62)-Poids/m)</f>
        <v>83.7805814127178</v>
      </c>
      <c r="F63" s="417" t="n">
        <f aca="false">SQRT(acc_x^2+acc_z^2)</f>
        <v>85.6201092523654</v>
      </c>
      <c r="G63" s="418" t="n">
        <f aca="false">G62+acc_x*pas</f>
        <v>9.52154059120812</v>
      </c>
      <c r="H63" s="419" t="n">
        <f aca="false">H62+acc_z*pas</f>
        <v>50.3829753466911</v>
      </c>
      <c r="I63" s="417" t="n">
        <f aca="false">SQRT(vit_x^2+vit_z^2)</f>
        <v>51.2747885418877</v>
      </c>
      <c r="J63" s="418" t="n">
        <f aca="false">J62+0.5*(vit_x+G62)*pas*(K62&gt;=0)</f>
        <v>2.63755717490247</v>
      </c>
      <c r="K63" s="419" t="n">
        <f aca="false">K62+0.5*(vit_z+H62)*pas</f>
        <v>14.5111192186678</v>
      </c>
      <c r="L63" s="417" t="n">
        <f aca="false">SQRT(pos_x^2+pos_z^2)</f>
        <v>14.7488741546353</v>
      </c>
      <c r="M63" s="418" t="n">
        <f aca="false">IF(AND(L62&gt;L_rampe,G63&gt;0),ATAN2(G63,H63),$M$4)</f>
        <v>1.38401584566714</v>
      </c>
      <c r="N63" s="417" t="n">
        <f aca="false">DEGREES(Beta)</f>
        <v>79.2982667359568</v>
      </c>
      <c r="O63" s="401"/>
      <c r="P63" s="420" t="n">
        <f aca="false">MATCH(t-pas/2-T_ini,CdP_t)</f>
        <v>3</v>
      </c>
      <c r="Q63" s="417" t="n">
        <f aca="false">(INDEX(CdP,2,i_P+1)-INDEX(CdP,2,i_P+0))/(INDEX(CdP,1,i_P+1)-INDEX(CdP,1,i_P+0))*(t-pas/2-T_ini-INDEX(CdP,1,i_P+0))+INDEX(CdP,2,i_P+0)</f>
        <v>787.97</v>
      </c>
      <c r="R63" s="418" t="n">
        <f aca="false">Poussee/(g*ISP)</f>
        <v>0.395445430121893</v>
      </c>
      <c r="S63" s="419" t="n">
        <f aca="false">S62-Débit*pas</f>
        <v>8.17305017110626</v>
      </c>
      <c r="T63" s="417" t="n">
        <f aca="false">m*g</f>
        <v>80.1776221785524</v>
      </c>
      <c r="U63" s="421" t="n">
        <f aca="false">IF(pos_xz&lt;L_rampe,Poids*COS(Beta),0)</f>
        <v>0</v>
      </c>
      <c r="V63" s="418" t="n">
        <f aca="false">Rho_moyen*(20000-Alt_rampe-pos_z)/(20000+Alt_rampe+pos_z)</f>
        <v>1.22322367671766</v>
      </c>
      <c r="W63" s="417" t="n">
        <f aca="false">1/2*Rho*Sref*Cx*vit_xz^2</f>
        <v>9.88893100577038</v>
      </c>
      <c r="X63" s="401"/>
      <c r="Y63" s="422" t="str">
        <f aca="false">IF(AND(pos_z&lt;=0,K62&gt;0),"Impact balistique","") &amp; IF(AND(H64&lt;0,vit_z&gt;=0),"Apogée","") &amp; IF(AND(Poussee=0,Q62&gt;0),"Fin de propulsion","") &amp; IF(AND(L64&gt;L_rampe,pos_xz&lt;=L_rampe),"Sortie de rampe","")</f>
        <v/>
      </c>
      <c r="Z63" s="423" t="str">
        <f aca="false">IF(ABS(t-T_para)&lt;pas/2,"Para","")</f>
        <v/>
      </c>
      <c r="AA63" s="424" t="str">
        <f aca="false">IF(ABS(t-T_satellite)&lt;pas/2,"Satellite","")</f>
        <v/>
      </c>
      <c r="AB63" s="412"/>
      <c r="AC63" s="420" t="e">
        <f aca="false">IF(ABS(t-ROUND(t,0))&lt;0.001,t,NA())</f>
        <v>#N/A</v>
      </c>
      <c r="AD63" s="425" t="e">
        <f aca="false">IF(ABS(t-ROUND(t,0))&lt;0.001,pos_x,NA())</f>
        <v>#N/A</v>
      </c>
      <c r="AE63" s="426" t="n">
        <f aca="false">IF(t&lt;T_para, pos_z, NA())</f>
        <v>14.5111192186678</v>
      </c>
      <c r="AF63" s="412"/>
      <c r="AG63" s="418" t="n">
        <f aca="false">IF(AND(L62&lt;L_rampe,Poussee&lt;Poids*SIN(M62)),0,(-W62+Poussee)/m-Poids*SIN(M62)/m)</f>
        <v>85.6008003990076</v>
      </c>
      <c r="AH63" s="417" t="n">
        <f aca="false">IF(AND(L62&lt;L_rampe,Poussee&lt;Poids*SIN(M62)), g*SIN(M62), (-W62+Poussee)/m)</f>
        <v>95.2408222124553</v>
      </c>
    </row>
    <row r="64" customFormat="false" ht="12" hidden="false" customHeight="false" outlineLevel="0" collapsed="false">
      <c r="A64" s="416" t="n">
        <f aca="false">IF(B63+0.01&lt;=T_ini+ROUNDUP(Temps_fin_propu,0), 0.01, IF(K63&gt;0, 0.1, 0.0001))</f>
        <v>0.01</v>
      </c>
      <c r="B64" s="417" t="n">
        <f aca="false">B63+pas</f>
        <v>0.6</v>
      </c>
      <c r="C64" s="401"/>
      <c r="D64" s="418" t="n">
        <f aca="false">IF(AND(L63&lt;L_rampe,Poussee&lt;Poids*SIN(M63)),0,(-W63+Poussee)/m*COS(M63)-U63/m*SIN(M63))</f>
        <v>17.660165316788</v>
      </c>
      <c r="E64" s="419" t="n">
        <f aca="false">IF(AND(L63&lt;L_rampe,Poussee&lt;Poids*SIN(M63)),0,(-W63+Poussee)/m*SIN(M63)+U63/m*COS(M63)-Poids/m)</f>
        <v>83.6382886725078</v>
      </c>
      <c r="F64" s="417" t="n">
        <f aca="false">SQRT(acc_x^2+acc_z^2)</f>
        <v>85.4824237553079</v>
      </c>
      <c r="G64" s="418" t="n">
        <f aca="false">G63+acc_x*pas</f>
        <v>9.698142244376</v>
      </c>
      <c r="H64" s="419" t="n">
        <f aca="false">H63+acc_z*pas</f>
        <v>51.2193582334161</v>
      </c>
      <c r="I64" s="417" t="n">
        <f aca="false">SQRT(vit_x^2+vit_z^2)</f>
        <v>52.1294218348445</v>
      </c>
      <c r="J64" s="418" t="n">
        <f aca="false">J63+0.5*(vit_x+G63)*pas*(K63&gt;=0)</f>
        <v>2.73365558908039</v>
      </c>
      <c r="K64" s="419" t="n">
        <f aca="false">K63+0.5*(vit_z+H63)*pas</f>
        <v>15.0191308865683</v>
      </c>
      <c r="L64" s="417" t="n">
        <f aca="false">SQRT(pos_x^2+pos_z^2)</f>
        <v>15.2658824005552</v>
      </c>
      <c r="M64" s="418" t="n">
        <f aca="false">IF(AND(L63&gt;L_rampe,G64&gt;0),ATAN2(G64,H64),$M$4)</f>
        <v>1.38366639211998</v>
      </c>
      <c r="N64" s="417" t="n">
        <f aca="false">DEGREES(Beta)</f>
        <v>79.2782445225682</v>
      </c>
      <c r="O64" s="401"/>
      <c r="P64" s="420" t="n">
        <f aca="false">MATCH(t-pas/2-T_ini,CdP_t)</f>
        <v>3</v>
      </c>
      <c r="Q64" s="417" t="n">
        <f aca="false">(INDEX(CdP,2,i_P+1)-INDEX(CdP,2,i_P+0))/(INDEX(CdP,1,i_P+1)-INDEX(CdP,1,i_P+0))*(t-pas/2-T_ini-INDEX(CdP,1,i_P+0))+INDEX(CdP,2,i_P+0)</f>
        <v>786.79</v>
      </c>
      <c r="R64" s="418" t="n">
        <f aca="false">Poussee/(g*ISP)</f>
        <v>0.394853243100124</v>
      </c>
      <c r="S64" s="419" t="n">
        <f aca="false">S63-Débit*pas</f>
        <v>8.16910163867526</v>
      </c>
      <c r="T64" s="417" t="n">
        <f aca="false">m*g</f>
        <v>80.1388870754043</v>
      </c>
      <c r="U64" s="421" t="n">
        <f aca="false">IF(pos_xz&lt;L_rampe,Poids*COS(Beta),0)</f>
        <v>0</v>
      </c>
      <c r="V64" s="418" t="n">
        <f aca="false">Rho_moyen*(20000-Alt_rampe-pos_z)/(20000+Alt_rampe+pos_z)</f>
        <v>1.22316153707216</v>
      </c>
      <c r="W64" s="417" t="n">
        <f aca="false">1/2*Rho*Sref*Cx*vit_xz^2</f>
        <v>10.220810695815</v>
      </c>
      <c r="X64" s="401"/>
      <c r="Y64" s="422" t="str">
        <f aca="false">IF(AND(pos_z&lt;=0,K63&gt;0),"Impact balistique","") &amp; IF(AND(H65&lt;0,vit_z&gt;=0),"Apogée","") &amp; IF(AND(Poussee=0,Q63&gt;0),"Fin de propulsion","") &amp; IF(AND(L65&gt;L_rampe,pos_xz&lt;=L_rampe),"Sortie de rampe","")</f>
        <v/>
      </c>
      <c r="Z64" s="423" t="str">
        <f aca="false">IF(ABS(t-T_para)&lt;pas/2,"Para","")</f>
        <v/>
      </c>
      <c r="AA64" s="424" t="str">
        <f aca="false">IF(ABS(t-T_satellite)&lt;pas/2,"Satellite","")</f>
        <v/>
      </c>
      <c r="AB64" s="412"/>
      <c r="AC64" s="420" t="e">
        <f aca="false">IF(ABS(t-ROUND(t,0))&lt;0.001,t,NA())</f>
        <v>#N/A</v>
      </c>
      <c r="AD64" s="425" t="e">
        <f aca="false">IF(ABS(t-ROUND(t,0))&lt;0.001,pos_x,NA())</f>
        <v>#N/A</v>
      </c>
      <c r="AE64" s="426" t="n">
        <f aca="false">IF(t&lt;T_para, pos_z, NA())</f>
        <v>15.0191308865683</v>
      </c>
      <c r="AF64" s="412"/>
      <c r="AG64" s="418" t="n">
        <f aca="false">IF(AND(L63&lt;L_rampe,Poussee&lt;Poids*SIN(M63)),0,(-W63+Poussee)/m-Poids*SIN(M63)/m)</f>
        <v>85.4630109992122</v>
      </c>
      <c r="AH64" s="417" t="n">
        <f aca="false">IF(AND(L63&lt;L_rampe,Poussee&lt;Poids*SIN(M63)), g*SIN(M63), (-W63+Poussee)/m)</f>
        <v>95.1023874297414</v>
      </c>
    </row>
    <row r="65" customFormat="false" ht="12" hidden="false" customHeight="false" outlineLevel="0" collapsed="false">
      <c r="A65" s="416" t="n">
        <f aca="false">IF(B64+0.01&lt;=T_ini+ROUNDUP(Temps_fin_propu,0), 0.01, IF(K64&gt;0, 0.1, 0.0001))</f>
        <v>0.01</v>
      </c>
      <c r="B65" s="417" t="n">
        <f aca="false">B64+pas</f>
        <v>0.61</v>
      </c>
      <c r="C65" s="401"/>
      <c r="D65" s="418" t="n">
        <f aca="false">IF(AND(L64&lt;L_rampe,Poussee&lt;Poids*SIN(M64)),0,(-W64+Poussee)/m*COS(M64)-U64/m*SIN(M64))</f>
        <v>17.6669156485035</v>
      </c>
      <c r="E65" s="419" t="n">
        <f aca="false">IF(AND(L64&lt;L_rampe,Poussee&lt;Poids*SIN(M64)),0,(-W64+Poussee)/m*SIN(M64)+U64/m*COS(M64)-Poids/m)</f>
        <v>83.495301023502</v>
      </c>
      <c r="F65" s="417" t="n">
        <f aca="false">SQRT(acc_x^2+acc_z^2)</f>
        <v>85.3439230498373</v>
      </c>
      <c r="G65" s="418" t="n">
        <f aca="false">G64+acc_x*pas</f>
        <v>9.87481140086104</v>
      </c>
      <c r="H65" s="419" t="n">
        <f aca="false">H64+acc_z*pas</f>
        <v>52.0543112436512</v>
      </c>
      <c r="I65" s="417" t="n">
        <f aca="false">SQRT(vit_x^2+vit_z^2)</f>
        <v>52.9826690461464</v>
      </c>
      <c r="J65" s="418" t="n">
        <f aca="false">J64+0.5*(vit_x+G64)*pas*(K64&gt;=0)</f>
        <v>2.83152035730658</v>
      </c>
      <c r="K65" s="419" t="n">
        <f aca="false">K64+0.5*(vit_z+H64)*pas</f>
        <v>15.5354992339537</v>
      </c>
      <c r="L65" s="417" t="n">
        <f aca="false">SQRT(pos_x^2+pos_z^2)</f>
        <v>15.7914294470772</v>
      </c>
      <c r="M65" s="418" t="n">
        <f aca="false">IF(AND(L64&gt;L_rampe,G65&gt;0),ATAN2(G65,H65),$M$4)</f>
        <v>1.38332193051167</v>
      </c>
      <c r="N65" s="417" t="n">
        <f aca="false">DEGREES(Beta)</f>
        <v>79.2585083262079</v>
      </c>
      <c r="O65" s="401"/>
      <c r="P65" s="420" t="n">
        <f aca="false">MATCH(t-pas/2-T_ini,CdP_t)</f>
        <v>3</v>
      </c>
      <c r="Q65" s="417" t="n">
        <f aca="false">(INDEX(CdP,2,i_P+1)-INDEX(CdP,2,i_P+0))/(INDEX(CdP,1,i_P+1)-INDEX(CdP,1,i_P+0))*(t-pas/2-T_ini-INDEX(CdP,1,i_P+0))+INDEX(CdP,2,i_P+0)</f>
        <v>785.61</v>
      </c>
      <c r="R65" s="418" t="n">
        <f aca="false">Poussee/(g*ISP)</f>
        <v>0.394261056078354</v>
      </c>
      <c r="S65" s="419" t="n">
        <f aca="false">S64-Débit*pas</f>
        <v>8.16515902811448</v>
      </c>
      <c r="T65" s="417" t="n">
        <f aca="false">m*g</f>
        <v>80.100210065803</v>
      </c>
      <c r="U65" s="421" t="n">
        <f aca="false">IF(pos_xz&lt;L_rampe,Poids*COS(Beta),0)</f>
        <v>0</v>
      </c>
      <c r="V65" s="418" t="n">
        <f aca="false">Rho_moyen*(20000-Alt_rampe-pos_z)/(20000+Alt_rampe+pos_z)</f>
        <v>1.22309837847583</v>
      </c>
      <c r="W65" s="417" t="n">
        <f aca="false">1/2*Rho*Sref*Cx*vit_xz^2</f>
        <v>10.5575893960783</v>
      </c>
      <c r="X65" s="401"/>
      <c r="Y65" s="422" t="str">
        <f aca="false">IF(AND(pos_z&lt;=0,K64&gt;0),"Impact balistique","") &amp; IF(AND(H66&lt;0,vit_z&gt;=0),"Apogée","") &amp; IF(AND(Poussee=0,Q64&gt;0),"Fin de propulsion","") &amp; IF(AND(L66&gt;L_rampe,pos_xz&lt;=L_rampe),"Sortie de rampe","")</f>
        <v/>
      </c>
      <c r="Z65" s="423" t="str">
        <f aca="false">IF(ABS(t-T_para)&lt;pas/2,"Para","")</f>
        <v/>
      </c>
      <c r="AA65" s="424" t="str">
        <f aca="false">IF(ABS(t-T_satellite)&lt;pas/2,"Satellite","")</f>
        <v/>
      </c>
      <c r="AB65" s="412"/>
      <c r="AC65" s="420" t="e">
        <f aca="false">IF(ABS(t-ROUND(t,0))&lt;0.001,t,NA())</f>
        <v>#N/A</v>
      </c>
      <c r="AD65" s="425" t="e">
        <f aca="false">IF(ABS(t-ROUND(t,0))&lt;0.001,pos_x,NA())</f>
        <v>#N/A</v>
      </c>
      <c r="AE65" s="426" t="n">
        <f aca="false">IF(t&lt;T_para, pos_z, NA())</f>
        <v>15.5354992339537</v>
      </c>
      <c r="AF65" s="412"/>
      <c r="AG65" s="418" t="n">
        <f aca="false">IF(AND(L64&lt;L_rampe,Poussee&lt;Poids*SIN(M64)),0,(-W64+Poussee)/m-Poids*SIN(M64)/m)</f>
        <v>85.3244068004444</v>
      </c>
      <c r="AH65" s="417" t="n">
        <f aca="false">IF(AND(L64&lt;L_rampe,Poussee&lt;Poids*SIN(M64)), g*SIN(M64), (-W64+Poussee)/m)</f>
        <v>94.9631460494947</v>
      </c>
    </row>
    <row r="66" customFormat="false" ht="12" hidden="false" customHeight="false" outlineLevel="0" collapsed="false">
      <c r="A66" s="416" t="n">
        <f aca="false">IF(B65+0.01&lt;=T_ini+ROUNDUP(Temps_fin_propu,0), 0.01, IF(K65&gt;0, 0.1, 0.0001))</f>
        <v>0.01</v>
      </c>
      <c r="B66" s="417" t="n">
        <f aca="false">B65+pas</f>
        <v>0.62</v>
      </c>
      <c r="C66" s="401"/>
      <c r="D66" s="418" t="n">
        <f aca="false">IF(AND(L65&lt;L_rampe,Poussee&lt;Poids*SIN(M65)),0,(-W65+Poussee)/m*COS(M65)-U65/m*SIN(M65))</f>
        <v>17.6729533675183</v>
      </c>
      <c r="E66" s="419" t="n">
        <f aca="false">IF(AND(L65&lt;L_rampe,Poussee&lt;Poids*SIN(M65)),0,(-W65+Poussee)/m*SIN(M65)+U65/m*COS(M65)-Poids/m)</f>
        <v>83.3516187735106</v>
      </c>
      <c r="F66" s="417" t="n">
        <f aca="false">SQRT(acc_x^2+acc_z^2)</f>
        <v>85.2046103969446</v>
      </c>
      <c r="G66" s="418" t="n">
        <f aca="false">G65+acc_x*pas</f>
        <v>10.0515409345362</v>
      </c>
      <c r="H66" s="419" t="n">
        <f aca="false">H65+acc_z*pas</f>
        <v>52.8878274313863</v>
      </c>
      <c r="I66" s="417" t="n">
        <f aca="false">SQRT(vit_x^2+vit_z^2)</f>
        <v>53.83452206132</v>
      </c>
      <c r="J66" s="418" t="n">
        <f aca="false">J65+0.5*(vit_x+G65)*pas*(K65&gt;=0)</f>
        <v>2.93115211898356</v>
      </c>
      <c r="K66" s="419" t="n">
        <f aca="false">K65+0.5*(vit_z+H65)*pas</f>
        <v>16.0602099273289</v>
      </c>
      <c r="L66" s="417" t="n">
        <f aca="false">SQRT(pos_x^2+pos_z^2)</f>
        <v>16.3255013906004</v>
      </c>
      <c r="M66" s="418" t="n">
        <f aca="false">IF(AND(L65&gt;L_rampe,G66&gt;0),ATAN2(G66,H66),$M$4)</f>
        <v>1.38298230279036</v>
      </c>
      <c r="N66" s="417" t="n">
        <f aca="false">DEGREES(Beta)</f>
        <v>79.2390490911712</v>
      </c>
      <c r="O66" s="401"/>
      <c r="P66" s="420" t="n">
        <f aca="false">MATCH(t-pas/2-T_ini,CdP_t)</f>
        <v>3</v>
      </c>
      <c r="Q66" s="417" t="n">
        <f aca="false">(INDEX(CdP,2,i_P+1)-INDEX(CdP,2,i_P+0))/(INDEX(CdP,1,i_P+1)-INDEX(CdP,1,i_P+0))*(t-pas/2-T_ini-INDEX(CdP,1,i_P+0))+INDEX(CdP,2,i_P+0)</f>
        <v>784.43</v>
      </c>
      <c r="R66" s="418" t="n">
        <f aca="false">Poussee/(g*ISP)</f>
        <v>0.393668869056584</v>
      </c>
      <c r="S66" s="419" t="n">
        <f aca="false">S65-Débit*pas</f>
        <v>8.16122233942391</v>
      </c>
      <c r="T66" s="417" t="n">
        <f aca="false">m*g</f>
        <v>80.0615911497486</v>
      </c>
      <c r="U66" s="421" t="n">
        <f aca="false">IF(pos_xz&lt;L_rampe,Poids*COS(Beta),0)</f>
        <v>0</v>
      </c>
      <c r="V66" s="418" t="n">
        <f aca="false">Rho_moyen*(20000-Alt_rampe-pos_z)/(20000+Alt_rampe+pos_z)</f>
        <v>1.22303420283966</v>
      </c>
      <c r="W66" s="417" t="n">
        <f aca="false">1/2*Rho*Sref*Cx*vit_xz^2</f>
        <v>10.8992355430118</v>
      </c>
      <c r="X66" s="401"/>
      <c r="Y66" s="422" t="str">
        <f aca="false">IF(AND(pos_z&lt;=0,K65&gt;0),"Impact balistique","") &amp; IF(AND(H67&lt;0,vit_z&gt;=0),"Apogée","") &amp; IF(AND(Poussee=0,Q65&gt;0),"Fin de propulsion","") &amp; IF(AND(L67&gt;L_rampe,pos_xz&lt;=L_rampe),"Sortie de rampe","")</f>
        <v/>
      </c>
      <c r="Z66" s="423" t="str">
        <f aca="false">IF(ABS(t-T_para)&lt;pas/2,"Para","")</f>
        <v/>
      </c>
      <c r="AA66" s="424" t="str">
        <f aca="false">IF(ABS(t-T_satellite)&lt;pas/2,"Satellite","")</f>
        <v/>
      </c>
      <c r="AB66" s="412"/>
      <c r="AC66" s="420" t="e">
        <f aca="false">IF(ABS(t-ROUND(t,0))&lt;0.001,t,NA())</f>
        <v>#N/A</v>
      </c>
      <c r="AD66" s="425" t="e">
        <f aca="false">IF(ABS(t-ROUND(t,0))&lt;0.001,pos_x,NA())</f>
        <v>#N/A</v>
      </c>
      <c r="AE66" s="426" t="n">
        <f aca="false">IF(t&lt;T_para, pos_z, NA())</f>
        <v>16.0602099273289</v>
      </c>
      <c r="AF66" s="412"/>
      <c r="AG66" s="418" t="n">
        <f aca="false">IF(AND(L65&lt;L_rampe,Poussee&lt;Poids*SIN(M65)),0,(-W65+Poussee)/m-Poids*SIN(M65)/m)</f>
        <v>85.1849910348599</v>
      </c>
      <c r="AH66" s="417" t="n">
        <f aca="false">IF(AND(L65&lt;L_rampe,Poussee&lt;Poids*SIN(M65)), g*SIN(M65), (-W65+Poussee)/m)</f>
        <v>94.823101052599</v>
      </c>
    </row>
    <row r="67" customFormat="false" ht="12" hidden="false" customHeight="false" outlineLevel="0" collapsed="false">
      <c r="A67" s="416" t="n">
        <f aca="false">IF(B66+0.01&lt;=T_ini+ROUNDUP(Temps_fin_propu,0), 0.01, IF(K66&gt;0, 0.1, 0.0001))</f>
        <v>0.01</v>
      </c>
      <c r="B67" s="417" t="n">
        <f aca="false">B66+pas</f>
        <v>0.63</v>
      </c>
      <c r="C67" s="401"/>
      <c r="D67" s="418" t="n">
        <f aca="false">IF(AND(L66&lt;L_rampe,Poussee&lt;Poids*SIN(M66)),0,(-W66+Poussee)/m*COS(M66)-U66/m*SIN(M66))</f>
        <v>17.6782950788598</v>
      </c>
      <c r="E67" s="419" t="n">
        <f aca="false">IF(AND(L66&lt;L_rampe,Poussee&lt;Poids*SIN(M66)),0,(-W66+Poussee)/m*SIN(M66)+U66/m*COS(M66)-Poids/m)</f>
        <v>83.2072423811556</v>
      </c>
      <c r="F67" s="417" t="n">
        <f aca="false">SQRT(acc_x^2+acc_z^2)</f>
        <v>85.0644890748873</v>
      </c>
      <c r="G67" s="418" t="n">
        <f aca="false">G66+acc_x*pas</f>
        <v>10.2283238853248</v>
      </c>
      <c r="H67" s="419" t="n">
        <f aca="false">H66+acc_z*pas</f>
        <v>53.7198998551978</v>
      </c>
      <c r="I67" s="417" t="n">
        <f aca="false">SQRT(vit_x^2+vit_z^2)</f>
        <v>54.6849727983437</v>
      </c>
      <c r="J67" s="418" t="n">
        <f aca="false">J66+0.5*(vit_x+G66)*pas*(K66&gt;=0)</f>
        <v>3.03255144308287</v>
      </c>
      <c r="K67" s="419" t="n">
        <f aca="false">K66+0.5*(vit_z+H66)*pas</f>
        <v>16.5932485637618</v>
      </c>
      <c r="L67" s="417" t="n">
        <f aca="false">SQRT(pos_x^2+pos_z^2)</f>
        <v>16.8680842466988</v>
      </c>
      <c r="M67" s="418" t="n">
        <f aca="false">IF(AND(L66&gt;L_rampe,G67&gt;0),ATAN2(G67,H67),$M$4)</f>
        <v>1.38264735833034</v>
      </c>
      <c r="N67" s="417" t="n">
        <f aca="false">DEGREES(Beta)</f>
        <v>79.2198581872412</v>
      </c>
      <c r="O67" s="401"/>
      <c r="P67" s="420" t="n">
        <f aca="false">MATCH(t-pas/2-T_ini,CdP_t)</f>
        <v>3</v>
      </c>
      <c r="Q67" s="417" t="n">
        <f aca="false">(INDEX(CdP,2,i_P+1)-INDEX(CdP,2,i_P+0))/(INDEX(CdP,1,i_P+1)-INDEX(CdP,1,i_P+0))*(t-pas/2-T_ini-INDEX(CdP,1,i_P+0))+INDEX(CdP,2,i_P+0)</f>
        <v>783.25</v>
      </c>
      <c r="R67" s="418" t="n">
        <f aca="false">Poussee/(g*ISP)</f>
        <v>0.393076682034815</v>
      </c>
      <c r="S67" s="419" t="n">
        <f aca="false">S66-Débit*pas</f>
        <v>8.15729157260356</v>
      </c>
      <c r="T67" s="417" t="n">
        <f aca="false">m*g</f>
        <v>80.023030327241</v>
      </c>
      <c r="U67" s="421" t="n">
        <f aca="false">IF(pos_xz&lt;L_rampe,Poids*COS(Beta),0)</f>
        <v>0</v>
      </c>
      <c r="V67" s="418" t="n">
        <f aca="false">Rho_moyen*(20000-Alt_rampe-pos_z)/(20000+Alt_rampe+pos_z)</f>
        <v>1.2229690120853</v>
      </c>
      <c r="W67" s="417" t="n">
        <f aca="false">1/2*Rho*Sref*Cx*vit_xz^2</f>
        <v>11.2457174061066</v>
      </c>
      <c r="X67" s="401"/>
      <c r="Y67" s="422" t="str">
        <f aca="false">IF(AND(pos_z&lt;=0,K66&gt;0),"Impact balistique","") &amp; IF(AND(H68&lt;0,vit_z&gt;=0),"Apogée","") &amp; IF(AND(Poussee=0,Q66&gt;0),"Fin de propulsion","") &amp; IF(AND(L68&gt;L_rampe,pos_xz&lt;=L_rampe),"Sortie de rampe","")</f>
        <v/>
      </c>
      <c r="Z67" s="423" t="str">
        <f aca="false">IF(ABS(t-T_para)&lt;pas/2,"Para","")</f>
        <v/>
      </c>
      <c r="AA67" s="424" t="str">
        <f aca="false">IF(ABS(t-T_satellite)&lt;pas/2,"Satellite","")</f>
        <v/>
      </c>
      <c r="AB67" s="412"/>
      <c r="AC67" s="420" t="e">
        <f aca="false">IF(ABS(t-ROUND(t,0))&lt;0.001,t,NA())</f>
        <v>#N/A</v>
      </c>
      <c r="AD67" s="425" t="e">
        <f aca="false">IF(ABS(t-ROUND(t,0))&lt;0.001,pos_x,NA())</f>
        <v>#N/A</v>
      </c>
      <c r="AE67" s="426" t="n">
        <f aca="false">IF(t&lt;T_para, pos_z, NA())</f>
        <v>16.5932485637618</v>
      </c>
      <c r="AF67" s="412"/>
      <c r="AG67" s="418" t="n">
        <f aca="false">IF(AND(L66&lt;L_rampe,Poussee&lt;Poids*SIN(M66)),0,(-W66+Poussee)/m-Poids*SIN(M66)/m)</f>
        <v>85.044766953055</v>
      </c>
      <c r="AH67" s="417" t="n">
        <f aca="false">IF(AND(L66&lt;L_rampe,Poussee&lt;Poids*SIN(M66)), g*SIN(M66), (-W66+Poussee)/m)</f>
        <v>94.6822554499516</v>
      </c>
    </row>
    <row r="68" customFormat="false" ht="12" hidden="false" customHeight="false" outlineLevel="0" collapsed="false">
      <c r="A68" s="416" t="n">
        <f aca="false">IF(B67+0.01&lt;=T_ini+ROUNDUP(Temps_fin_propu,0), 0.01, IF(K67&gt;0, 0.1, 0.0001))</f>
        <v>0.01</v>
      </c>
      <c r="B68" s="417" t="n">
        <f aca="false">B67+pas</f>
        <v>0.64</v>
      </c>
      <c r="C68" s="401"/>
      <c r="D68" s="418" t="n">
        <f aca="false">IF(AND(L67&lt;L_rampe,Poussee&lt;Poids*SIN(M67)),0,(-W67+Poussee)/m*COS(M67)-U67/m*SIN(M67))</f>
        <v>17.6829566379308</v>
      </c>
      <c r="E68" s="419" t="n">
        <f aca="false">IF(AND(L67&lt;L_rampe,Poussee&lt;Poids*SIN(M67)),0,(-W67+Poussee)/m*SIN(M67)+U67/m*COS(M67)-Poids/m)</f>
        <v>83.0621724481528</v>
      </c>
      <c r="F68" s="417" t="n">
        <f aca="false">SQRT(acc_x^2+acc_z^2)</f>
        <v>84.9235623797402</v>
      </c>
      <c r="G68" s="418" t="n">
        <f aca="false">G67+acc_x*pas</f>
        <v>10.4051534517041</v>
      </c>
      <c r="H68" s="419" t="n">
        <f aca="false">H67+acc_z*pas</f>
        <v>54.5505215796793</v>
      </c>
      <c r="I68" s="417" t="n">
        <f aca="false">SQRT(vit_x^2+vit_z^2)</f>
        <v>55.5340132078402</v>
      </c>
      <c r="J68" s="418" t="n">
        <f aca="false">J67+0.5*(vit_x+G67)*pas*(K67&gt;=0)</f>
        <v>3.13571882976802</v>
      </c>
      <c r="K68" s="419" t="n">
        <f aca="false">K67+0.5*(vit_z+H67)*pas</f>
        <v>17.1346006709362</v>
      </c>
      <c r="L68" s="417" t="n">
        <f aca="false">SQRT(pos_x^2+pos_z^2)</f>
        <v>17.4191639504256</v>
      </c>
      <c r="M68" s="418" t="n">
        <f aca="false">IF(AND(L67&gt;L_rampe,G68&gt;0),ATAN2(G68,H68),$M$4)</f>
        <v>1.38231695346994</v>
      </c>
      <c r="N68" s="417" t="n">
        <f aca="false">DEGREES(Beta)</f>
        <v>79.2009273832091</v>
      </c>
      <c r="O68" s="401"/>
      <c r="P68" s="420" t="n">
        <f aca="false">MATCH(t-pas/2-T_ini,CdP_t)</f>
        <v>3</v>
      </c>
      <c r="Q68" s="417" t="n">
        <f aca="false">(INDEX(CdP,2,i_P+1)-INDEX(CdP,2,i_P+0))/(INDEX(CdP,1,i_P+1)-INDEX(CdP,1,i_P+0))*(t-pas/2-T_ini-INDEX(CdP,1,i_P+0))+INDEX(CdP,2,i_P+0)</f>
        <v>782.07</v>
      </c>
      <c r="R68" s="418" t="n">
        <f aca="false">Poussee/(g*ISP)</f>
        <v>0.392484495013045</v>
      </c>
      <c r="S68" s="419" t="n">
        <f aca="false">S67-Débit*pas</f>
        <v>8.15336672765343</v>
      </c>
      <c r="T68" s="417" t="n">
        <f aca="false">m*g</f>
        <v>79.9845275982802</v>
      </c>
      <c r="U68" s="421" t="n">
        <f aca="false">IF(pos_xz&lt;L_rampe,Poids*COS(Beta),0)</f>
        <v>0</v>
      </c>
      <c r="V68" s="418" t="n">
        <f aca="false">Rho_moyen*(20000-Alt_rampe-pos_z)/(20000+Alt_rampe+pos_z)</f>
        <v>1.22290280814506</v>
      </c>
      <c r="W68" s="417" t="n">
        <f aca="false">1/2*Rho*Sref*Cx*vit_xz^2</f>
        <v>11.5970030902449</v>
      </c>
      <c r="X68" s="401"/>
      <c r="Y68" s="422" t="str">
        <f aca="false">IF(AND(pos_z&lt;=0,K67&gt;0),"Impact balistique","") &amp; IF(AND(H69&lt;0,vit_z&gt;=0),"Apogée","") &amp; IF(AND(Poussee=0,Q67&gt;0),"Fin de propulsion","") &amp; IF(AND(L69&gt;L_rampe,pos_xz&lt;=L_rampe),"Sortie de rampe","")</f>
        <v/>
      </c>
      <c r="Z68" s="423" t="str">
        <f aca="false">IF(ABS(t-T_para)&lt;pas/2,"Para","")</f>
        <v/>
      </c>
      <c r="AA68" s="424" t="str">
        <f aca="false">IF(ABS(t-T_satellite)&lt;pas/2,"Satellite","")</f>
        <v/>
      </c>
      <c r="AB68" s="412"/>
      <c r="AC68" s="420" t="e">
        <f aca="false">IF(ABS(t-ROUND(t,0))&lt;0.001,t,NA())</f>
        <v>#N/A</v>
      </c>
      <c r="AD68" s="425" t="e">
        <f aca="false">IF(ABS(t-ROUND(t,0))&lt;0.001,pos_x,NA())</f>
        <v>#N/A</v>
      </c>
      <c r="AE68" s="426" t="n">
        <f aca="false">IF(t&lt;T_para, pos_z, NA())</f>
        <v>17.1346006709362</v>
      </c>
      <c r="AF68" s="412"/>
      <c r="AG68" s="418" t="n">
        <f aca="false">IF(AND(L67&lt;L_rampe,Poussee&lt;Poids*SIN(M67)),0,(-W67+Poussee)/m-Poids*SIN(M67)/m)</f>
        <v>84.9037378245432</v>
      </c>
      <c r="AH68" s="417" t="n">
        <f aca="false">IF(AND(L67&lt;L_rampe,Poussee&lt;Poids*SIN(M67)), g*SIN(M67), (-W67+Poussee)/m)</f>
        <v>94.540612282227</v>
      </c>
    </row>
    <row r="69" customFormat="false" ht="12" hidden="false" customHeight="false" outlineLevel="0" collapsed="false">
      <c r="A69" s="416" t="n">
        <f aca="false">IF(B68+0.01&lt;=T_ini+ROUNDUP(Temps_fin_propu,0), 0.01, IF(K68&gt;0, 0.1, 0.0001))</f>
        <v>0.01</v>
      </c>
      <c r="B69" s="417" t="n">
        <f aca="false">B68+pas</f>
        <v>0.65</v>
      </c>
      <c r="C69" s="401"/>
      <c r="D69" s="418" t="n">
        <f aca="false">IF(AND(L68&lt;L_rampe,Poussee&lt;Poids*SIN(M68)),0,(-W68+Poussee)/m*COS(M68)-U68/m*SIN(M68))</f>
        <v>17.6869531975302</v>
      </c>
      <c r="E69" s="419" t="n">
        <f aca="false">IF(AND(L68&lt;L_rampe,Poussee&lt;Poids*SIN(M68)),0,(-W68+Poussee)/m*SIN(M68)+U68/m*COS(M68)-Poids/m)</f>
        <v>82.9164097121635</v>
      </c>
      <c r="F69" s="417" t="n">
        <f aca="false">SQRT(acc_x^2+acc_z^2)</f>
        <v>84.7818336258835</v>
      </c>
      <c r="G69" s="418" t="n">
        <f aca="false">G68+acc_x*pas</f>
        <v>10.5820229836794</v>
      </c>
      <c r="H69" s="419" t="n">
        <f aca="false">H68+acc_z*pas</f>
        <v>55.379685676801</v>
      </c>
      <c r="I69" s="417" t="n">
        <f aca="false">SQRT(vit_x^2+vit_z^2)</f>
        <v>56.3816352732731</v>
      </c>
      <c r="J69" s="418" t="n">
        <f aca="false">J68+0.5*(vit_x+G68)*pas*(K68&gt;=0)</f>
        <v>3.24065471194493</v>
      </c>
      <c r="K69" s="419" t="n">
        <f aca="false">K68+0.5*(vit_z+H68)*pas</f>
        <v>17.6842517072186</v>
      </c>
      <c r="L69" s="417" t="n">
        <f aca="false">SQRT(pos_x^2+pos_z^2)</f>
        <v>17.9787263566225</v>
      </c>
      <c r="M69" s="418" t="n">
        <f aca="false">IF(AND(L68&gt;L_rampe,G69&gt;0),ATAN2(G69,H69),$M$4)</f>
        <v>1.38199095108487</v>
      </c>
      <c r="N69" s="417" t="n">
        <f aca="false">DEGREES(Beta)</f>
        <v>79.1822488224335</v>
      </c>
      <c r="O69" s="401"/>
      <c r="P69" s="420" t="n">
        <f aca="false">MATCH(t-pas/2-T_ini,CdP_t)</f>
        <v>3</v>
      </c>
      <c r="Q69" s="417" t="n">
        <f aca="false">(INDEX(CdP,2,i_P+1)-INDEX(CdP,2,i_P+0))/(INDEX(CdP,1,i_P+1)-INDEX(CdP,1,i_P+0))*(t-pas/2-T_ini-INDEX(CdP,1,i_P+0))+INDEX(CdP,2,i_P+0)</f>
        <v>780.89</v>
      </c>
      <c r="R69" s="418" t="n">
        <f aca="false">Poussee/(g*ISP)</f>
        <v>0.391892307991275</v>
      </c>
      <c r="S69" s="419" t="n">
        <f aca="false">S68-Débit*pas</f>
        <v>8.14944780457352</v>
      </c>
      <c r="T69" s="417" t="n">
        <f aca="false">m*g</f>
        <v>79.9460829628662</v>
      </c>
      <c r="U69" s="421" t="n">
        <f aca="false">IF(pos_xz&lt;L_rampe,Poids*COS(Beta),0)</f>
        <v>0</v>
      </c>
      <c r="V69" s="418" t="n">
        <f aca="false">Rho_moyen*(20000-Alt_rampe-pos_z)/(20000+Alt_rampe+pos_z)</f>
        <v>1.22283559296181</v>
      </c>
      <c r="W69" s="417" t="n">
        <f aca="false">1/2*Rho*Sref*Cx*vit_xz^2</f>
        <v>11.9530605380605</v>
      </c>
      <c r="X69" s="401"/>
      <c r="Y69" s="422" t="str">
        <f aca="false">IF(AND(pos_z&lt;=0,K68&gt;0),"Impact balistique","") &amp; IF(AND(H70&lt;0,vit_z&gt;=0),"Apogée","") &amp; IF(AND(Poussee=0,Q68&gt;0),"Fin de propulsion","") &amp; IF(AND(L70&gt;L_rampe,pos_xz&lt;=L_rampe),"Sortie de rampe","")</f>
        <v/>
      </c>
      <c r="Z69" s="423" t="str">
        <f aca="false">IF(ABS(t-T_para)&lt;pas/2,"Para","")</f>
        <v/>
      </c>
      <c r="AA69" s="424" t="str">
        <f aca="false">IF(ABS(t-T_satellite)&lt;pas/2,"Satellite","")</f>
        <v/>
      </c>
      <c r="AB69" s="412"/>
      <c r="AC69" s="420" t="e">
        <f aca="false">IF(ABS(t-ROUND(t,0))&lt;0.001,t,NA())</f>
        <v>#N/A</v>
      </c>
      <c r="AD69" s="425" t="e">
        <f aca="false">IF(ABS(t-ROUND(t,0))&lt;0.001,pos_x,NA())</f>
        <v>#N/A</v>
      </c>
      <c r="AE69" s="426" t="n">
        <f aca="false">IF(t&lt;T_para, pos_z, NA())</f>
        <v>17.6842517072186</v>
      </c>
      <c r="AF69" s="412"/>
      <c r="AG69" s="418" t="n">
        <f aca="false">IF(AND(L68&lt;L_rampe,Poussee&lt;Poids*SIN(M68)),0,(-W68+Poussee)/m-Poids*SIN(M68)/m)</f>
        <v>84.7619069381747</v>
      </c>
      <c r="AH69" s="417" t="n">
        <f aca="false">IF(AND(L68&lt;L_rampe,Poussee&lt;Poids*SIN(M68)), g*SIN(M68), (-W68+Poussee)/m)</f>
        <v>94.3981746196378</v>
      </c>
    </row>
    <row r="70" customFormat="false" ht="12" hidden="false" customHeight="false" outlineLevel="0" collapsed="false">
      <c r="A70" s="416" t="n">
        <f aca="false">IF(B69+0.01&lt;=T_ini+ROUNDUP(Temps_fin_propu,0), 0.01, IF(K69&gt;0, 0.1, 0.0001))</f>
        <v>0.01</v>
      </c>
      <c r="B70" s="417" t="n">
        <f aca="false">B69+pas</f>
        <v>0.66</v>
      </c>
      <c r="C70" s="401"/>
      <c r="D70" s="418" t="n">
        <f aca="false">IF(AND(L69&lt;L_rampe,Poussee&lt;Poids*SIN(M69)),0,(-W69+Poussee)/m*COS(M69)-U69/m*SIN(M69))</f>
        <v>17.6902992512547</v>
      </c>
      <c r="E70" s="419" t="n">
        <f aca="false">IF(AND(L69&lt;L_rampe,Poussee&lt;Poids*SIN(M69)),0,(-W69+Poussee)/m*SIN(M69)+U69/m*COS(M69)-Poids/m)</f>
        <v>82.7699550401647</v>
      </c>
      <c r="F70" s="417" t="n">
        <f aca="false">SQRT(acc_x^2+acc_z^2)</f>
        <v>84.6393061464343</v>
      </c>
      <c r="G70" s="418" t="n">
        <f aca="false">G69+acc_x*pas</f>
        <v>10.758925976192</v>
      </c>
      <c r="H70" s="419" t="n">
        <f aca="false">H69+acc_z*pas</f>
        <v>56.2073852272026</v>
      </c>
      <c r="I70" s="417" t="n">
        <f aca="false">SQRT(vit_x^2+vit_z^2)</f>
        <v>57.2278310111464</v>
      </c>
      <c r="J70" s="418" t="n">
        <f aca="false">J69+0.5*(vit_x+G69)*pas*(K69&gt;=0)</f>
        <v>3.34735945674429</v>
      </c>
      <c r="K70" s="419" t="n">
        <f aca="false">K69+0.5*(vit_z+H69)*pas</f>
        <v>18.2421870617386</v>
      </c>
      <c r="L70" s="417" t="n">
        <f aca="false">SQRT(pos_x^2+pos_z^2)</f>
        <v>18.5467572402325</v>
      </c>
      <c r="M70" s="418" t="n">
        <f aca="false">IF(AND(L69&gt;L_rampe,G70&gt;0),ATAN2(G70,H70),$M$4)</f>
        <v>1.38166922019406</v>
      </c>
      <c r="N70" s="417" t="n">
        <f aca="false">DEGREES(Beta)</f>
        <v>79.1638150002511</v>
      </c>
      <c r="O70" s="401"/>
      <c r="P70" s="420" t="n">
        <f aca="false">MATCH(t-pas/2-T_ini,CdP_t)</f>
        <v>3</v>
      </c>
      <c r="Q70" s="417" t="n">
        <f aca="false">(INDEX(CdP,2,i_P+1)-INDEX(CdP,2,i_P+0))/(INDEX(CdP,1,i_P+1)-INDEX(CdP,1,i_P+0))*(t-pas/2-T_ini-INDEX(CdP,1,i_P+0))+INDEX(CdP,2,i_P+0)</f>
        <v>779.71</v>
      </c>
      <c r="R70" s="418" t="n">
        <f aca="false">Poussee/(g*ISP)</f>
        <v>0.391300120969506</v>
      </c>
      <c r="S70" s="419" t="n">
        <f aca="false">S69-Débit*pas</f>
        <v>8.14553480336383</v>
      </c>
      <c r="T70" s="417" t="n">
        <f aca="false">m*g</f>
        <v>79.9076964209991</v>
      </c>
      <c r="U70" s="421" t="n">
        <f aca="false">IF(pos_xz&lt;L_rampe,Poids*COS(Beta),0)</f>
        <v>0</v>
      </c>
      <c r="V70" s="418" t="n">
        <f aca="false">Rho_moyen*(20000-Alt_rampe-pos_z)/(20000+Alt_rampe+pos_z)</f>
        <v>1.22276736848902</v>
      </c>
      <c r="W70" s="417" t="n">
        <f aca="false">1/2*Rho*Sref*Cx*vit_xz^2</f>
        <v>12.3138575323092</v>
      </c>
      <c r="X70" s="401"/>
      <c r="Y70" s="422" t="str">
        <f aca="false">IF(AND(pos_z&lt;=0,K69&gt;0),"Impact balistique","") &amp; IF(AND(H71&lt;0,vit_z&gt;=0),"Apogée","") &amp; IF(AND(Poussee=0,Q69&gt;0),"Fin de propulsion","") &amp; IF(AND(L71&gt;L_rampe,pos_xz&lt;=L_rampe),"Sortie de rampe","")</f>
        <v/>
      </c>
      <c r="Z70" s="423" t="str">
        <f aca="false">IF(ABS(t-T_para)&lt;pas/2,"Para","")</f>
        <v/>
      </c>
      <c r="AA70" s="424" t="str">
        <f aca="false">IF(ABS(t-T_satellite)&lt;pas/2,"Satellite","")</f>
        <v/>
      </c>
      <c r="AB70" s="412"/>
      <c r="AC70" s="420" t="e">
        <f aca="false">IF(ABS(t-ROUND(t,0))&lt;0.001,t,NA())</f>
        <v>#N/A</v>
      </c>
      <c r="AD70" s="425" t="e">
        <f aca="false">IF(ABS(t-ROUND(t,0))&lt;0.001,pos_x,NA())</f>
        <v>#N/A</v>
      </c>
      <c r="AE70" s="426" t="n">
        <f aca="false">IF(t&lt;T_para, pos_z, NA())</f>
        <v>18.2421870617386</v>
      </c>
      <c r="AF70" s="412"/>
      <c r="AG70" s="418" t="n">
        <f aca="false">IF(AND(L69&lt;L_rampe,Poussee&lt;Poids*SIN(M69)),0,(-W69+Poussee)/m-Poids*SIN(M69)/m)</f>
        <v>84.6192776025037</v>
      </c>
      <c r="AH70" s="417" t="n">
        <f aca="false">IF(AND(L69&lt;L_rampe,Poussee&lt;Poids*SIN(M69)), g*SIN(M69), (-W69+Poussee)/m)</f>
        <v>94.2549455616938</v>
      </c>
    </row>
    <row r="71" customFormat="false" ht="12" hidden="false" customHeight="false" outlineLevel="0" collapsed="false">
      <c r="A71" s="416" t="n">
        <f aca="false">IF(B70+0.01&lt;=T_ini+ROUNDUP(Temps_fin_propu,0), 0.01, IF(K70&gt;0, 0.1, 0.0001))</f>
        <v>0.01</v>
      </c>
      <c r="B71" s="417" t="n">
        <f aca="false">B70+pas</f>
        <v>0.67</v>
      </c>
      <c r="C71" s="401"/>
      <c r="D71" s="418" t="n">
        <f aca="false">IF(AND(L70&lt;L_rampe,Poussee&lt;Poids*SIN(M70)),0,(-W70+Poussee)/m*COS(M70)-U70/m*SIN(M70))</f>
        <v>17.693008673611</v>
      </c>
      <c r="E71" s="419" t="n">
        <f aca="false">IF(AND(L70&lt;L_rampe,Poussee&lt;Poids*SIN(M70)),0,(-W70+Poussee)/m*SIN(M70)+U70/m*COS(M70)-Poids/m)</f>
        <v>82.622809422291</v>
      </c>
      <c r="F71" s="417" t="n">
        <f aca="false">SQRT(acc_x^2+acc_z^2)</f>
        <v>84.4959832936258</v>
      </c>
      <c r="G71" s="418" t="n">
        <f aca="false">G70+acc_x*pas</f>
        <v>10.9358560629281</v>
      </c>
      <c r="H71" s="419" t="n">
        <f aca="false">H70+acc_z*pas</f>
        <v>57.0336133214255</v>
      </c>
      <c r="I71" s="417" t="n">
        <f aca="false">SQRT(vit_x^2+vit_z^2)</f>
        <v>58.0725924712077</v>
      </c>
      <c r="J71" s="418" t="n">
        <f aca="false">J70+0.5*(vit_x+G70)*pas*(K70&gt;=0)</f>
        <v>3.45583336693989</v>
      </c>
      <c r="K71" s="419" t="n">
        <f aca="false">K70+0.5*(vit_z+H70)*pas</f>
        <v>18.8083920544817</v>
      </c>
      <c r="L71" s="417" t="n">
        <f aca="false">SQRT(pos_x^2+pos_z^2)</f>
        <v>19.1232422966177</v>
      </c>
      <c r="M71" s="418" t="n">
        <f aca="false">IF(AND(L70&gt;L_rampe,G71&gt;0),ATAN2(G71,H71),$M$4)</f>
        <v>1.38135163559477</v>
      </c>
      <c r="N71" s="417" t="n">
        <f aca="false">DEGREES(Beta)</f>
        <v>79.1456187430734</v>
      </c>
      <c r="O71" s="401"/>
      <c r="P71" s="420" t="n">
        <f aca="false">MATCH(t-pas/2-T_ini,CdP_t)</f>
        <v>3</v>
      </c>
      <c r="Q71" s="417" t="n">
        <f aca="false">(INDEX(CdP,2,i_P+1)-INDEX(CdP,2,i_P+0))/(INDEX(CdP,1,i_P+1)-INDEX(CdP,1,i_P+0))*(t-pas/2-T_ini-INDEX(CdP,1,i_P+0))+INDEX(CdP,2,i_P+0)</f>
        <v>778.53</v>
      </c>
      <c r="R71" s="418" t="n">
        <f aca="false">Poussee/(g*ISP)</f>
        <v>0.390707933947736</v>
      </c>
      <c r="S71" s="419" t="n">
        <f aca="false">S70-Débit*pas</f>
        <v>8.14162772402435</v>
      </c>
      <c r="T71" s="417" t="n">
        <f aca="false">m*g</f>
        <v>79.8693679726789</v>
      </c>
      <c r="U71" s="421" t="n">
        <f aca="false">IF(pos_xz&lt;L_rampe,Poids*COS(Beta),0)</f>
        <v>0</v>
      </c>
      <c r="V71" s="418" t="n">
        <f aca="false">Rho_moyen*(20000-Alt_rampe-pos_z)/(20000+Alt_rampe+pos_z)</f>
        <v>1.22269813669071</v>
      </c>
      <c r="W71" s="417" t="n">
        <f aca="false">1/2*Rho*Sref*Cx*vit_xz^2</f>
        <v>12.6793616982486</v>
      </c>
      <c r="X71" s="401"/>
      <c r="Y71" s="422" t="str">
        <f aca="false">IF(AND(pos_z&lt;=0,K70&gt;0),"Impact balistique","") &amp; IF(AND(H72&lt;0,vit_z&gt;=0),"Apogée","") &amp; IF(AND(Poussee=0,Q70&gt;0),"Fin de propulsion","") &amp; IF(AND(L72&gt;L_rampe,pos_xz&lt;=L_rampe),"Sortie de rampe","")</f>
        <v/>
      </c>
      <c r="Z71" s="423" t="str">
        <f aca="false">IF(ABS(t-T_para)&lt;pas/2,"Para","")</f>
        <v/>
      </c>
      <c r="AA71" s="424" t="str">
        <f aca="false">IF(ABS(t-T_satellite)&lt;pas/2,"Satellite","")</f>
        <v/>
      </c>
      <c r="AB71" s="412"/>
      <c r="AC71" s="420" t="e">
        <f aca="false">IF(ABS(t-ROUND(t,0))&lt;0.001,t,NA())</f>
        <v>#N/A</v>
      </c>
      <c r="AD71" s="425" t="e">
        <f aca="false">IF(ABS(t-ROUND(t,0))&lt;0.001,pos_x,NA())</f>
        <v>#N/A</v>
      </c>
      <c r="AE71" s="426" t="n">
        <f aca="false">IF(t&lt;T_para, pos_z, NA())</f>
        <v>18.8083920544817</v>
      </c>
      <c r="AF71" s="412"/>
      <c r="AG71" s="418" t="n">
        <f aca="false">IF(AND(L70&lt;L_rampe,Poussee&lt;Poids*SIN(M70)),0,(-W70+Poussee)/m-Poids*SIN(M70)/m)</f>
        <v>84.4758531461092</v>
      </c>
      <c r="AH71" s="417" t="n">
        <f aca="false">IF(AND(L70&lt;L_rampe,Poussee&lt;Poids*SIN(M70)), g*SIN(M70), (-W70+Poussee)/m)</f>
        <v>94.1109282369589</v>
      </c>
    </row>
    <row r="72" customFormat="false" ht="12" hidden="false" customHeight="false" outlineLevel="0" collapsed="false">
      <c r="A72" s="416" t="n">
        <f aca="false">IF(B71+0.01&lt;=T_ini+ROUNDUP(Temps_fin_propu,0), 0.01, IF(K71&gt;0, 0.1, 0.0001))</f>
        <v>0.01</v>
      </c>
      <c r="B72" s="417" t="n">
        <f aca="false">B71+pas</f>
        <v>0.68</v>
      </c>
      <c r="C72" s="401"/>
      <c r="D72" s="418" t="n">
        <f aca="false">IF(AND(L71&lt;L_rampe,Poussee&lt;Poids*SIN(M71)),0,(-W71+Poussee)/m*COS(M71)-U71/m*SIN(M71))</f>
        <v>17.6950947571345</v>
      </c>
      <c r="E72" s="419" t="n">
        <f aca="false">IF(AND(L71&lt;L_rampe,Poussee&lt;Poids*SIN(M71)),0,(-W71+Poussee)/m*SIN(M71)+U71/m*COS(M71)-Poids/m)</f>
        <v>82.4749739661055</v>
      </c>
      <c r="F72" s="417" t="n">
        <f aca="false">SQRT(acc_x^2+acc_z^2)</f>
        <v>84.3518684391387</v>
      </c>
      <c r="G72" s="418" t="n">
        <f aca="false">G71+acc_x*pas</f>
        <v>11.1128070104994</v>
      </c>
      <c r="H72" s="419" t="n">
        <f aca="false">H71+acc_z*pas</f>
        <v>57.8583630610866</v>
      </c>
      <c r="I72" s="417" t="n">
        <f aca="false">SQRT(vit_x^2+vit_z^2)</f>
        <v>58.9159117366532</v>
      </c>
      <c r="J72" s="418" t="n">
        <f aca="false">J71+0.5*(vit_x+G71)*pas*(K71&gt;=0)</f>
        <v>3.56607668230703</v>
      </c>
      <c r="K72" s="419" t="n">
        <f aca="false">K71+0.5*(vit_z+H71)*pas</f>
        <v>19.3828519363943</v>
      </c>
      <c r="L72" s="417" t="n">
        <f aca="false">SQRT(pos_x^2+pos_z^2)</f>
        <v>19.70816714188</v>
      </c>
      <c r="M72" s="418" t="n">
        <f aca="false">IF(AND(L71&gt;L_rampe,G72&gt;0),ATAN2(G72,H72),$M$4)</f>
        <v>1.3810380775246</v>
      </c>
      <c r="N72" s="417" t="n">
        <f aca="false">DEGREES(Beta)</f>
        <v>79.1276531890205</v>
      </c>
      <c r="O72" s="401"/>
      <c r="P72" s="420" t="n">
        <f aca="false">MATCH(t-pas/2-T_ini,CdP_t)</f>
        <v>3</v>
      </c>
      <c r="Q72" s="417" t="n">
        <f aca="false">(INDEX(CdP,2,i_P+1)-INDEX(CdP,2,i_P+0))/(INDEX(CdP,1,i_P+1)-INDEX(CdP,1,i_P+0))*(t-pas/2-T_ini-INDEX(CdP,1,i_P+0))+INDEX(CdP,2,i_P+0)</f>
        <v>777.35</v>
      </c>
      <c r="R72" s="418" t="n">
        <f aca="false">Poussee/(g*ISP)</f>
        <v>0.390115746925966</v>
      </c>
      <c r="S72" s="419" t="n">
        <f aca="false">S71-Débit*pas</f>
        <v>8.13772656655509</v>
      </c>
      <c r="T72" s="417" t="n">
        <f aca="false">m*g</f>
        <v>79.8310976179054</v>
      </c>
      <c r="U72" s="421" t="n">
        <f aca="false">IF(pos_xz&lt;L_rampe,Poids*COS(Beta),0)</f>
        <v>0</v>
      </c>
      <c r="V72" s="418" t="n">
        <f aca="false">Rho_moyen*(20000-Alt_rampe-pos_z)/(20000+Alt_rampe+pos_z)</f>
        <v>1.22262789954139</v>
      </c>
      <c r="W72" s="417" t="n">
        <f aca="false">1/2*Rho*Sref*Cx*vit_xz^2</f>
        <v>13.0495405060262</v>
      </c>
      <c r="X72" s="401"/>
      <c r="Y72" s="422" t="str">
        <f aca="false">IF(AND(pos_z&lt;=0,K71&gt;0),"Impact balistique","") &amp; IF(AND(H73&lt;0,vit_z&gt;=0),"Apogée","") &amp; IF(AND(Poussee=0,Q71&gt;0),"Fin de propulsion","") &amp; IF(AND(L73&gt;L_rampe,pos_xz&lt;=L_rampe),"Sortie de rampe","")</f>
        <v/>
      </c>
      <c r="Z72" s="423" t="str">
        <f aca="false">IF(ABS(t-T_para)&lt;pas/2,"Para","")</f>
        <v/>
      </c>
      <c r="AA72" s="424" t="str">
        <f aca="false">IF(ABS(t-T_satellite)&lt;pas/2,"Satellite","")</f>
        <v/>
      </c>
      <c r="AB72" s="412"/>
      <c r="AC72" s="420" t="e">
        <f aca="false">IF(ABS(t-ROUND(t,0))&lt;0.001,t,NA())</f>
        <v>#N/A</v>
      </c>
      <c r="AD72" s="425" t="e">
        <f aca="false">IF(ABS(t-ROUND(t,0))&lt;0.001,pos_x,NA())</f>
        <v>#N/A</v>
      </c>
      <c r="AE72" s="426" t="n">
        <f aca="false">IF(t&lt;T_para, pos_z, NA())</f>
        <v>19.3828519363943</v>
      </c>
      <c r="AF72" s="412"/>
      <c r="AG72" s="418" t="n">
        <f aca="false">IF(AND(L71&lt;L_rampe,Poussee&lt;Poids*SIN(M71)),0,(-W71+Poussee)/m-Poids*SIN(M71)/m)</f>
        <v>84.3316369178714</v>
      </c>
      <c r="AH72" s="417" t="n">
        <f aca="false">IF(AND(L71&lt;L_rampe,Poussee&lt;Poids*SIN(M71)), g*SIN(M71), (-W71+Poussee)/m)</f>
        <v>93.9661258028059</v>
      </c>
    </row>
    <row r="73" customFormat="false" ht="12" hidden="false" customHeight="false" outlineLevel="0" collapsed="false">
      <c r="A73" s="416" t="n">
        <f aca="false">IF(B72+0.01&lt;=T_ini+ROUNDUP(Temps_fin_propu,0), 0.01, IF(K72&gt;0, 0.1, 0.0001))</f>
        <v>0.01</v>
      </c>
      <c r="B73" s="417" t="n">
        <f aca="false">B72+pas</f>
        <v>0.69</v>
      </c>
      <c r="C73" s="401"/>
      <c r="D73" s="418" t="n">
        <f aca="false">IF(AND(L72&lt;L_rampe,Poussee&lt;Poids*SIN(M72)),0,(-W72+Poussee)/m*COS(M72)-U72/m*SIN(M72))</f>
        <v>17.6965702467792</v>
      </c>
      <c r="E73" s="419" t="n">
        <f aca="false">IF(AND(L72&lt;L_rampe,Poussee&lt;Poids*SIN(M72)),0,(-W72+Poussee)/m*SIN(M72)+U72/m*COS(M72)-Poids/m)</f>
        <v>82.3264498912642</v>
      </c>
      <c r="F73" s="417" t="n">
        <f aca="false">SQRT(acc_x^2+acc_z^2)</f>
        <v>84.2069649743893</v>
      </c>
      <c r="G73" s="418" t="n">
        <f aca="false">G72+acc_x*pas</f>
        <v>11.2897727129672</v>
      </c>
      <c r="H73" s="419" t="n">
        <f aca="false">H72+acc_z*pas</f>
        <v>58.6816275599992</v>
      </c>
      <c r="I73" s="417" t="n">
        <f aca="false">SQRT(vit_x^2+vit_z^2)</f>
        <v>59.7577809243359</v>
      </c>
      <c r="J73" s="418" t="n">
        <f aca="false">J72+0.5*(vit_x+G72)*pas*(K72&gt;=0)</f>
        <v>3.67808958092436</v>
      </c>
      <c r="K73" s="419" t="n">
        <f aca="false">K72+0.5*(vit_z+H72)*pas</f>
        <v>19.9655518894997</v>
      </c>
      <c r="L73" s="417" t="n">
        <f aca="false">SQRT(pos_x^2+pos_z^2)</f>
        <v>20.3015173131865</v>
      </c>
      <c r="M73" s="418" t="n">
        <f aca="false">IF(AND(L72&gt;L_rampe,G73&gt;0),ATAN2(G73,H73),$M$4)</f>
        <v>1.38072843134795</v>
      </c>
      <c r="N73" s="417" t="n">
        <f aca="false">DEGREES(Beta)</f>
        <v>79.1099117699563</v>
      </c>
      <c r="O73" s="401"/>
      <c r="P73" s="420" t="n">
        <f aca="false">MATCH(t-pas/2-T_ini,CdP_t)</f>
        <v>3</v>
      </c>
      <c r="Q73" s="417" t="n">
        <f aca="false">(INDEX(CdP,2,i_P+1)-INDEX(CdP,2,i_P+0))/(INDEX(CdP,1,i_P+1)-INDEX(CdP,1,i_P+0))*(t-pas/2-T_ini-INDEX(CdP,1,i_P+0))+INDEX(CdP,2,i_P+0)</f>
        <v>776.17</v>
      </c>
      <c r="R73" s="418" t="n">
        <f aca="false">Poussee/(g*ISP)</f>
        <v>0.389523559904197</v>
      </c>
      <c r="S73" s="419" t="n">
        <f aca="false">S72-Débit*pas</f>
        <v>8.13383133095605</v>
      </c>
      <c r="T73" s="417" t="n">
        <f aca="false">m*g</f>
        <v>79.7928853566788</v>
      </c>
      <c r="U73" s="421" t="n">
        <f aca="false">IF(pos_xz&lt;L_rampe,Poids*COS(Beta),0)</f>
        <v>0</v>
      </c>
      <c r="V73" s="418" t="n">
        <f aca="false">Rho_moyen*(20000-Alt_rampe-pos_z)/(20000+Alt_rampe+pos_z)</f>
        <v>1.22255665902609</v>
      </c>
      <c r="W73" s="417" t="n">
        <f aca="false">1/2*Rho*Sref*Cx*vit_xz^2</f>
        <v>13.4243612730771</v>
      </c>
      <c r="X73" s="401"/>
      <c r="Y73" s="422" t="str">
        <f aca="false">IF(AND(pos_z&lt;=0,K72&gt;0),"Impact balistique","") &amp; IF(AND(H74&lt;0,vit_z&gt;=0),"Apogée","") &amp; IF(AND(Poussee=0,Q72&gt;0),"Fin de propulsion","") &amp; IF(AND(L74&gt;L_rampe,pos_xz&lt;=L_rampe),"Sortie de rampe","")</f>
        <v/>
      </c>
      <c r="Z73" s="423" t="str">
        <f aca="false">IF(ABS(t-T_para)&lt;pas/2,"Para","")</f>
        <v/>
      </c>
      <c r="AA73" s="424" t="str">
        <f aca="false">IF(ABS(t-T_satellite)&lt;pas/2,"Satellite","")</f>
        <v/>
      </c>
      <c r="AB73" s="412"/>
      <c r="AC73" s="420" t="e">
        <f aca="false">IF(ABS(t-ROUND(t,0))&lt;0.001,t,NA())</f>
        <v>#N/A</v>
      </c>
      <c r="AD73" s="425" t="e">
        <f aca="false">IF(ABS(t-ROUND(t,0))&lt;0.001,pos_x,NA())</f>
        <v>#N/A</v>
      </c>
      <c r="AE73" s="426" t="n">
        <f aca="false">IF(t&lt;T_para, pos_z, NA())</f>
        <v>19.9655518894997</v>
      </c>
      <c r="AF73" s="412"/>
      <c r="AG73" s="418" t="n">
        <f aca="false">IF(AND(L72&lt;L_rampe,Poussee&lt;Poids*SIN(M72)),0,(-W72+Poussee)/m-Poids*SIN(M72)/m)</f>
        <v>84.1866322872096</v>
      </c>
      <c r="AH73" s="417" t="n">
        <f aca="false">IF(AND(L72&lt;L_rampe,Poussee&lt;Poids*SIN(M72)), g*SIN(M72), (-W72+Poussee)/m)</f>
        <v>93.8205414451687</v>
      </c>
    </row>
    <row r="74" customFormat="false" ht="12" hidden="false" customHeight="false" outlineLevel="0" collapsed="false">
      <c r="A74" s="416" t="n">
        <f aca="false">IF(B73+0.01&lt;=T_ini+ROUNDUP(Temps_fin_propu,0), 0.01, IF(K73&gt;0, 0.1, 0.0001))</f>
        <v>0.01</v>
      </c>
      <c r="B74" s="417" t="n">
        <f aca="false">B73+pas</f>
        <v>0.7</v>
      </c>
      <c r="C74" s="401"/>
      <c r="D74" s="418" t="n">
        <f aca="false">IF(AND(L73&lt;L_rampe,Poussee&lt;Poids*SIN(M73)),0,(-W73+Poussee)/m*COS(M73)-U73/m*SIN(M73))</f>
        <v>17.6974473718149</v>
      </c>
      <c r="E74" s="419" t="n">
        <f aca="false">IF(AND(L73&lt;L_rampe,Poussee&lt;Poids*SIN(M73)),0,(-W73+Poussee)/m*SIN(M73)+U73/m*COS(M73)-Poids/m)</f>
        <v>82.1772385245373</v>
      </c>
      <c r="F74" s="417" t="n">
        <f aca="false">SQRT(acc_x^2+acc_z^2)</f>
        <v>84.0612763107773</v>
      </c>
      <c r="G74" s="418" t="n">
        <f aca="false">G73+acc_x*pas</f>
        <v>11.4667471866854</v>
      </c>
      <c r="H74" s="419" t="n">
        <f aca="false">H73+acc_z*pas</f>
        <v>59.5033999452446</v>
      </c>
      <c r="I74" s="417" t="n">
        <f aca="false">SQRT(vit_x^2+vit_z^2)</f>
        <v>60.5981921849744</v>
      </c>
      <c r="J74" s="418" t="n">
        <f aca="false">J73+0.5*(vit_x+G73)*pas*(K73&gt;=0)</f>
        <v>3.79187218042262</v>
      </c>
      <c r="K74" s="419" t="n">
        <f aca="false">K73+0.5*(vit_z+H73)*pas</f>
        <v>20.5564770270259</v>
      </c>
      <c r="L74" s="417" t="n">
        <f aca="false">SQRT(pos_x^2+pos_z^2)</f>
        <v>20.9032782690971</v>
      </c>
      <c r="M74" s="418" t="n">
        <f aca="false">IF(AND(L73&gt;L_rampe,G74&gt;0),ATAN2(G74,H74),$M$4)</f>
        <v>1.38042258726487</v>
      </c>
      <c r="N74" s="417" t="n">
        <f aca="false">DEGREES(Beta)</f>
        <v>79.0923881948067</v>
      </c>
      <c r="O74" s="401"/>
      <c r="P74" s="420" t="n">
        <f aca="false">MATCH(t-pas/2-T_ini,CdP_t)</f>
        <v>3</v>
      </c>
      <c r="Q74" s="417" t="n">
        <f aca="false">(INDEX(CdP,2,i_P+1)-INDEX(CdP,2,i_P+0))/(INDEX(CdP,1,i_P+1)-INDEX(CdP,1,i_P+0))*(t-pas/2-T_ini-INDEX(CdP,1,i_P+0))+INDEX(CdP,2,i_P+0)</f>
        <v>774.99</v>
      </c>
      <c r="R74" s="418" t="n">
        <f aca="false">Poussee/(g*ISP)</f>
        <v>0.388931372882427</v>
      </c>
      <c r="S74" s="419" t="n">
        <f aca="false">S73-Débit*pas</f>
        <v>8.12994201722722</v>
      </c>
      <c r="T74" s="417" t="n">
        <f aca="false">m*g</f>
        <v>79.7547311889991</v>
      </c>
      <c r="U74" s="421" t="n">
        <f aca="false">IF(pos_xz&lt;L_rampe,Poids*COS(Beta),0)</f>
        <v>0</v>
      </c>
      <c r="V74" s="418" t="n">
        <f aca="false">Rho_moyen*(20000-Alt_rampe-pos_z)/(20000+Alt_rampe+pos_z)</f>
        <v>1.22248441714025</v>
      </c>
      <c r="W74" s="417" t="n">
        <f aca="false">1/2*Rho*Sref*Cx*vit_xz^2</f>
        <v>13.8037911665295</v>
      </c>
      <c r="X74" s="401"/>
      <c r="Y74" s="422" t="str">
        <f aca="false">IF(AND(pos_z&lt;=0,K73&gt;0),"Impact balistique","") &amp; IF(AND(H75&lt;0,vit_z&gt;=0),"Apogée","") &amp; IF(AND(Poussee=0,Q73&gt;0),"Fin de propulsion","") &amp; IF(AND(L75&gt;L_rampe,pos_xz&lt;=L_rampe),"Sortie de rampe","")</f>
        <v/>
      </c>
      <c r="Z74" s="423" t="str">
        <f aca="false">IF(ABS(t-T_para)&lt;pas/2,"Para","")</f>
        <v/>
      </c>
      <c r="AA74" s="424" t="str">
        <f aca="false">IF(ABS(t-T_satellite)&lt;pas/2,"Satellite","")</f>
        <v/>
      </c>
      <c r="AB74" s="412"/>
      <c r="AC74" s="420" t="e">
        <f aca="false">IF(ABS(t-ROUND(t,0))&lt;0.001,t,NA())</f>
        <v>#N/A</v>
      </c>
      <c r="AD74" s="425" t="e">
        <f aca="false">IF(ABS(t-ROUND(t,0))&lt;0.001,pos_x,NA())</f>
        <v>#N/A</v>
      </c>
      <c r="AE74" s="426" t="n">
        <f aca="false">IF(t&lt;T_para, pos_z, NA())</f>
        <v>20.5564770270259</v>
      </c>
      <c r="AF74" s="412"/>
      <c r="AG74" s="418" t="n">
        <f aca="false">IF(AND(L73&lt;L_rampe,Poussee&lt;Poids*SIN(M73)),0,(-W73+Poussee)/m-Poids*SIN(M73)/m)</f>
        <v>84.0408426442823</v>
      </c>
      <c r="AH74" s="417" t="n">
        <f aca="false">IF(AND(L73&lt;L_rampe,Poussee&lt;Poids*SIN(M73)), g*SIN(M73), (-W73+Poussee)/m)</f>
        <v>93.6741783782931</v>
      </c>
    </row>
    <row r="75" customFormat="false" ht="12" hidden="false" customHeight="false" outlineLevel="0" collapsed="false">
      <c r="A75" s="416" t="n">
        <f aca="false">IF(B74+0.01&lt;=T_ini+ROUNDUP(Temps_fin_propu,0), 0.01, IF(K74&gt;0, 0.1, 0.0001))</f>
        <v>0.01</v>
      </c>
      <c r="B75" s="417" t="n">
        <f aca="false">B74+pas</f>
        <v>0.71</v>
      </c>
      <c r="C75" s="401"/>
      <c r="D75" s="418" t="n">
        <f aca="false">IF(AND(L74&lt;L_rampe,Poussee&lt;Poids*SIN(M74)),0,(-W74+Poussee)/m*COS(M74)-U74/m*SIN(M74))</f>
        <v>17.697737875449</v>
      </c>
      <c r="E75" s="419" t="n">
        <f aca="false">IF(AND(L74&lt;L_rampe,Poussee&lt;Poids*SIN(M74)),0,(-W74+Poussee)/m*SIN(M74)+U74/m*COS(M74)-Poids/m)</f>
        <v>82.0273412951603</v>
      </c>
      <c r="F75" s="417" t="n">
        <f aca="false">SQRT(acc_x^2+acc_z^2)</f>
        <v>83.9148058798971</v>
      </c>
      <c r="G75" s="418" t="n">
        <f aca="false">G74+acc_x*pas</f>
        <v>11.6437245654399</v>
      </c>
      <c r="H75" s="419" t="n">
        <f aca="false">H74+acc_z*pas</f>
        <v>60.3236733581962</v>
      </c>
      <c r="I75" s="417" t="n">
        <f aca="false">SQRT(vit_x^2+vit_z^2)</f>
        <v>61.4371377033646</v>
      </c>
      <c r="J75" s="418" t="n">
        <f aca="false">J74+0.5*(vit_x+G74)*pas*(K74&gt;=0)</f>
        <v>3.90742453918325</v>
      </c>
      <c r="K75" s="419" t="n">
        <f aca="false">K74+0.5*(vit_z+H74)*pas</f>
        <v>21.1556123935431</v>
      </c>
      <c r="L75" s="417" t="n">
        <f aca="false">SQRT(pos_x^2+pos_z^2)</f>
        <v>21.5134353898964</v>
      </c>
      <c r="M75" s="418" t="n">
        <f aca="false">IF(AND(L74&gt;L_rampe,G75&gt;0),ATAN2(G75,H75),$M$4)</f>
        <v>1.38012044004036</v>
      </c>
      <c r="N75" s="417" t="n">
        <f aca="false">DEGREES(Beta)</f>
        <v>79.0750764340508</v>
      </c>
      <c r="O75" s="401"/>
      <c r="P75" s="420" t="n">
        <f aca="false">MATCH(t-pas/2-T_ini,CdP_t)</f>
        <v>3</v>
      </c>
      <c r="Q75" s="417" t="n">
        <f aca="false">(INDEX(CdP,2,i_P+1)-INDEX(CdP,2,i_P+0))/(INDEX(CdP,1,i_P+1)-INDEX(CdP,1,i_P+0))*(t-pas/2-T_ini-INDEX(CdP,1,i_P+0))+INDEX(CdP,2,i_P+0)</f>
        <v>773.81</v>
      </c>
      <c r="R75" s="418" t="n">
        <f aca="false">Poussee/(g*ISP)</f>
        <v>0.388339185860657</v>
      </c>
      <c r="S75" s="419" t="n">
        <f aca="false">S74-Débit*pas</f>
        <v>8.12605862536862</v>
      </c>
      <c r="T75" s="417" t="n">
        <f aca="false">m*g</f>
        <v>79.7166351148661</v>
      </c>
      <c r="U75" s="421" t="n">
        <f aca="false">IF(pos_xz&lt;L_rampe,Poids*COS(Beta),0)</f>
        <v>0</v>
      </c>
      <c r="V75" s="418" t="n">
        <f aca="false">Rho_moyen*(20000-Alt_rampe-pos_z)/(20000+Alt_rampe+pos_z)</f>
        <v>1.22241117588976</v>
      </c>
      <c r="W75" s="417" t="n">
        <f aca="false">1/2*Rho*Sref*Cx*vit_xz^2</f>
        <v>14.187797205619</v>
      </c>
      <c r="X75" s="401"/>
      <c r="Y75" s="422" t="str">
        <f aca="false">IF(AND(pos_z&lt;=0,K74&gt;0),"Impact balistique","") &amp; IF(AND(H76&lt;0,vit_z&gt;=0),"Apogée","") &amp; IF(AND(Poussee=0,Q74&gt;0),"Fin de propulsion","") &amp; IF(AND(L76&gt;L_rampe,pos_xz&lt;=L_rampe),"Sortie de rampe","")</f>
        <v/>
      </c>
      <c r="Z75" s="423" t="str">
        <f aca="false">IF(ABS(t-T_para)&lt;pas/2,"Para","")</f>
        <v/>
      </c>
      <c r="AA75" s="424" t="str">
        <f aca="false">IF(ABS(t-T_satellite)&lt;pas/2,"Satellite","")</f>
        <v/>
      </c>
      <c r="AB75" s="412"/>
      <c r="AC75" s="420" t="e">
        <f aca="false">IF(ABS(t-ROUND(t,0))&lt;0.001,t,NA())</f>
        <v>#N/A</v>
      </c>
      <c r="AD75" s="425" t="e">
        <f aca="false">IF(ABS(t-ROUND(t,0))&lt;0.001,pos_x,NA())</f>
        <v>#N/A</v>
      </c>
      <c r="AE75" s="426" t="n">
        <f aca="false">IF(t&lt;T_para, pos_z, NA())</f>
        <v>21.1556123935431</v>
      </c>
      <c r="AF75" s="412"/>
      <c r="AG75" s="418" t="n">
        <f aca="false">IF(AND(L74&lt;L_rampe,Poussee&lt;Poids*SIN(M74)),0,(-W74+Poussee)/m-Poids*SIN(M74)/m)</f>
        <v>83.8942714001551</v>
      </c>
      <c r="AH75" s="417" t="n">
        <f aca="false">IF(AND(L74&lt;L_rampe,Poussee&lt;Poids*SIN(M74)), g*SIN(M74), (-W74+Poussee)/m)</f>
        <v>93.5270398444849</v>
      </c>
    </row>
    <row r="76" customFormat="false" ht="12" hidden="false" customHeight="false" outlineLevel="0" collapsed="false">
      <c r="A76" s="416" t="n">
        <f aca="false">IF(B75+0.01&lt;=T_ini+ROUNDUP(Temps_fin_propu,0), 0.01, IF(K75&gt;0, 0.1, 0.0001))</f>
        <v>0.01</v>
      </c>
      <c r="B76" s="417" t="n">
        <f aca="false">B75+pas</f>
        <v>0.72</v>
      </c>
      <c r="C76" s="401"/>
      <c r="D76" s="418" t="n">
        <f aca="false">IF(AND(L75&lt;L_rampe,Poussee&lt;Poids*SIN(M75)),0,(-W75+Poussee)/m*COS(M75)-U75/m*SIN(M75))</f>
        <v>17.6974530423615</v>
      </c>
      <c r="E76" s="419" t="n">
        <f aca="false">IF(AND(L75&lt;L_rampe,Poussee&lt;Poids*SIN(M75)),0,(-W75+Poussee)/m*SIN(M75)+U75/m*COS(M75)-Poids/m)</f>
        <v>81.8767597304849</v>
      </c>
      <c r="F76" s="417" t="n">
        <f aca="false">SQRT(acc_x^2+acc_z^2)</f>
        <v>83.7675571337146</v>
      </c>
      <c r="G76" s="418" t="n">
        <f aca="false">G75+acc_x*pas</f>
        <v>11.8206990958635</v>
      </c>
      <c r="H76" s="419" t="n">
        <f aca="false">H75+acc_z*pas</f>
        <v>61.1424409555011</v>
      </c>
      <c r="I76" s="417" t="n">
        <f aca="false">SQRT(vit_x^2+vit_z^2)</f>
        <v>62.2746096985913</v>
      </c>
      <c r="J76" s="418" t="n">
        <f aca="false">J75+0.5*(vit_x+G75)*pas*(K75&gt;=0)</f>
        <v>4.02474665748977</v>
      </c>
      <c r="K76" s="419" t="n">
        <f aca="false">K75+0.5*(vit_z+H75)*pas</f>
        <v>21.7629429651116</v>
      </c>
      <c r="L76" s="417" t="n">
        <f aca="false">SQRT(pos_x^2+pos_z^2)</f>
        <v>22.1319739779279</v>
      </c>
      <c r="M76" s="418" t="n">
        <f aca="false">IF(AND(L75&gt;L_rampe,G76&gt;0),ATAN2(G76,H76),$M$4)</f>
        <v>1.37982188875249</v>
      </c>
      <c r="N76" s="417" t="n">
        <f aca="false">DEGREES(Beta)</f>
        <v>79.0579707052875</v>
      </c>
      <c r="O76" s="401"/>
      <c r="P76" s="420" t="n">
        <f aca="false">MATCH(t-pas/2-T_ini,CdP_t)</f>
        <v>3</v>
      </c>
      <c r="Q76" s="417" t="n">
        <f aca="false">(INDEX(CdP,2,i_P+1)-INDEX(CdP,2,i_P+0))/(INDEX(CdP,1,i_P+1)-INDEX(CdP,1,i_P+0))*(t-pas/2-T_ini-INDEX(CdP,1,i_P+0))+INDEX(CdP,2,i_P+0)</f>
        <v>772.63</v>
      </c>
      <c r="R76" s="418" t="n">
        <f aca="false">Poussee/(g*ISP)</f>
        <v>0.387746998838888</v>
      </c>
      <c r="S76" s="419" t="n">
        <f aca="false">S75-Débit*pas</f>
        <v>8.12218115538023</v>
      </c>
      <c r="T76" s="417" t="n">
        <f aca="false">m*g</f>
        <v>79.67859713428</v>
      </c>
      <c r="U76" s="421" t="n">
        <f aca="false">IF(pos_xz&lt;L_rampe,Poids*COS(Beta),0)</f>
        <v>0</v>
      </c>
      <c r="V76" s="418" t="n">
        <f aca="false">Rho_moyen*(20000-Alt_rampe-pos_z)/(20000+Alt_rampe+pos_z)</f>
        <v>1.22233693729087</v>
      </c>
      <c r="W76" s="417" t="n">
        <f aca="false">1/2*Rho*Sref*Cx*vit_xz^2</f>
        <v>14.5763462641106</v>
      </c>
      <c r="X76" s="401"/>
      <c r="Y76" s="422" t="str">
        <f aca="false">IF(AND(pos_z&lt;=0,K75&gt;0),"Impact balistique","") &amp; IF(AND(H77&lt;0,vit_z&gt;=0),"Apogée","") &amp; IF(AND(Poussee=0,Q75&gt;0),"Fin de propulsion","") &amp; IF(AND(L77&gt;L_rampe,pos_xz&lt;=L_rampe),"Sortie de rampe","")</f>
        <v/>
      </c>
      <c r="Z76" s="423" t="str">
        <f aca="false">IF(ABS(t-T_para)&lt;pas/2,"Para","")</f>
        <v/>
      </c>
      <c r="AA76" s="424" t="str">
        <f aca="false">IF(ABS(t-T_satellite)&lt;pas/2,"Satellite","")</f>
        <v/>
      </c>
      <c r="AB76" s="412"/>
      <c r="AC76" s="420" t="e">
        <f aca="false">IF(ABS(t-ROUND(t,0))&lt;0.001,t,NA())</f>
        <v>#N/A</v>
      </c>
      <c r="AD76" s="425" t="e">
        <f aca="false">IF(ABS(t-ROUND(t,0))&lt;0.001,pos_x,NA())</f>
        <v>#N/A</v>
      </c>
      <c r="AE76" s="426" t="n">
        <f aca="false">IF(t&lt;T_para, pos_z, NA())</f>
        <v>21.7629429651116</v>
      </c>
      <c r="AF76" s="412"/>
      <c r="AG76" s="418" t="n">
        <f aca="false">IF(AND(L75&lt;L_rampe,Poussee&lt;Poids*SIN(M75)),0,(-W75+Poussee)/m-Poids*SIN(M75)/m)</f>
        <v>83.7469219869365</v>
      </c>
      <c r="AH76" s="417" t="n">
        <f aca="false">IF(AND(L75&lt;L_rampe,Poussee&lt;Poids*SIN(M75)), g*SIN(M75), (-W75+Poussee)/m)</f>
        <v>93.3791291138563</v>
      </c>
    </row>
    <row r="77" customFormat="false" ht="12" hidden="false" customHeight="false" outlineLevel="0" collapsed="false">
      <c r="A77" s="416" t="n">
        <f aca="false">IF(B76+0.01&lt;=T_ini+ROUNDUP(Temps_fin_propu,0), 0.01, IF(K76&gt;0, 0.1, 0.0001))</f>
        <v>0.01</v>
      </c>
      <c r="B77" s="417" t="n">
        <f aca="false">B76+pas</f>
        <v>0.73</v>
      </c>
      <c r="C77" s="401"/>
      <c r="D77" s="418" t="n">
        <f aca="false">IF(AND(L76&lt;L_rampe,Poussee&lt;Poids*SIN(M76)),0,(-W76+Poussee)/m*COS(M76)-U76/m*SIN(M76))</f>
        <v>17.6966037243302</v>
      </c>
      <c r="E77" s="419" t="n">
        <f aca="false">IF(AND(L76&lt;L_rampe,Poussee&lt;Poids*SIN(M76)),0,(-W76+Poussee)/m*SIN(M76)+U76/m*COS(M76)-Poids/m)</f>
        <v>81.7254954519057</v>
      </c>
      <c r="F77" s="417" t="n">
        <f aca="false">SQRT(acc_x^2+acc_z^2)</f>
        <v>83.6195335447133</v>
      </c>
      <c r="G77" s="418" t="n">
        <f aca="false">G76+acc_x*pas</f>
        <v>11.9976651331068</v>
      </c>
      <c r="H77" s="419" t="n">
        <f aca="false">H76+acc_z*pas</f>
        <v>61.9596959100201</v>
      </c>
      <c r="I77" s="417" t="n">
        <f aca="false">SQRT(vit_x^2+vit_z^2)</f>
        <v>63.110600424242</v>
      </c>
      <c r="J77" s="418" t="n">
        <f aca="false">J76+0.5*(vit_x+G76)*pas*(K76&gt;=0)</f>
        <v>4.14383847863462</v>
      </c>
      <c r="K77" s="419" t="n">
        <f aca="false">K76+0.5*(vit_z+H76)*pas</f>
        <v>22.3784536494392</v>
      </c>
      <c r="L77" s="417" t="n">
        <f aca="false">SQRT(pos_x^2+pos_z^2)</f>
        <v>22.7588792579317</v>
      </c>
      <c r="M77" s="418" t="n">
        <f aca="false">IF(AND(L76&gt;L_rampe,G77&gt;0),ATAN2(G77,H77),$M$4)</f>
        <v>1.37952683655769</v>
      </c>
      <c r="N77" s="417" t="n">
        <f aca="false">DEGREES(Beta)</f>
        <v>79.0410654597891</v>
      </c>
      <c r="O77" s="401"/>
      <c r="P77" s="420" t="n">
        <f aca="false">MATCH(t-pas/2-T_ini,CdP_t)</f>
        <v>3</v>
      </c>
      <c r="Q77" s="417" t="n">
        <f aca="false">(INDEX(CdP,2,i_P+1)-INDEX(CdP,2,i_P+0))/(INDEX(CdP,1,i_P+1)-INDEX(CdP,1,i_P+0))*(t-pas/2-T_ini-INDEX(CdP,1,i_P+0))+INDEX(CdP,2,i_P+0)</f>
        <v>771.45</v>
      </c>
      <c r="R77" s="418" t="n">
        <f aca="false">Poussee/(g*ISP)</f>
        <v>0.387154811817118</v>
      </c>
      <c r="S77" s="419" t="n">
        <f aca="false">S76-Débit*pas</f>
        <v>8.11830960726206</v>
      </c>
      <c r="T77" s="417" t="n">
        <f aca="false">m*g</f>
        <v>79.6406172472408</v>
      </c>
      <c r="U77" s="421" t="n">
        <f aca="false">IF(pos_xz&lt;L_rampe,Poids*COS(Beta),0)</f>
        <v>0</v>
      </c>
      <c r="V77" s="418" t="n">
        <f aca="false">Rho_moyen*(20000-Alt_rampe-pos_z)/(20000+Alt_rampe+pos_z)</f>
        <v>1.22226170337015</v>
      </c>
      <c r="W77" s="417" t="n">
        <f aca="false">1/2*Rho*Sref*Cx*vit_xz^2</f>
        <v>14.9694050727288</v>
      </c>
      <c r="X77" s="401"/>
      <c r="Y77" s="422" t="str">
        <f aca="false">IF(AND(pos_z&lt;=0,K76&gt;0),"Impact balistique","") &amp; IF(AND(H78&lt;0,vit_z&gt;=0),"Apogée","") &amp; IF(AND(Poussee=0,Q76&gt;0),"Fin de propulsion","") &amp; IF(AND(L78&gt;L_rampe,pos_xz&lt;=L_rampe),"Sortie de rampe","")</f>
        <v/>
      </c>
      <c r="Z77" s="423" t="str">
        <f aca="false">IF(ABS(t-T_para)&lt;pas/2,"Para","")</f>
        <v/>
      </c>
      <c r="AA77" s="424" t="str">
        <f aca="false">IF(ABS(t-T_satellite)&lt;pas/2,"Satellite","")</f>
        <v/>
      </c>
      <c r="AB77" s="412"/>
      <c r="AC77" s="420" t="e">
        <f aca="false">IF(ABS(t-ROUND(t,0))&lt;0.001,t,NA())</f>
        <v>#N/A</v>
      </c>
      <c r="AD77" s="425" t="e">
        <f aca="false">IF(ABS(t-ROUND(t,0))&lt;0.001,pos_x,NA())</f>
        <v>#N/A</v>
      </c>
      <c r="AE77" s="426" t="n">
        <f aca="false">IF(t&lt;T_para, pos_z, NA())</f>
        <v>22.3784536494392</v>
      </c>
      <c r="AF77" s="412"/>
      <c r="AG77" s="418" t="n">
        <f aca="false">IF(AND(L76&lt;L_rampe,Poussee&lt;Poids*SIN(M76)),0,(-W76+Poussee)/m-Poids*SIN(M76)/m)</f>
        <v>83.5987978578856</v>
      </c>
      <c r="AH77" s="417" t="n">
        <f aca="false">IF(AND(L76&lt;L_rampe,Poussee&lt;Poids*SIN(M76)), g*SIN(M76), (-W76+Poussee)/m)</f>
        <v>93.2304494840705</v>
      </c>
    </row>
    <row r="78" customFormat="false" ht="12" hidden="false" customHeight="false" outlineLevel="0" collapsed="false">
      <c r="A78" s="416" t="n">
        <f aca="false">IF(B77+0.01&lt;=T_ini+ROUNDUP(Temps_fin_propu,0), 0.01, IF(K77&gt;0, 0.1, 0.0001))</f>
        <v>0.01</v>
      </c>
      <c r="B78" s="417" t="n">
        <f aca="false">B77+pas</f>
        <v>0.74</v>
      </c>
      <c r="C78" s="401"/>
      <c r="D78" s="418" t="n">
        <f aca="false">IF(AND(L77&lt;L_rampe,Poussee&lt;Poids*SIN(M77)),0,(-W77+Poussee)/m*COS(M77)-U77/m*SIN(M77))</f>
        <v>17.6952003641017</v>
      </c>
      <c r="E78" s="419" t="n">
        <f aca="false">IF(AND(L77&lt;L_rampe,Poussee&lt;Poids*SIN(M77)),0,(-W77+Poussee)/m*SIN(M77)+U77/m*COS(M77)-Poids/m)</f>
        <v>81.5735501710413</v>
      </c>
      <c r="F78" s="417" t="n">
        <f aca="false">SQRT(acc_x^2+acc_z^2)</f>
        <v>83.4707386060115</v>
      </c>
      <c r="G78" s="418" t="n">
        <f aca="false">G77+acc_x*pas</f>
        <v>12.1746171367478</v>
      </c>
      <c r="H78" s="419" t="n">
        <f aca="false">H77+acc_z*pas</f>
        <v>62.7754314117305</v>
      </c>
      <c r="I78" s="417" t="n">
        <f aca="false">SQRT(vit_x^2+vit_z^2)</f>
        <v>63.9451021686202</v>
      </c>
      <c r="J78" s="418" t="n">
        <f aca="false">J77+0.5*(vit_x+G77)*pas*(K77&gt;=0)</f>
        <v>4.26469988998389</v>
      </c>
      <c r="K78" s="419" t="n">
        <f aca="false">K77+0.5*(vit_z+H77)*pas</f>
        <v>23.002129286048</v>
      </c>
      <c r="L78" s="417" t="n">
        <f aca="false">SQRT(pos_x^2+pos_z^2)</f>
        <v>23.3941363773852</v>
      </c>
      <c r="M78" s="418" t="n">
        <f aca="false">IF(AND(L77&gt;L_rampe,G78&gt;0),ATAN2(G78,H78),$M$4)</f>
        <v>1.37923519047189</v>
      </c>
      <c r="N78" s="417" t="n">
        <f aca="false">DEGREES(Beta)</f>
        <v>79.0243553699614</v>
      </c>
      <c r="O78" s="401"/>
      <c r="P78" s="420" t="n">
        <f aca="false">MATCH(t-pas/2-T_ini,CdP_t)</f>
        <v>3</v>
      </c>
      <c r="Q78" s="417" t="n">
        <f aca="false">(INDEX(CdP,2,i_P+1)-INDEX(CdP,2,i_P+0))/(INDEX(CdP,1,i_P+1)-INDEX(CdP,1,i_P+0))*(t-pas/2-T_ini-INDEX(CdP,1,i_P+0))+INDEX(CdP,2,i_P+0)</f>
        <v>770.27</v>
      </c>
      <c r="R78" s="418" t="n">
        <f aca="false">Poussee/(g*ISP)</f>
        <v>0.386562624795348</v>
      </c>
      <c r="S78" s="419" t="n">
        <f aca="false">S77-Débit*pas</f>
        <v>8.1144439810141</v>
      </c>
      <c r="T78" s="417" t="n">
        <f aca="false">m*g</f>
        <v>79.6026954537483</v>
      </c>
      <c r="U78" s="421" t="n">
        <f aca="false">IF(pos_xz&lt;L_rampe,Poids*COS(Beta),0)</f>
        <v>0</v>
      </c>
      <c r="V78" s="418" t="n">
        <f aca="false">Rho_moyen*(20000-Alt_rampe-pos_z)/(20000+Alt_rampe+pos_z)</f>
        <v>1.22218547616452</v>
      </c>
      <c r="W78" s="417" t="n">
        <f aca="false">1/2*Rho*Sref*Cx*vit_xz^2</f>
        <v>15.3669402215947</v>
      </c>
      <c r="X78" s="401"/>
      <c r="Y78" s="422" t="str">
        <f aca="false">IF(AND(pos_z&lt;=0,K77&gt;0),"Impact balistique","") &amp; IF(AND(H79&lt;0,vit_z&gt;=0),"Apogée","") &amp; IF(AND(Poussee=0,Q77&gt;0),"Fin de propulsion","") &amp; IF(AND(L79&gt;L_rampe,pos_xz&lt;=L_rampe),"Sortie de rampe","")</f>
        <v/>
      </c>
      <c r="Z78" s="423" t="str">
        <f aca="false">IF(ABS(t-T_para)&lt;pas/2,"Para","")</f>
        <v/>
      </c>
      <c r="AA78" s="424" t="str">
        <f aca="false">IF(ABS(t-T_satellite)&lt;pas/2,"Satellite","")</f>
        <v/>
      </c>
      <c r="AB78" s="412"/>
      <c r="AC78" s="420" t="e">
        <f aca="false">IF(ABS(t-ROUND(t,0))&lt;0.001,t,NA())</f>
        <v>#N/A</v>
      </c>
      <c r="AD78" s="425" t="e">
        <f aca="false">IF(ABS(t-ROUND(t,0))&lt;0.001,pos_x,NA())</f>
        <v>#N/A</v>
      </c>
      <c r="AE78" s="426" t="n">
        <f aca="false">IF(t&lt;T_para, pos_z, NA())</f>
        <v>23.002129286048</v>
      </c>
      <c r="AF78" s="412"/>
      <c r="AG78" s="418" t="n">
        <f aca="false">IF(AND(L77&lt;L_rampe,Poussee&lt;Poids*SIN(M77)),0,(-W77+Poussee)/m-Poids*SIN(M77)/m)</f>
        <v>83.4499024874943</v>
      </c>
      <c r="AH78" s="417" t="n">
        <f aca="false">IF(AND(L77&lt;L_rampe,Poussee&lt;Poids*SIN(M77)), g*SIN(M77), (-W77+Poussee)/m)</f>
        <v>93.0810042800835</v>
      </c>
    </row>
    <row r="79" customFormat="false" ht="12" hidden="false" customHeight="false" outlineLevel="0" collapsed="false">
      <c r="A79" s="416" t="n">
        <f aca="false">IF(B78+0.01&lt;=T_ini+ROUNDUP(Temps_fin_propu,0), 0.01, IF(K78&gt;0, 0.1, 0.0001))</f>
        <v>0.01</v>
      </c>
      <c r="B79" s="417" t="n">
        <f aca="false">B78+pas</f>
        <v>0.75</v>
      </c>
      <c r="C79" s="401"/>
      <c r="D79" s="418" t="n">
        <f aca="false">IF(AND(L78&lt;L_rampe,Poussee&lt;Poids*SIN(M78)),0,(-W78+Poussee)/m*COS(M78)-U78/m*SIN(M78))</f>
        <v>17.6932530176509</v>
      </c>
      <c r="E79" s="419" t="n">
        <f aca="false">IF(AND(L78&lt;L_rampe,Poussee&lt;Poids*SIN(M78)),0,(-W78+Poussee)/m*SIN(M78)+U78/m*COS(M78)-Poids/m)</f>
        <v>81.4209256861475</v>
      </c>
      <c r="F79" s="417" t="n">
        <f aca="false">SQRT(acc_x^2+acc_z^2)</f>
        <v>83.3211758314521</v>
      </c>
      <c r="G79" s="418" t="n">
        <f aca="false">G78+acc_x*pas</f>
        <v>12.3515496669243</v>
      </c>
      <c r="H79" s="419" t="n">
        <f aca="false">H78+acc_z*pas</f>
        <v>63.589640668592</v>
      </c>
      <c r="I79" s="417" t="n">
        <f aca="false">SQRT(vit_x^2+vit_z^2)</f>
        <v>64.7781072549604</v>
      </c>
      <c r="J79" s="418" t="n">
        <f aca="false">J78+0.5*(vit_x+G78)*pas*(K78&gt;=0)</f>
        <v>4.38733072400225</v>
      </c>
      <c r="K79" s="419" t="n">
        <f aca="false">K78+0.5*(vit_z+H78)*pas</f>
        <v>23.6339546464496</v>
      </c>
      <c r="L79" s="417" t="n">
        <f aca="false">SQRT(pos_x^2+pos_z^2)</f>
        <v>24.0377304068461</v>
      </c>
      <c r="M79" s="418" t="n">
        <f aca="false">IF(AND(L78&gt;L_rampe,G79&gt;0),ATAN2(G79,H79),$M$4)</f>
        <v>1.37894686116624</v>
      </c>
      <c r="N79" s="417" t="n">
        <f aca="false">DEGREES(Beta)</f>
        <v>79.0078353176381</v>
      </c>
      <c r="O79" s="401"/>
      <c r="P79" s="420" t="n">
        <f aca="false">MATCH(t-pas/2-T_ini,CdP_t)</f>
        <v>3</v>
      </c>
      <c r="Q79" s="417" t="n">
        <f aca="false">(INDEX(CdP,2,i_P+1)-INDEX(CdP,2,i_P+0))/(INDEX(CdP,1,i_P+1)-INDEX(CdP,1,i_P+0))*(t-pas/2-T_ini-INDEX(CdP,1,i_P+0))+INDEX(CdP,2,i_P+0)</f>
        <v>769.09</v>
      </c>
      <c r="R79" s="418" t="n">
        <f aca="false">Poussee/(g*ISP)</f>
        <v>0.385970437773579</v>
      </c>
      <c r="S79" s="419" t="n">
        <f aca="false">S78-Débit*pas</f>
        <v>8.11058427663637</v>
      </c>
      <c r="T79" s="417" t="n">
        <f aca="false">m*g</f>
        <v>79.5648317538028</v>
      </c>
      <c r="U79" s="421" t="n">
        <f aca="false">IF(pos_xz&lt;L_rampe,Poids*COS(Beta),0)</f>
        <v>0</v>
      </c>
      <c r="V79" s="418" t="n">
        <f aca="false">Rho_moyen*(20000-Alt_rampe-pos_z)/(20000+Alt_rampe+pos_z)</f>
        <v>1.2221082577211</v>
      </c>
      <c r="W79" s="417" t="n">
        <f aca="false">1/2*Rho*Sref*Cx*vit_xz^2</f>
        <v>15.7689181626709</v>
      </c>
      <c r="X79" s="401"/>
      <c r="Y79" s="422" t="str">
        <f aca="false">IF(AND(pos_z&lt;=0,K78&gt;0),"Impact balistique","") &amp; IF(AND(H80&lt;0,vit_z&gt;=0),"Apogée","") &amp; IF(AND(Poussee=0,Q78&gt;0),"Fin de propulsion","") &amp; IF(AND(L80&gt;L_rampe,pos_xz&lt;=L_rampe),"Sortie de rampe","")</f>
        <v/>
      </c>
      <c r="Z79" s="423" t="str">
        <f aca="false">IF(ABS(t-T_para)&lt;pas/2,"Para","")</f>
        <v/>
      </c>
      <c r="AA79" s="424" t="str">
        <f aca="false">IF(ABS(t-T_satellite)&lt;pas/2,"Satellite","")</f>
        <v/>
      </c>
      <c r="AB79" s="412"/>
      <c r="AC79" s="420" t="e">
        <f aca="false">IF(ABS(t-ROUND(t,0))&lt;0.001,t,NA())</f>
        <v>#N/A</v>
      </c>
      <c r="AD79" s="425" t="e">
        <f aca="false">IF(ABS(t-ROUND(t,0))&lt;0.001,pos_x,NA())</f>
        <v>#N/A</v>
      </c>
      <c r="AE79" s="426" t="n">
        <f aca="false">IF(t&lt;T_para, pos_z, NA())</f>
        <v>23.6339546464496</v>
      </c>
      <c r="AF79" s="412"/>
      <c r="AG79" s="418" t="n">
        <f aca="false">IF(AND(L78&lt;L_rampe,Poussee&lt;Poids*SIN(M78)),0,(-W78+Poussee)/m-Poids*SIN(M78)/m)</f>
        <v>83.3002393715435</v>
      </c>
      <c r="AH79" s="417" t="n">
        <f aca="false">IF(AND(L78&lt;L_rampe,Poussee&lt;Poids*SIN(M78)), g*SIN(M78), (-W78+Poussee)/m)</f>
        <v>92.9307968538847</v>
      </c>
    </row>
    <row r="80" customFormat="false" ht="12" hidden="false" customHeight="false" outlineLevel="0" collapsed="false">
      <c r="A80" s="416" t="n">
        <f aca="false">IF(B79+0.01&lt;=T_ini+ROUNDUP(Temps_fin_propu,0), 0.01, IF(K79&gt;0, 0.1, 0.0001))</f>
        <v>0.01</v>
      </c>
      <c r="B80" s="417" t="n">
        <f aca="false">B79+pas</f>
        <v>0.760000000000001</v>
      </c>
      <c r="C80" s="401"/>
      <c r="D80" s="418" t="n">
        <f aca="false">IF(AND(L79&lt;L_rampe,Poussee&lt;Poids*SIN(M79)),0,(-W79+Poussee)/m*COS(M79)-U79/m*SIN(M79))</f>
        <v>17.6907713749579</v>
      </c>
      <c r="E80" s="419" t="n">
        <f aca="false">IF(AND(L79&lt;L_rampe,Poussee&lt;Poids*SIN(M79)),0,(-W79+Poussee)/m*SIN(M79)+U79/m*COS(M79)-Poids/m)</f>
        <v>81.2676238787463</v>
      </c>
      <c r="F80" s="417" t="n">
        <f aca="false">SQRT(acc_x^2+acc_z^2)</f>
        <v>83.1708487556693</v>
      </c>
      <c r="G80" s="418" t="n">
        <f aca="false">G79+acc_x*pas</f>
        <v>12.5284573806739</v>
      </c>
      <c r="H80" s="419" t="n">
        <f aca="false">H79+acc_z*pas</f>
        <v>64.4023169073795</v>
      </c>
      <c r="I80" s="417" t="n">
        <f aca="false">SQRT(vit_x^2+vit_z^2)</f>
        <v>65.609608041642</v>
      </c>
      <c r="J80" s="418" t="n">
        <f aca="false">J79+0.5*(vit_x+G79)*pas*(K79&gt;=0)</f>
        <v>4.51173075924024</v>
      </c>
      <c r="K80" s="419" t="n">
        <f aca="false">K79+0.5*(vit_z+H79)*pas</f>
        <v>24.2739144343295</v>
      </c>
      <c r="L80" s="417" t="n">
        <f aca="false">SQRT(pos_x^2+pos_z^2)</f>
        <v>24.6896463402987</v>
      </c>
      <c r="M80" s="418" t="n">
        <f aca="false">IF(AND(L79&gt;L_rampe,G80&gt;0),ATAN2(G80,H80),$M$4)</f>
        <v>1.37866176277622</v>
      </c>
      <c r="N80" s="417" t="n">
        <f aca="false">DEGREES(Beta)</f>
        <v>78.9915003831435</v>
      </c>
      <c r="O80" s="401"/>
      <c r="P80" s="420" t="n">
        <f aca="false">MATCH(t-pas/2-T_ini,CdP_t)</f>
        <v>3</v>
      </c>
      <c r="Q80" s="417" t="n">
        <f aca="false">(INDEX(CdP,2,i_P+1)-INDEX(CdP,2,i_P+0))/(INDEX(CdP,1,i_P+1)-INDEX(CdP,1,i_P+0))*(t-pas/2-T_ini-INDEX(CdP,1,i_P+0))+INDEX(CdP,2,i_P+0)</f>
        <v>767.91</v>
      </c>
      <c r="R80" s="418" t="n">
        <f aca="false">Poussee/(g*ISP)</f>
        <v>0.385378250751809</v>
      </c>
      <c r="S80" s="419" t="n">
        <f aca="false">S79-Débit*pas</f>
        <v>8.10673049412885</v>
      </c>
      <c r="T80" s="417" t="n">
        <f aca="false">m*g</f>
        <v>79.527026147404</v>
      </c>
      <c r="U80" s="421" t="n">
        <f aca="false">IF(pos_xz&lt;L_rampe,Poids*COS(Beta),0)</f>
        <v>0</v>
      </c>
      <c r="V80" s="418" t="n">
        <f aca="false">Rho_moyen*(20000-Alt_rampe-pos_z)/(20000+Alt_rampe+pos_z)</f>
        <v>1.22203005009729</v>
      </c>
      <c r="W80" s="417" t="n">
        <f aca="false">1/2*Rho*Sref*Cx*vit_xz^2</f>
        <v>16.175305212213</v>
      </c>
      <c r="X80" s="401"/>
      <c r="Y80" s="422" t="str">
        <f aca="false">IF(AND(pos_z&lt;=0,K79&gt;0),"Impact balistique","") &amp; IF(AND(H81&lt;0,vit_z&gt;=0),"Apogée","") &amp; IF(AND(Poussee=0,Q79&gt;0),"Fin de propulsion","") &amp; IF(AND(L81&gt;L_rampe,pos_xz&lt;=L_rampe),"Sortie de rampe","")</f>
        <v/>
      </c>
      <c r="Z80" s="423" t="str">
        <f aca="false">IF(ABS(t-T_para)&lt;pas/2,"Para","")</f>
        <v/>
      </c>
      <c r="AA80" s="424" t="str">
        <f aca="false">IF(ABS(t-T_satellite)&lt;pas/2,"Satellite","")</f>
        <v/>
      </c>
      <c r="AB80" s="412"/>
      <c r="AC80" s="420" t="e">
        <f aca="false">IF(ABS(t-ROUND(t,0))&lt;0.001,t,NA())</f>
        <v>#N/A</v>
      </c>
      <c r="AD80" s="425" t="e">
        <f aca="false">IF(ABS(t-ROUND(t,0))&lt;0.001,pos_x,NA())</f>
        <v>#N/A</v>
      </c>
      <c r="AE80" s="426" t="n">
        <f aca="false">IF(t&lt;T_para, pos_z, NA())</f>
        <v>24.2739144343295</v>
      </c>
      <c r="AF80" s="412"/>
      <c r="AG80" s="418" t="n">
        <f aca="false">IF(AND(L79&lt;L_rampe,Poussee&lt;Poids*SIN(M79)),0,(-W79+Poussee)/m-Poids*SIN(M79)/m)</f>
        <v>83.1498120271384</v>
      </c>
      <c r="AH80" s="417" t="n">
        <f aca="false">IF(AND(L79&lt;L_rampe,Poussee&lt;Poids*SIN(M79)), g*SIN(M79), (-W79+Poussee)/m)</f>
        <v>92.7798305842354</v>
      </c>
    </row>
    <row r="81" customFormat="false" ht="12" hidden="false" customHeight="false" outlineLevel="0" collapsed="false">
      <c r="A81" s="416" t="n">
        <f aca="false">IF(B80+0.01&lt;=T_ini+ROUNDUP(Temps_fin_propu,0), 0.01, IF(K80&gt;0, 0.1, 0.0001))</f>
        <v>0.01</v>
      </c>
      <c r="B81" s="417" t="n">
        <f aca="false">B80+pas</f>
        <v>0.770000000000001</v>
      </c>
      <c r="C81" s="401"/>
      <c r="D81" s="418" t="n">
        <f aca="false">IF(AND(L80&lt;L_rampe,Poussee&lt;Poids*SIN(M80)),0,(-W80+Poussee)/m*COS(M80)-U80/m*SIN(M80))</f>
        <v>17.6877647794193</v>
      </c>
      <c r="E81" s="419" t="n">
        <f aca="false">IF(AND(L80&lt;L_rampe,Poussee&lt;Poids*SIN(M80)),0,(-W80+Poussee)/m*SIN(M80)+U80/m*COS(M80)-Poids/m)</f>
        <v>81.113646710452</v>
      </c>
      <c r="F81" s="417" t="n">
        <f aca="false">SQRT(acc_x^2+acc_z^2)</f>
        <v>83.0197609341299</v>
      </c>
      <c r="G81" s="418" t="n">
        <f aca="false">G80+acc_x*pas</f>
        <v>12.7053350284681</v>
      </c>
      <c r="H81" s="419" t="n">
        <f aca="false">H80+acc_z*pas</f>
        <v>65.213453374484</v>
      </c>
      <c r="I81" s="417" t="n">
        <f aca="false">SQRT(vit_x^2+vit_z^2)</f>
        <v>66.4395969224048</v>
      </c>
      <c r="J81" s="418" t="n">
        <f aca="false">J80+0.5*(vit_x+G80)*pas*(K80&gt;=0)</f>
        <v>4.63789972128595</v>
      </c>
      <c r="K81" s="419" t="n">
        <f aca="false">K80+0.5*(vit_z+H80)*pas</f>
        <v>24.9219932857388</v>
      </c>
      <c r="L81" s="417" t="n">
        <f aca="false">SQRT(pos_x^2+pos_z^2)</f>
        <v>25.3498690955025</v>
      </c>
      <c r="M81" s="418" t="n">
        <f aca="false">IF(AND(L80&gt;L_rampe,G81&gt;0),ATAN2(G81,H81),$M$4)</f>
        <v>1.37837981272304</v>
      </c>
      <c r="N81" s="417" t="n">
        <f aca="false">DEGREES(Beta)</f>
        <v>78.9753458350631</v>
      </c>
      <c r="O81" s="401"/>
      <c r="P81" s="420" t="n">
        <f aca="false">MATCH(t-pas/2-T_ini,CdP_t)</f>
        <v>3</v>
      </c>
      <c r="Q81" s="417" t="n">
        <f aca="false">(INDEX(CdP,2,i_P+1)-INDEX(CdP,2,i_P+0))/(INDEX(CdP,1,i_P+1)-INDEX(CdP,1,i_P+0))*(t-pas/2-T_ini-INDEX(CdP,1,i_P+0))+INDEX(CdP,2,i_P+0)</f>
        <v>766.73</v>
      </c>
      <c r="R81" s="418" t="n">
        <f aca="false">Poussee/(g*ISP)</f>
        <v>0.384786063730039</v>
      </c>
      <c r="S81" s="419" t="n">
        <f aca="false">S80-Débit*pas</f>
        <v>8.10288263349155</v>
      </c>
      <c r="T81" s="417" t="n">
        <f aca="false">m*g</f>
        <v>79.4892786345521</v>
      </c>
      <c r="U81" s="421" t="n">
        <f aca="false">IF(pos_xz&lt;L_rampe,Poids*COS(Beta),0)</f>
        <v>0</v>
      </c>
      <c r="V81" s="418" t="n">
        <f aca="false">Rho_moyen*(20000-Alt_rampe-pos_z)/(20000+Alt_rampe+pos_z)</f>
        <v>1.22195085536061</v>
      </c>
      <c r="W81" s="417" t="n">
        <f aca="false">1/2*Rho*Sref*Cx*vit_xz^2</f>
        <v>16.5860675532282</v>
      </c>
      <c r="X81" s="401"/>
      <c r="Y81" s="422" t="str">
        <f aca="false">IF(AND(pos_z&lt;=0,K80&gt;0),"Impact balistique","") &amp; IF(AND(H82&lt;0,vit_z&gt;=0),"Apogée","") &amp; IF(AND(Poussee=0,Q80&gt;0),"Fin de propulsion","") &amp; IF(AND(L82&gt;L_rampe,pos_xz&lt;=L_rampe),"Sortie de rampe","")</f>
        <v/>
      </c>
      <c r="Z81" s="423" t="str">
        <f aca="false">IF(ABS(t-T_para)&lt;pas/2,"Para","")</f>
        <v/>
      </c>
      <c r="AA81" s="424" t="str">
        <f aca="false">IF(ABS(t-T_satellite)&lt;pas/2,"Satellite","")</f>
        <v/>
      </c>
      <c r="AB81" s="412"/>
      <c r="AC81" s="420" t="e">
        <f aca="false">IF(ABS(t-ROUND(t,0))&lt;0.001,t,NA())</f>
        <v>#N/A</v>
      </c>
      <c r="AD81" s="425" t="e">
        <f aca="false">IF(ABS(t-ROUND(t,0))&lt;0.001,pos_x,NA())</f>
        <v>#N/A</v>
      </c>
      <c r="AE81" s="426" t="n">
        <f aca="false">IF(t&lt;T_para, pos_z, NA())</f>
        <v>24.9219932857388</v>
      </c>
      <c r="AF81" s="412"/>
      <c r="AG81" s="418" t="n">
        <f aca="false">IF(AND(L80&lt;L_rampe,Poussee&lt;Poids*SIN(M80)),0,(-W80+Poussee)/m-Poids*SIN(M80)/m)</f>
        <v>82.9986239927215</v>
      </c>
      <c r="AH81" s="417" t="n">
        <f aca="false">IF(AND(L80&lt;L_rampe,Poussee&lt;Poids*SIN(M80)), g*SIN(M80), (-W80+Poussee)/m)</f>
        <v>92.6281088764051</v>
      </c>
    </row>
    <row r="82" customFormat="false" ht="12" hidden="false" customHeight="false" outlineLevel="0" collapsed="false">
      <c r="A82" s="416" t="n">
        <f aca="false">IF(B81+0.01&lt;=T_ini+ROUNDUP(Temps_fin_propu,0), 0.01, IF(K81&gt;0, 0.1, 0.0001))</f>
        <v>0.01</v>
      </c>
      <c r="B82" s="417" t="n">
        <f aca="false">B81+pas</f>
        <v>0.780000000000001</v>
      </c>
      <c r="C82" s="401"/>
      <c r="D82" s="418" t="n">
        <f aca="false">IF(AND(L81&lt;L_rampe,Poussee&lt;Poids*SIN(M81)),0,(-W81+Poussee)/m*COS(M81)-U81/m*SIN(M81))</f>
        <v>17.684242246</v>
      </c>
      <c r="E82" s="419" t="n">
        <f aca="false">IF(AND(L81&lt;L_rampe,Poussee&lt;Poids*SIN(M81)),0,(-W81+Poussee)/m*SIN(M81)+U81/m*COS(M81)-Poids/m)</f>
        <v>80.9589962199803</v>
      </c>
      <c r="F82" s="417" t="n">
        <f aca="false">SQRT(acc_x^2+acc_z^2)</f>
        <v>82.8679159431561</v>
      </c>
      <c r="G82" s="418" t="n">
        <f aca="false">G81+acc_x*pas</f>
        <v>12.8821774509281</v>
      </c>
      <c r="H82" s="419" t="n">
        <f aca="false">H81+acc_z*pas</f>
        <v>66.0230433366838</v>
      </c>
      <c r="I82" s="417" t="n">
        <f aca="false">SQRT(vit_x^2+vit_z^2)</f>
        <v>67.2680663265626</v>
      </c>
      <c r="J82" s="418" t="n">
        <f aca="false">J81+0.5*(vit_x+G81)*pas*(K81&gt;=0)</f>
        <v>4.76583728368293</v>
      </c>
      <c r="K82" s="419" t="n">
        <f aca="false">K81+0.5*(vit_z+H81)*pas</f>
        <v>25.5781757692946</v>
      </c>
      <c r="L82" s="417" t="n">
        <f aca="false">SQRT(pos_x^2+pos_z^2)</f>
        <v>26.0183835143437</v>
      </c>
      <c r="M82" s="418" t="n">
        <f aca="false">IF(AND(L81&gt;L_rampe,G82&gt;0),ATAN2(G82,H82),$M$4)</f>
        <v>1.37810093154662</v>
      </c>
      <c r="N82" s="417" t="n">
        <f aca="false">DEGREES(Beta)</f>
        <v>78.9593671206684</v>
      </c>
      <c r="O82" s="401"/>
      <c r="P82" s="420" t="n">
        <f aca="false">MATCH(t-pas/2-T_ini,CdP_t)</f>
        <v>3</v>
      </c>
      <c r="Q82" s="417" t="n">
        <f aca="false">(INDEX(CdP,2,i_P+1)-INDEX(CdP,2,i_P+0))/(INDEX(CdP,1,i_P+1)-INDEX(CdP,1,i_P+0))*(t-pas/2-T_ini-INDEX(CdP,1,i_P+0))+INDEX(CdP,2,i_P+0)</f>
        <v>765.55</v>
      </c>
      <c r="R82" s="418" t="n">
        <f aca="false">Poussee/(g*ISP)</f>
        <v>0.38419387670827</v>
      </c>
      <c r="S82" s="419" t="n">
        <f aca="false">S81-Débit*pas</f>
        <v>8.09904069472447</v>
      </c>
      <c r="T82" s="417" t="n">
        <f aca="false">m*g</f>
        <v>79.451589215247</v>
      </c>
      <c r="U82" s="421" t="n">
        <f aca="false">IF(pos_xz&lt;L_rampe,Poids*COS(Beta),0)</f>
        <v>0</v>
      </c>
      <c r="V82" s="418" t="n">
        <f aca="false">Rho_moyen*(20000-Alt_rampe-pos_z)/(20000+Alt_rampe+pos_z)</f>
        <v>1.22187067558875</v>
      </c>
      <c r="W82" s="417" t="n">
        <f aca="false">1/2*Rho*Sref*Cx*vit_xz^2</f>
        <v>17.0011712379397</v>
      </c>
      <c r="X82" s="401"/>
      <c r="Y82" s="422" t="str">
        <f aca="false">IF(AND(pos_z&lt;=0,K81&gt;0),"Impact balistique","") &amp; IF(AND(H83&lt;0,vit_z&gt;=0),"Apogée","") &amp; IF(AND(Poussee=0,Q81&gt;0),"Fin de propulsion","") &amp; IF(AND(L83&gt;L_rampe,pos_xz&lt;=L_rampe),"Sortie de rampe","")</f>
        <v/>
      </c>
      <c r="Z82" s="423" t="str">
        <f aca="false">IF(ABS(t-T_para)&lt;pas/2,"Para","")</f>
        <v/>
      </c>
      <c r="AA82" s="424" t="str">
        <f aca="false">IF(ABS(t-T_satellite)&lt;pas/2,"Satellite","")</f>
        <v/>
      </c>
      <c r="AB82" s="412"/>
      <c r="AC82" s="420" t="e">
        <f aca="false">IF(ABS(t-ROUND(t,0))&lt;0.001,t,NA())</f>
        <v>#N/A</v>
      </c>
      <c r="AD82" s="425" t="e">
        <f aca="false">IF(ABS(t-ROUND(t,0))&lt;0.001,pos_x,NA())</f>
        <v>#N/A</v>
      </c>
      <c r="AE82" s="426" t="n">
        <f aca="false">IF(t&lt;T_para, pos_z, NA())</f>
        <v>25.5781757692946</v>
      </c>
      <c r="AF82" s="412"/>
      <c r="AG82" s="418" t="n">
        <f aca="false">IF(AND(L81&lt;L_rampe,Poussee&lt;Poids*SIN(M81)),0,(-W81+Poussee)/m-Poids*SIN(M81)/m)</f>
        <v>82.8466788280675</v>
      </c>
      <c r="AH82" s="417" t="n">
        <f aca="false">IF(AND(L81&lt;L_rampe,Poussee&lt;Poids*SIN(M81)), g*SIN(M81), (-W81+Poussee)/m)</f>
        <v>92.4756351619063</v>
      </c>
    </row>
    <row r="83" customFormat="false" ht="12" hidden="false" customHeight="false" outlineLevel="0" collapsed="false">
      <c r="A83" s="416" t="n">
        <f aca="false">IF(B82+0.01&lt;=T_ini+ROUNDUP(Temps_fin_propu,0), 0.01, IF(K82&gt;0, 0.1, 0.0001))</f>
        <v>0.01</v>
      </c>
      <c r="B83" s="417" t="n">
        <f aca="false">B82+pas</f>
        <v>0.790000000000001</v>
      </c>
      <c r="C83" s="401"/>
      <c r="D83" s="418" t="n">
        <f aca="false">IF(AND(L82&lt;L_rampe,Poussee&lt;Poids*SIN(M82)),0,(-W82+Poussee)/m*COS(M82)-U82/m*SIN(M82))</f>
        <v>17.6802124782228</v>
      </c>
      <c r="E83" s="419" t="n">
        <f aca="false">IF(AND(L82&lt;L_rampe,Poussee&lt;Poids*SIN(M82)),0,(-W82+Poussee)/m*SIN(M82)+U82/m*COS(M82)-Poids/m)</f>
        <v>80.8036745203264</v>
      </c>
      <c r="F83" s="417" t="n">
        <f aca="false">SQRT(acc_x^2+acc_z^2)</f>
        <v>82.7153173799264</v>
      </c>
      <c r="G83" s="418" t="n">
        <f aca="false">G82+acc_x*pas</f>
        <v>13.0589795757103</v>
      </c>
      <c r="H83" s="419" t="n">
        <f aca="false">H82+acc_z*pas</f>
        <v>66.8310800818871</v>
      </c>
      <c r="I83" s="417" t="n">
        <f aca="false">SQRT(vit_x^2+vit_z^2)</f>
        <v>68.0950087192183</v>
      </c>
      <c r="J83" s="418" t="n">
        <f aca="false">J82+0.5*(vit_x+G82)*pas*(K82&gt;=0)</f>
        <v>4.89554306881612</v>
      </c>
      <c r="K83" s="419" t="n">
        <f aca="false">K82+0.5*(vit_z+H82)*pas</f>
        <v>26.2424463863875</v>
      </c>
      <c r="L83" s="417" t="n">
        <f aca="false">SQRT(pos_x^2+pos_z^2)</f>
        <v>26.6951743631888</v>
      </c>
      <c r="M83" s="418" t="n">
        <f aca="false">IF(AND(L82&gt;L_rampe,G83&gt;0),ATAN2(G83,H83),$M$4)</f>
        <v>1.37782504274892</v>
      </c>
      <c r="N83" s="417" t="n">
        <f aca="false">DEGREES(Beta)</f>
        <v>78.9435598569452</v>
      </c>
      <c r="O83" s="401"/>
      <c r="P83" s="420" t="n">
        <f aca="false">MATCH(t-pas/2-T_ini,CdP_t)</f>
        <v>3</v>
      </c>
      <c r="Q83" s="417" t="n">
        <f aca="false">(INDEX(CdP,2,i_P+1)-INDEX(CdP,2,i_P+0))/(INDEX(CdP,1,i_P+1)-INDEX(CdP,1,i_P+0))*(t-pas/2-T_ini-INDEX(CdP,1,i_P+0))+INDEX(CdP,2,i_P+0)</f>
        <v>764.37</v>
      </c>
      <c r="R83" s="418" t="n">
        <f aca="false">Poussee/(g*ISP)</f>
        <v>0.3836016896865</v>
      </c>
      <c r="S83" s="419" t="n">
        <f aca="false">S82-Débit*pas</f>
        <v>8.0952046778276</v>
      </c>
      <c r="T83" s="417" t="n">
        <f aca="false">m*g</f>
        <v>79.4139578894888</v>
      </c>
      <c r="U83" s="421" t="n">
        <f aca="false">IF(pos_xz&lt;L_rampe,Poids*COS(Beta),0)</f>
        <v>0</v>
      </c>
      <c r="V83" s="418" t="n">
        <f aca="false">Rho_moyen*(20000-Alt_rampe-pos_z)/(20000+Alt_rampe+pos_z)</f>
        <v>1.22178951286949</v>
      </c>
      <c r="W83" s="417" t="n">
        <f aca="false">1/2*Rho*Sref*Cx*vit_xz^2</f>
        <v>17.4205821902582</v>
      </c>
      <c r="X83" s="401"/>
      <c r="Y83" s="422" t="str">
        <f aca="false">IF(AND(pos_z&lt;=0,K82&gt;0),"Impact balistique","") &amp; IF(AND(H84&lt;0,vit_z&gt;=0),"Apogée","") &amp; IF(AND(Poussee=0,Q82&gt;0),"Fin de propulsion","") &amp; IF(AND(L84&gt;L_rampe,pos_xz&lt;=L_rampe),"Sortie de rampe","")</f>
        <v/>
      </c>
      <c r="Z83" s="423" t="str">
        <f aca="false">IF(ABS(t-T_para)&lt;pas/2,"Para","")</f>
        <v/>
      </c>
      <c r="AA83" s="424" t="str">
        <f aca="false">IF(ABS(t-T_satellite)&lt;pas/2,"Satellite","")</f>
        <v/>
      </c>
      <c r="AB83" s="412"/>
      <c r="AC83" s="420" t="e">
        <f aca="false">IF(ABS(t-ROUND(t,0))&lt;0.001,t,NA())</f>
        <v>#N/A</v>
      </c>
      <c r="AD83" s="425" t="e">
        <f aca="false">IF(ABS(t-ROUND(t,0))&lt;0.001,pos_x,NA())</f>
        <v>#N/A</v>
      </c>
      <c r="AE83" s="426" t="n">
        <f aca="false">IF(t&lt;T_para, pos_z, NA())</f>
        <v>26.2424463863875</v>
      </c>
      <c r="AF83" s="412"/>
      <c r="AG83" s="418" t="n">
        <f aca="false">IF(AND(L82&lt;L_rampe,Poussee&lt;Poids*SIN(M82)),0,(-W82+Poussee)/m-Poids*SIN(M82)/m)</f>
        <v>82.6939801142584</v>
      </c>
      <c r="AH83" s="417" t="n">
        <f aca="false">IF(AND(L82&lt;L_rampe,Poussee&lt;Poids*SIN(M82)), g*SIN(M82), (-W82+Poussee)/m)</f>
        <v>92.3224128982272</v>
      </c>
    </row>
    <row r="84" customFormat="false" ht="12" hidden="false" customHeight="false" outlineLevel="0" collapsed="false">
      <c r="A84" s="416" t="n">
        <f aca="false">IF(B83+0.01&lt;=T_ini+ROUNDUP(Temps_fin_propu,0), 0.01, IF(K83&gt;0, 0.1, 0.0001))</f>
        <v>0.01</v>
      </c>
      <c r="B84" s="417" t="n">
        <f aca="false">B83+pas</f>
        <v>0.800000000000001</v>
      </c>
      <c r="C84" s="401"/>
      <c r="D84" s="418" t="n">
        <f aca="false">IF(AND(L83&lt;L_rampe,Poussee&lt;Poids*SIN(M83)),0,(-W83+Poussee)/m*COS(M83)-U83/m*SIN(M83))</f>
        <v>17.6756838840837</v>
      </c>
      <c r="E84" s="419" t="n">
        <f aca="false">IF(AND(L83&lt;L_rampe,Poussee&lt;Poids*SIN(M83)),0,(-W83+Poussee)/m*SIN(M83)+U83/m*COS(M83)-Poids/m)</f>
        <v>80.6476837960991</v>
      </c>
      <c r="F84" s="417" t="n">
        <f aca="false">SQRT(acc_x^2+acc_z^2)</f>
        <v>82.561968862459</v>
      </c>
      <c r="G84" s="418" t="n">
        <f aca="false">G83+acc_x*pas</f>
        <v>13.2357364145511</v>
      </c>
      <c r="H84" s="419" t="n">
        <f aca="false">H83+acc_z*pas</f>
        <v>67.6375569198481</v>
      </c>
      <c r="I84" s="417" t="n">
        <f aca="false">SQRT(vit_x^2+vit_z^2)</f>
        <v>68.9204166014771</v>
      </c>
      <c r="J84" s="418" t="n">
        <f aca="false">J83+0.5*(vit_x+G83)*pas*(K83&gt;=0)</f>
        <v>5.02701664876743</v>
      </c>
      <c r="K84" s="419" t="n">
        <f aca="false">K83+0.5*(vit_z+H83)*pas</f>
        <v>26.9147895713961</v>
      </c>
      <c r="L84" s="417" t="n">
        <f aca="false">SQRT(pos_x^2+pos_z^2)</f>
        <v>27.3802263332413</v>
      </c>
      <c r="M84" s="418" t="n">
        <f aca="false">IF(AND(L83&gt;L_rampe,G84&gt;0),ATAN2(G84,H84),$M$4)</f>
        <v>1.37755207264717</v>
      </c>
      <c r="N84" s="417" t="n">
        <f aca="false">DEGREES(Beta)</f>
        <v>78.9279198221816</v>
      </c>
      <c r="O84" s="401"/>
      <c r="P84" s="420" t="n">
        <f aca="false">MATCH(t-pas/2-T_ini,CdP_t)</f>
        <v>3</v>
      </c>
      <c r="Q84" s="417" t="n">
        <f aca="false">(INDEX(CdP,2,i_P+1)-INDEX(CdP,2,i_P+0))/(INDEX(CdP,1,i_P+1)-INDEX(CdP,1,i_P+0))*(t-pas/2-T_ini-INDEX(CdP,1,i_P+0))+INDEX(CdP,2,i_P+0)</f>
        <v>763.19</v>
      </c>
      <c r="R84" s="418" t="n">
        <f aca="false">Poussee/(g*ISP)</f>
        <v>0.38300950266473</v>
      </c>
      <c r="S84" s="419" t="n">
        <f aca="false">S83-Débit*pas</f>
        <v>8.09137458280095</v>
      </c>
      <c r="T84" s="417" t="n">
        <f aca="false">m*g</f>
        <v>79.3763846572773</v>
      </c>
      <c r="U84" s="421" t="n">
        <f aca="false">IF(pos_xz&lt;L_rampe,Poids*COS(Beta),0)</f>
        <v>0</v>
      </c>
      <c r="V84" s="418" t="n">
        <f aca="false">Rho_moyen*(20000-Alt_rampe-pos_z)/(20000+Alt_rampe+pos_z)</f>
        <v>1.22170736930062</v>
      </c>
      <c r="W84" s="417" t="n">
        <f aca="false">1/2*Rho*Sref*Cx*vit_xz^2</f>
        <v>17.8442662082579</v>
      </c>
      <c r="X84" s="401"/>
      <c r="Y84" s="422" t="str">
        <f aca="false">IF(AND(pos_z&lt;=0,K83&gt;0),"Impact balistique","") &amp; IF(AND(H85&lt;0,vit_z&gt;=0),"Apogée","") &amp; IF(AND(Poussee=0,Q83&gt;0),"Fin de propulsion","") &amp; IF(AND(L85&gt;L_rampe,pos_xz&lt;=L_rampe),"Sortie de rampe","")</f>
        <v/>
      </c>
      <c r="Z84" s="423" t="str">
        <f aca="false">IF(ABS(t-T_para)&lt;pas/2,"Para","")</f>
        <v/>
      </c>
      <c r="AA84" s="424" t="str">
        <f aca="false">IF(ABS(t-T_satellite)&lt;pas/2,"Satellite","")</f>
        <v/>
      </c>
      <c r="AB84" s="412"/>
      <c r="AC84" s="420" t="e">
        <f aca="false">IF(ABS(t-ROUND(t,0))&lt;0.001,t,NA())</f>
        <v>#N/A</v>
      </c>
      <c r="AD84" s="425" t="e">
        <f aca="false">IF(ABS(t-ROUND(t,0))&lt;0.001,pos_x,NA())</f>
        <v>#N/A</v>
      </c>
      <c r="AE84" s="426" t="n">
        <f aca="false">IF(t&lt;T_para, pos_z, NA())</f>
        <v>26.9147895713961</v>
      </c>
      <c r="AF84" s="412"/>
      <c r="AG84" s="418" t="n">
        <f aca="false">IF(AND(L83&lt;L_rampe,Poussee&lt;Poids*SIN(M83)),0,(-W83+Poussee)/m-Poids*SIN(M83)/m)</f>
        <v>82.5405314536435</v>
      </c>
      <c r="AH84" s="417" t="n">
        <f aca="false">IF(AND(L83&lt;L_rampe,Poussee&lt;Poids*SIN(M83)), g*SIN(M83), (-W83+Poussee)/m)</f>
        <v>92.1684455685628</v>
      </c>
    </row>
    <row r="85" customFormat="false" ht="12" hidden="false" customHeight="false" outlineLevel="0" collapsed="false">
      <c r="A85" s="416" t="n">
        <f aca="false">IF(B84+0.01&lt;=T_ini+ROUNDUP(Temps_fin_propu,0), 0.01, IF(K84&gt;0, 0.1, 0.0001))</f>
        <v>0.01</v>
      </c>
      <c r="B85" s="417" t="n">
        <f aca="false">B84+pas</f>
        <v>0.810000000000001</v>
      </c>
      <c r="C85" s="401"/>
      <c r="D85" s="418" t="n">
        <f aca="false">IF(AND(L84&lt;L_rampe,Poussee&lt;Poids*SIN(M84)),0,(-W84+Poussee)/m*COS(M84)-U84/m*SIN(M84))</f>
        <v>17.670664590973</v>
      </c>
      <c r="E85" s="419" t="n">
        <f aca="false">IF(AND(L84&lt;L_rampe,Poussee&lt;Poids*SIN(M84)),0,(-W84+Poussee)/m*SIN(M84)+U84/m*COS(M84)-Poids/m)</f>
        <v>80.4910263009995</v>
      </c>
      <c r="F85" s="417" t="n">
        <f aca="false">SQRT(acc_x^2+acc_z^2)</f>
        <v>82.4078740295783</v>
      </c>
      <c r="G85" s="418" t="n">
        <f aca="false">G84+acc_x*pas</f>
        <v>13.4124430604609</v>
      </c>
      <c r="H85" s="419" t="n">
        <f aca="false">H84+acc_z*pas</f>
        <v>68.4424671828581</v>
      </c>
      <c r="I85" s="417" t="n">
        <f aca="false">SQRT(vit_x^2+vit_z^2)</f>
        <v>69.7442825106597</v>
      </c>
      <c r="J85" s="418" t="n">
        <f aca="false">J84+0.5*(vit_x+G84)*pas*(K84&gt;=0)</f>
        <v>5.16025754614249</v>
      </c>
      <c r="K85" s="419" t="n">
        <f aca="false">K84+0.5*(vit_z+H84)*pas</f>
        <v>27.5951896919097</v>
      </c>
      <c r="L85" s="417" t="n">
        <f aca="false">SQRT(pos_x^2+pos_z^2)</f>
        <v>28.0735240409002</v>
      </c>
      <c r="M85" s="418" t="n">
        <f aca="false">IF(AND(L84&gt;L_rampe,G85&gt;0),ATAN2(G85,H85),$M$4)</f>
        <v>1.37728195023605</v>
      </c>
      <c r="N85" s="417" t="n">
        <f aca="false">DEGREES(Beta)</f>
        <v>78.9124429480726</v>
      </c>
      <c r="O85" s="401"/>
      <c r="P85" s="420" t="n">
        <f aca="false">MATCH(t-pas/2-T_ini,CdP_t)</f>
        <v>3</v>
      </c>
      <c r="Q85" s="417" t="n">
        <f aca="false">(INDEX(CdP,2,i_P+1)-INDEX(CdP,2,i_P+0))/(INDEX(CdP,1,i_P+1)-INDEX(CdP,1,i_P+0))*(t-pas/2-T_ini-INDEX(CdP,1,i_P+0))+INDEX(CdP,2,i_P+0)</f>
        <v>762.01</v>
      </c>
      <c r="R85" s="418" t="n">
        <f aca="false">Poussee/(g*ISP)</f>
        <v>0.382417315642961</v>
      </c>
      <c r="S85" s="419" t="n">
        <f aca="false">S84-Débit*pas</f>
        <v>8.08755040964452</v>
      </c>
      <c r="T85" s="417" t="n">
        <f aca="false">m*g</f>
        <v>79.3388695186128</v>
      </c>
      <c r="U85" s="421" t="n">
        <f aca="false">IF(pos_xz&lt;L_rampe,Poids*COS(Beta),0)</f>
        <v>0</v>
      </c>
      <c r="V85" s="418" t="n">
        <f aca="false">Rho_moyen*(20000-Alt_rampe-pos_z)/(20000+Alt_rampe+pos_z)</f>
        <v>1.22162424698997</v>
      </c>
      <c r="W85" s="417" t="n">
        <f aca="false">1/2*Rho*Sref*Cx*vit_xz^2</f>
        <v>18.27218896666</v>
      </c>
      <c r="X85" s="401"/>
      <c r="Y85" s="422" t="str">
        <f aca="false">IF(AND(pos_z&lt;=0,K84&gt;0),"Impact balistique","") &amp; IF(AND(H86&lt;0,vit_z&gt;=0),"Apogée","") &amp; IF(AND(Poussee=0,Q84&gt;0),"Fin de propulsion","") &amp; IF(AND(L86&gt;L_rampe,pos_xz&lt;=L_rampe),"Sortie de rampe","")</f>
        <v/>
      </c>
      <c r="Z85" s="423" t="str">
        <f aca="false">IF(ABS(t-T_para)&lt;pas/2,"Para","")</f>
        <v/>
      </c>
      <c r="AA85" s="424" t="str">
        <f aca="false">IF(ABS(t-T_satellite)&lt;pas/2,"Satellite","")</f>
        <v/>
      </c>
      <c r="AB85" s="412"/>
      <c r="AC85" s="420" t="e">
        <f aca="false">IF(ABS(t-ROUND(t,0))&lt;0.001,t,NA())</f>
        <v>#N/A</v>
      </c>
      <c r="AD85" s="425" t="e">
        <f aca="false">IF(ABS(t-ROUND(t,0))&lt;0.001,pos_x,NA())</f>
        <v>#N/A</v>
      </c>
      <c r="AE85" s="426" t="n">
        <f aca="false">IF(t&lt;T_para, pos_z, NA())</f>
        <v>27.5951896919097</v>
      </c>
      <c r="AF85" s="412"/>
      <c r="AG85" s="418" t="n">
        <f aca="false">IF(AND(L84&lt;L_rampe,Poussee&lt;Poids*SIN(M84)),0,(-W84+Poussee)/m-Poids*SIN(M84)/m)</f>
        <v>82.3863364697828</v>
      </c>
      <c r="AH85" s="417" t="n">
        <f aca="false">IF(AND(L84&lt;L_rampe,Poussee&lt;Poids*SIN(M84)), g*SIN(M84), (-W84+Poussee)/m)</f>
        <v>92.0137366815437</v>
      </c>
    </row>
    <row r="86" customFormat="false" ht="12" hidden="false" customHeight="false" outlineLevel="0" collapsed="false">
      <c r="A86" s="416" t="n">
        <f aca="false">IF(B85+0.01&lt;=T_ini+ROUNDUP(Temps_fin_propu,0), 0.01, IF(K85&gt;0, 0.1, 0.0001))</f>
        <v>0.01</v>
      </c>
      <c r="B86" s="417" t="n">
        <f aca="false">B85+pas</f>
        <v>0.820000000000001</v>
      </c>
      <c r="C86" s="401"/>
      <c r="D86" s="418" t="n">
        <f aca="false">IF(AND(L85&lt;L_rampe,Poussee&lt;Poids*SIN(M85)),0,(-W85+Poussee)/m*COS(M85)-U85/m*SIN(M85))</f>
        <v>17.6651624596764</v>
      </c>
      <c r="E86" s="419" t="n">
        <f aca="false">IF(AND(L85&lt;L_rampe,Poussee&lt;Poids*SIN(M85)),0,(-W85+Poussee)/m*SIN(M85)+U85/m*COS(M85)-Poids/m)</f>
        <v>80.3337043554328</v>
      </c>
      <c r="F86" s="417" t="n">
        <f aca="false">SQRT(acc_x^2+acc_z^2)</f>
        <v>82.2530365408648</v>
      </c>
      <c r="G86" s="418" t="n">
        <f aca="false">G85+acc_x*pas</f>
        <v>13.5890946850576</v>
      </c>
      <c r="H86" s="419" t="n">
        <f aca="false">H85+acc_z*pas</f>
        <v>69.2458042264124</v>
      </c>
      <c r="I86" s="417" t="n">
        <f aca="false">SQRT(vit_x^2+vit_z^2)</f>
        <v>70.5665990205146</v>
      </c>
      <c r="J86" s="418" t="n">
        <f aca="false">J85+0.5*(vit_x+G85)*pas*(K85&gt;=0)</f>
        <v>5.29526523487008</v>
      </c>
      <c r="K86" s="419" t="n">
        <f aca="false">K85+0.5*(vit_z+H85)*pas</f>
        <v>28.283631048956</v>
      </c>
      <c r="L86" s="417" t="n">
        <f aca="false">SQRT(pos_x^2+pos_z^2)</f>
        <v>28.7750520281214</v>
      </c>
      <c r="M86" s="418" t="n">
        <f aca="false">IF(AND(L85&gt;L_rampe,G86&gt;0),ATAN2(G86,H86),$M$4)</f>
        <v>1.37701460705827</v>
      </c>
      <c r="N86" s="417" t="n">
        <f aca="false">DEGREES(Beta)</f>
        <v>78.8971253123043</v>
      </c>
      <c r="O86" s="401"/>
      <c r="P86" s="420" t="n">
        <f aca="false">MATCH(t-pas/2-T_ini,CdP_t)</f>
        <v>3</v>
      </c>
      <c r="Q86" s="417" t="n">
        <f aca="false">(INDEX(CdP,2,i_P+1)-INDEX(CdP,2,i_P+0))/(INDEX(CdP,1,i_P+1)-INDEX(CdP,1,i_P+0))*(t-pas/2-T_ini-INDEX(CdP,1,i_P+0))+INDEX(CdP,2,i_P+0)</f>
        <v>760.83</v>
      </c>
      <c r="R86" s="418" t="n">
        <f aca="false">Poussee/(g*ISP)</f>
        <v>0.381825128621191</v>
      </c>
      <c r="S86" s="419" t="n">
        <f aca="false">S85-Débit*pas</f>
        <v>8.08373215835831</v>
      </c>
      <c r="T86" s="417" t="n">
        <f aca="false">m*g</f>
        <v>79.301412473495</v>
      </c>
      <c r="U86" s="421" t="n">
        <f aca="false">IF(pos_xz&lt;L_rampe,Poids*COS(Beta),0)</f>
        <v>0</v>
      </c>
      <c r="V86" s="418" t="n">
        <f aca="false">Rho_moyen*(20000-Alt_rampe-pos_z)/(20000+Alt_rampe+pos_z)</f>
        <v>1.2215401480553</v>
      </c>
      <c r="W86" s="417" t="n">
        <f aca="false">1/2*Rho*Sref*Cx*vit_xz^2</f>
        <v>18.7043160193196</v>
      </c>
      <c r="X86" s="401"/>
      <c r="Y86" s="422" t="str">
        <f aca="false">IF(AND(pos_z&lt;=0,K85&gt;0),"Impact balistique","") &amp; IF(AND(H87&lt;0,vit_z&gt;=0),"Apogée","") &amp; IF(AND(Poussee=0,Q85&gt;0),"Fin de propulsion","") &amp; IF(AND(L87&gt;L_rampe,pos_xz&lt;=L_rampe),"Sortie de rampe","")</f>
        <v/>
      </c>
      <c r="Z86" s="423" t="str">
        <f aca="false">IF(ABS(t-T_para)&lt;pas/2,"Para","")</f>
        <v/>
      </c>
      <c r="AA86" s="424" t="str">
        <f aca="false">IF(ABS(t-T_satellite)&lt;pas/2,"Satellite","")</f>
        <v/>
      </c>
      <c r="AB86" s="412"/>
      <c r="AC86" s="420" t="e">
        <f aca="false">IF(ABS(t-ROUND(t,0))&lt;0.001,t,NA())</f>
        <v>#N/A</v>
      </c>
      <c r="AD86" s="425" t="e">
        <f aca="false">IF(ABS(t-ROUND(t,0))&lt;0.001,pos_x,NA())</f>
        <v>#N/A</v>
      </c>
      <c r="AE86" s="426" t="n">
        <f aca="false">IF(t&lt;T_para, pos_z, NA())</f>
        <v>28.283631048956</v>
      </c>
      <c r="AF86" s="412"/>
      <c r="AG86" s="418" t="n">
        <f aca="false">IF(AND(L85&lt;L_rampe,Poussee&lt;Poids*SIN(M85)),0,(-W85+Poussee)/m-Poids*SIN(M85)/m)</f>
        <v>82.2313988073757</v>
      </c>
      <c r="AH86" s="417" t="n">
        <f aca="false">IF(AND(L85&lt;L_rampe,Poussee&lt;Poids*SIN(M85)), g*SIN(M85), (-W85+Poussee)/m)</f>
        <v>91.8582897709643</v>
      </c>
    </row>
    <row r="87" customFormat="false" ht="12" hidden="false" customHeight="false" outlineLevel="0" collapsed="false">
      <c r="A87" s="416" t="n">
        <f aca="false">IF(B86+0.01&lt;=T_ini+ROUNDUP(Temps_fin_propu,0), 0.01, IF(K86&gt;0, 0.1, 0.0001))</f>
        <v>0.01</v>
      </c>
      <c r="B87" s="417" t="n">
        <f aca="false">B86+pas</f>
        <v>0.830000000000001</v>
      </c>
      <c r="C87" s="401"/>
      <c r="D87" s="418" t="n">
        <f aca="false">IF(AND(L86&lt;L_rampe,Poussee&lt;Poids*SIN(M86)),0,(-W86+Poussee)/m*COS(M86)-U86/m*SIN(M86))</f>
        <v>17.6591850975233</v>
      </c>
      <c r="E87" s="419" t="n">
        <f aca="false">IF(AND(L86&lt;L_rampe,Poussee&lt;Poids*SIN(M86)),0,(-W86+Poussee)/m*SIN(M86)+U86/m*COS(M86)-Poids/m)</f>
        <v>80.1757203442461</v>
      </c>
      <c r="F87" s="417" t="n">
        <f aca="false">SQRT(acc_x^2+acc_z^2)</f>
        <v>82.0974600765903</v>
      </c>
      <c r="G87" s="418" t="n">
        <f aca="false">G86+acc_x*pas</f>
        <v>13.7656865360329</v>
      </c>
      <c r="H87" s="419" t="n">
        <f aca="false">H86+acc_z*pas</f>
        <v>70.0475614298548</v>
      </c>
      <c r="I87" s="417" t="n">
        <f aca="false">SQRT(vit_x^2+vit_z^2)</f>
        <v>71.3873587414299</v>
      </c>
      <c r="J87" s="418" t="n">
        <f aca="false">J86+0.5*(vit_x+G86)*pas*(K86&gt;=0)</f>
        <v>5.43203914097554</v>
      </c>
      <c r="K87" s="419" t="n">
        <f aca="false">K86+0.5*(vit_z+H86)*pas</f>
        <v>28.9800978772374</v>
      </c>
      <c r="L87" s="417" t="n">
        <f aca="false">SQRT(pos_x^2+pos_z^2)</f>
        <v>29.4847947627815</v>
      </c>
      <c r="M87" s="418" t="n">
        <f aca="false">IF(AND(L86&gt;L_rampe,G87&gt;0),ATAN2(G87,H87),$M$4)</f>
        <v>1.37674997708291</v>
      </c>
      <c r="N87" s="417" t="n">
        <f aca="false">DEGREES(Beta)</f>
        <v>78.8819631315836</v>
      </c>
      <c r="O87" s="401"/>
      <c r="P87" s="420" t="n">
        <f aca="false">MATCH(t-pas/2-T_ini,CdP_t)</f>
        <v>3</v>
      </c>
      <c r="Q87" s="417" t="n">
        <f aca="false">(INDEX(CdP,2,i_P+1)-INDEX(CdP,2,i_P+0))/(INDEX(CdP,1,i_P+1)-INDEX(CdP,1,i_P+0))*(t-pas/2-T_ini-INDEX(CdP,1,i_P+0))+INDEX(CdP,2,i_P+0)</f>
        <v>759.65</v>
      </c>
      <c r="R87" s="418" t="n">
        <f aca="false">Poussee/(g*ISP)</f>
        <v>0.381232941599422</v>
      </c>
      <c r="S87" s="419" t="n">
        <f aca="false">S86-Débit*pas</f>
        <v>8.07991982894232</v>
      </c>
      <c r="T87" s="417" t="n">
        <f aca="false">m*g</f>
        <v>79.2640135219241</v>
      </c>
      <c r="U87" s="421" t="n">
        <f aca="false">IF(pos_xz&lt;L_rampe,Poids*COS(Beta),0)</f>
        <v>0</v>
      </c>
      <c r="V87" s="418" t="n">
        <f aca="false">Rho_moyen*(20000-Alt_rampe-pos_z)/(20000+Alt_rampe+pos_z)</f>
        <v>1.22145507462426</v>
      </c>
      <c r="W87" s="417" t="n">
        <f aca="false">1/2*Rho*Sref*Cx*vit_xz^2</f>
        <v>19.1406128017187</v>
      </c>
      <c r="X87" s="401"/>
      <c r="Y87" s="422" t="str">
        <f aca="false">IF(AND(pos_z&lt;=0,K86&gt;0),"Impact balistique","") &amp; IF(AND(H88&lt;0,vit_z&gt;=0),"Apogée","") &amp; IF(AND(Poussee=0,Q86&gt;0),"Fin de propulsion","") &amp; IF(AND(L88&gt;L_rampe,pos_xz&lt;=L_rampe),"Sortie de rampe","")</f>
        <v/>
      </c>
      <c r="Z87" s="423" t="str">
        <f aca="false">IF(ABS(t-T_para)&lt;pas/2,"Para","")</f>
        <v/>
      </c>
      <c r="AA87" s="424" t="str">
        <f aca="false">IF(ABS(t-T_satellite)&lt;pas/2,"Satellite","")</f>
        <v/>
      </c>
      <c r="AB87" s="412"/>
      <c r="AC87" s="420" t="e">
        <f aca="false">IF(ABS(t-ROUND(t,0))&lt;0.001,t,NA())</f>
        <v>#N/A</v>
      </c>
      <c r="AD87" s="425" t="e">
        <f aca="false">IF(ABS(t-ROUND(t,0))&lt;0.001,pos_x,NA())</f>
        <v>#N/A</v>
      </c>
      <c r="AE87" s="426" t="n">
        <f aca="false">IF(t&lt;T_para, pos_z, NA())</f>
        <v>28.9800978772374</v>
      </c>
      <c r="AF87" s="412"/>
      <c r="AG87" s="418" t="n">
        <f aca="false">IF(AND(L86&lt;L_rampe,Poussee&lt;Poids*SIN(M86)),0,(-W86+Poussee)/m-Poids*SIN(M86)/m)</f>
        <v>82.0757221321762</v>
      </c>
      <c r="AH87" s="417" t="n">
        <f aca="false">IF(AND(L86&lt;L_rampe,Poussee&lt;Poids*SIN(M86)), g*SIN(M86), (-W86+Poussee)/m)</f>
        <v>91.7021083955077</v>
      </c>
    </row>
    <row r="88" customFormat="false" ht="12" hidden="false" customHeight="false" outlineLevel="0" collapsed="false">
      <c r="A88" s="416" t="n">
        <f aca="false">IF(B87+0.01&lt;=T_ini+ROUNDUP(Temps_fin_propu,0), 0.01, IF(K87&gt;0, 0.1, 0.0001))</f>
        <v>0.01</v>
      </c>
      <c r="B88" s="417" t="n">
        <f aca="false">B87+pas</f>
        <v>0.840000000000001</v>
      </c>
      <c r="C88" s="401"/>
      <c r="D88" s="418" t="n">
        <f aca="false">IF(AND(L87&lt;L_rampe,Poussee&lt;Poids*SIN(M87)),0,(-W87+Poussee)/m*COS(M87)-U87/m*SIN(M87))</f>
        <v>17.6527398707424</v>
      </c>
      <c r="E88" s="419" t="n">
        <f aca="false">IF(AND(L87&lt;L_rampe,Poussee&lt;Poids*SIN(M87)),0,(-W87+Poussee)/m*SIN(M87)+U87/m*COS(M87)-Poids/m)</f>
        <v>80.0170767145795</v>
      </c>
      <c r="F88" s="417" t="n">
        <f aca="false">SQRT(acc_x^2+acc_z^2)</f>
        <v>81.9411483376393</v>
      </c>
      <c r="G88" s="418" t="n">
        <f aca="false">G87+acc_x*pas</f>
        <v>13.9422139347403</v>
      </c>
      <c r="H88" s="419" t="n">
        <f aca="false">H87+acc_z*pas</f>
        <v>70.8477321970006</v>
      </c>
      <c r="I88" s="417" t="n">
        <f aca="false">SQRT(vit_x^2+vit_z^2)</f>
        <v>72.2065543206431</v>
      </c>
      <c r="J88" s="418" t="n">
        <f aca="false">J87+0.5*(vit_x+G87)*pas*(K87&gt;=0)</f>
        <v>5.5705786433294</v>
      </c>
      <c r="K88" s="419" t="n">
        <f aca="false">K87+0.5*(vit_z+H87)*pas</f>
        <v>29.6845743453716</v>
      </c>
      <c r="L88" s="417" t="n">
        <f aca="false">SQRT(pos_x^2+pos_z^2)</f>
        <v>30.2027366390434</v>
      </c>
      <c r="M88" s="418" t="n">
        <f aca="false">IF(AND(L87&gt;L_rampe,G88&gt;0),ATAN2(G88,H88),$M$4)</f>
        <v>1.37648799659097</v>
      </c>
      <c r="N88" s="417" t="n">
        <f aca="false">DEGREES(Beta)</f>
        <v>78.8669527550806</v>
      </c>
      <c r="O88" s="401"/>
      <c r="P88" s="420" t="n">
        <f aca="false">MATCH(t-pas/2-T_ini,CdP_t)</f>
        <v>3</v>
      </c>
      <c r="Q88" s="417" t="n">
        <f aca="false">(INDEX(CdP,2,i_P+1)-INDEX(CdP,2,i_P+0))/(INDEX(CdP,1,i_P+1)-INDEX(CdP,1,i_P+0))*(t-pas/2-T_ini-INDEX(CdP,1,i_P+0))+INDEX(CdP,2,i_P+0)</f>
        <v>758.47</v>
      </c>
      <c r="R88" s="418" t="n">
        <f aca="false">Poussee/(g*ISP)</f>
        <v>0.380640754577652</v>
      </c>
      <c r="S88" s="419" t="n">
        <f aca="false">S87-Débit*pas</f>
        <v>8.07611342139654</v>
      </c>
      <c r="T88" s="417" t="n">
        <f aca="false">m*g</f>
        <v>79.2266726639001</v>
      </c>
      <c r="U88" s="421" t="n">
        <f aca="false">IF(pos_xz&lt;L_rampe,Poids*COS(Beta),0)</f>
        <v>0</v>
      </c>
      <c r="V88" s="418" t="n">
        <f aca="false">Rho_moyen*(20000-Alt_rampe-pos_z)/(20000+Alt_rampe+pos_z)</f>
        <v>1.22136902883437</v>
      </c>
      <c r="W88" s="417" t="n">
        <f aca="false">1/2*Rho*Sref*Cx*vit_xz^2</f>
        <v>19.5810446334639</v>
      </c>
      <c r="X88" s="401"/>
      <c r="Y88" s="422" t="str">
        <f aca="false">IF(AND(pos_z&lt;=0,K87&gt;0),"Impact balistique","") &amp; IF(AND(H89&lt;0,vit_z&gt;=0),"Apogée","") &amp; IF(AND(Poussee=0,Q87&gt;0),"Fin de propulsion","") &amp; IF(AND(L89&gt;L_rampe,pos_xz&lt;=L_rampe),"Sortie de rampe","")</f>
        <v/>
      </c>
      <c r="Z88" s="423" t="str">
        <f aca="false">IF(ABS(t-T_para)&lt;pas/2,"Para","")</f>
        <v/>
      </c>
      <c r="AA88" s="424" t="str">
        <f aca="false">IF(ABS(t-T_satellite)&lt;pas/2,"Satellite","")</f>
        <v/>
      </c>
      <c r="AB88" s="412"/>
      <c r="AC88" s="420" t="e">
        <f aca="false">IF(ABS(t-ROUND(t,0))&lt;0.001,t,NA())</f>
        <v>#N/A</v>
      </c>
      <c r="AD88" s="425" t="e">
        <f aca="false">IF(ABS(t-ROUND(t,0))&lt;0.001,pos_x,NA())</f>
        <v>#N/A</v>
      </c>
      <c r="AE88" s="426" t="n">
        <f aca="false">IF(t&lt;T_para, pos_z, NA())</f>
        <v>29.6845743453716</v>
      </c>
      <c r="AF88" s="412"/>
      <c r="AG88" s="418" t="n">
        <f aca="false">IF(AND(L87&lt;L_rampe,Poussee&lt;Poids*SIN(M87)),0,(-W87+Poussee)/m-Poids*SIN(M87)/m)</f>
        <v>81.9193101308955</v>
      </c>
      <c r="AH88" s="417" t="n">
        <f aca="false">IF(AND(L87&lt;L_rampe,Poussee&lt;Poids*SIN(M87)), g*SIN(M87), (-W87+Poussee)/m)</f>
        <v>91.5451961384706</v>
      </c>
    </row>
    <row r="89" customFormat="false" ht="12" hidden="false" customHeight="false" outlineLevel="0" collapsed="false">
      <c r="A89" s="416" t="n">
        <f aca="false">IF(B88+0.01&lt;=T_ini+ROUNDUP(Temps_fin_propu,0), 0.01, IF(K88&gt;0, 0.1, 0.0001))</f>
        <v>0.01</v>
      </c>
      <c r="B89" s="417" t="n">
        <f aca="false">B88+pas</f>
        <v>0.850000000000001</v>
      </c>
      <c r="C89" s="401"/>
      <c r="D89" s="418" t="n">
        <f aca="false">IF(AND(L88&lt;L_rampe,Poussee&lt;Poids*SIN(M88)),0,(-W88+Poussee)/m*COS(M88)-U88/m*SIN(M88))</f>
        <v>17.6458339160837</v>
      </c>
      <c r="E89" s="419" t="n">
        <f aca="false">IF(AND(L88&lt;L_rampe,Poussee&lt;Poids*SIN(M88)),0,(-W88+Poussee)/m*SIN(M88)+U88/m*COS(M88)-Poids/m)</f>
        <v>79.8577759738263</v>
      </c>
      <c r="F89" s="417" t="n">
        <f aca="false">SQRT(acc_x^2+acc_z^2)</f>
        <v>81.7841050454172</v>
      </c>
      <c r="G89" s="418" t="n">
        <f aca="false">G88+acc_x*pas</f>
        <v>14.1186722739011</v>
      </c>
      <c r="H89" s="419" t="n">
        <f aca="false">H88+acc_z*pas</f>
        <v>71.6463099567389</v>
      </c>
      <c r="I89" s="417" t="n">
        <f aca="false">SQRT(vit_x^2+vit_z^2)</f>
        <v>73.024178442451</v>
      </c>
      <c r="J89" s="418" t="n">
        <f aca="false">J88+0.5*(vit_x+G88)*pas*(K88&gt;=0)</f>
        <v>5.71088307437261</v>
      </c>
      <c r="K89" s="419" t="n">
        <f aca="false">K88+0.5*(vit_z+H88)*pas</f>
        <v>30.3970445561403</v>
      </c>
      <c r="L89" s="417" t="n">
        <f aca="false">SQRT(pos_x^2+pos_z^2)</f>
        <v>30.9288619777246</v>
      </c>
      <c r="M89" s="418" t="n">
        <f aca="false">IF(AND(L88&gt;L_rampe,G89&gt;0),ATAN2(G89,H89),$M$4)</f>
        <v>1.37622860406761</v>
      </c>
      <c r="N89" s="417" t="n">
        <f aca="false">DEGREES(Beta)</f>
        <v>78.8520906582548</v>
      </c>
      <c r="O89" s="401"/>
      <c r="P89" s="420" t="n">
        <f aca="false">MATCH(t-pas/2-T_ini,CdP_t)</f>
        <v>3</v>
      </c>
      <c r="Q89" s="417" t="n">
        <f aca="false">(INDEX(CdP,2,i_P+1)-INDEX(CdP,2,i_P+0))/(INDEX(CdP,1,i_P+1)-INDEX(CdP,1,i_P+0))*(t-pas/2-T_ini-INDEX(CdP,1,i_P+0))+INDEX(CdP,2,i_P+0)</f>
        <v>757.29</v>
      </c>
      <c r="R89" s="418" t="n">
        <f aca="false">Poussee/(g*ISP)</f>
        <v>0.380048567555882</v>
      </c>
      <c r="S89" s="419" t="n">
        <f aca="false">S88-Débit*pas</f>
        <v>8.07231293572098</v>
      </c>
      <c r="T89" s="417" t="n">
        <f aca="false">m*g</f>
        <v>79.1893898994228</v>
      </c>
      <c r="U89" s="421" t="n">
        <f aca="false">IF(pos_xz&lt;L_rampe,Poids*COS(Beta),0)</f>
        <v>0</v>
      </c>
      <c r="V89" s="418" t="n">
        <f aca="false">Rho_moyen*(20000-Alt_rampe-pos_z)/(20000+Alt_rampe+pos_z)</f>
        <v>1.22128201283295</v>
      </c>
      <c r="W89" s="417" t="n">
        <f aca="false">1/2*Rho*Sref*Cx*vit_xz^2</f>
        <v>20.0255767207881</v>
      </c>
      <c r="X89" s="401"/>
      <c r="Y89" s="422" t="str">
        <f aca="false">IF(AND(pos_z&lt;=0,K88&gt;0),"Impact balistique","") &amp; IF(AND(H90&lt;0,vit_z&gt;=0),"Apogée","") &amp; IF(AND(Poussee=0,Q88&gt;0),"Fin de propulsion","") &amp; IF(AND(L90&gt;L_rampe,pos_xz&lt;=L_rampe),"Sortie de rampe","")</f>
        <v/>
      </c>
      <c r="Z89" s="423" t="str">
        <f aca="false">IF(ABS(t-T_para)&lt;pas/2,"Para","")</f>
        <v/>
      </c>
      <c r="AA89" s="424" t="str">
        <f aca="false">IF(ABS(t-T_satellite)&lt;pas/2,"Satellite","")</f>
        <v/>
      </c>
      <c r="AB89" s="412"/>
      <c r="AC89" s="420" t="e">
        <f aca="false">IF(ABS(t-ROUND(t,0))&lt;0.001,t,NA())</f>
        <v>#N/A</v>
      </c>
      <c r="AD89" s="425" t="e">
        <f aca="false">IF(ABS(t-ROUND(t,0))&lt;0.001,pos_x,NA())</f>
        <v>#N/A</v>
      </c>
      <c r="AE89" s="426" t="n">
        <f aca="false">IF(t&lt;T_para, pos_z, NA())</f>
        <v>30.3970445561403</v>
      </c>
      <c r="AF89" s="412"/>
      <c r="AG89" s="418" t="n">
        <f aca="false">IF(AND(L88&lt;L_rampe,Poussee&lt;Poids*SIN(M88)),0,(-W88+Poussee)/m-Poids*SIN(M88)/m)</f>
        <v>81.7621665110923</v>
      </c>
      <c r="AH89" s="417" t="n">
        <f aca="false">IF(AND(L88&lt;L_rampe,Poussee&lt;Poids*SIN(M88)), g*SIN(M88), (-W88+Poussee)/m)</f>
        <v>91.3875566074852</v>
      </c>
    </row>
    <row r="90" customFormat="false" ht="12" hidden="false" customHeight="false" outlineLevel="0" collapsed="false">
      <c r="A90" s="416" t="n">
        <f aca="false">IF(B89+0.01&lt;=T_ini+ROUNDUP(Temps_fin_propu,0), 0.01, IF(K89&gt;0, 0.1, 0.0001))</f>
        <v>0.01</v>
      </c>
      <c r="B90" s="417" t="n">
        <f aca="false">B89+pas</f>
        <v>0.860000000000001</v>
      </c>
      <c r="C90" s="401"/>
      <c r="D90" s="418" t="n">
        <f aca="false">IF(AND(L89&lt;L_rampe,Poussee&lt;Poids*SIN(M89)),0,(-W89+Poussee)/m*COS(M89)-U89/m*SIN(M89))</f>
        <v>17.6384741517557</v>
      </c>
      <c r="E90" s="419" t="n">
        <f aca="false">IF(AND(L89&lt;L_rampe,Poussee&lt;Poids*SIN(M89)),0,(-W89+Poussee)/m*SIN(M89)+U89/m*COS(M89)-Poids/m)</f>
        <v>79.697820687691</v>
      </c>
      <c r="F90" s="417" t="n">
        <f aca="false">SQRT(acc_x^2+acc_z^2)</f>
        <v>81.6263339417464</v>
      </c>
      <c r="G90" s="418" t="n">
        <f aca="false">G89+acc_x*pas</f>
        <v>14.2950570154187</v>
      </c>
      <c r="H90" s="419" t="n">
        <f aca="false">H89+acc_z*pas</f>
        <v>72.4432881636158</v>
      </c>
      <c r="I90" s="417" t="n">
        <f aca="false">SQRT(vit_x^2+vit_z^2)</f>
        <v>73.8402238284172</v>
      </c>
      <c r="J90" s="418" t="n">
        <f aca="false">J89+0.5*(vit_x+G89)*pas*(K89&gt;=0)</f>
        <v>5.85295172081921</v>
      </c>
      <c r="K90" s="419" t="n">
        <f aca="false">K89+0.5*(vit_z+H89)*pas</f>
        <v>31.1174925467421</v>
      </c>
      <c r="L90" s="417" t="n">
        <f aca="false">SQRT(pos_x^2+pos_z^2)</f>
        <v>31.6631550266677</v>
      </c>
      <c r="M90" s="418" t="n">
        <f aca="false">IF(AND(L89&gt;L_rampe,G90&gt;0),ATAN2(G90,H90),$M$4)</f>
        <v>1.37597174010065</v>
      </c>
      <c r="N90" s="417" t="n">
        <f aca="false">DEGREES(Beta)</f>
        <v>78.8373734370393</v>
      </c>
      <c r="O90" s="401"/>
      <c r="P90" s="420" t="n">
        <f aca="false">MATCH(t-pas/2-T_ini,CdP_t)</f>
        <v>3</v>
      </c>
      <c r="Q90" s="417" t="n">
        <f aca="false">(INDEX(CdP,2,i_P+1)-INDEX(CdP,2,i_P+0))/(INDEX(CdP,1,i_P+1)-INDEX(CdP,1,i_P+0))*(t-pas/2-T_ini-INDEX(CdP,1,i_P+0))+INDEX(CdP,2,i_P+0)</f>
        <v>756.11</v>
      </c>
      <c r="R90" s="418" t="n">
        <f aca="false">Poussee/(g*ISP)</f>
        <v>0.379456380534113</v>
      </c>
      <c r="S90" s="419" t="n">
        <f aca="false">S89-Débit*pas</f>
        <v>8.06851837191564</v>
      </c>
      <c r="T90" s="417" t="n">
        <f aca="false">m*g</f>
        <v>79.1521652284924</v>
      </c>
      <c r="U90" s="421" t="n">
        <f aca="false">IF(pos_xz&lt;L_rampe,Poids*COS(Beta),0)</f>
        <v>0</v>
      </c>
      <c r="V90" s="418" t="n">
        <f aca="false">Rho_moyen*(20000-Alt_rampe-pos_z)/(20000+Alt_rampe+pos_z)</f>
        <v>1.22119402877708</v>
      </c>
      <c r="W90" s="417" t="n">
        <f aca="false">1/2*Rho*Sref*Cx*vit_xz^2</f>
        <v>20.4741741590568</v>
      </c>
      <c r="X90" s="401"/>
      <c r="Y90" s="422" t="str">
        <f aca="false">IF(AND(pos_z&lt;=0,K89&gt;0),"Impact balistique","") &amp; IF(AND(H91&lt;0,vit_z&gt;=0),"Apogée","") &amp; IF(AND(Poussee=0,Q89&gt;0),"Fin de propulsion","") &amp; IF(AND(L91&gt;L_rampe,pos_xz&lt;=L_rampe),"Sortie de rampe","")</f>
        <v/>
      </c>
      <c r="Z90" s="423" t="str">
        <f aca="false">IF(ABS(t-T_para)&lt;pas/2,"Para","")</f>
        <v/>
      </c>
      <c r="AA90" s="424" t="str">
        <f aca="false">IF(ABS(t-T_satellite)&lt;pas/2,"Satellite","")</f>
        <v/>
      </c>
      <c r="AB90" s="412"/>
      <c r="AC90" s="420" t="e">
        <f aca="false">IF(ABS(t-ROUND(t,0))&lt;0.001,t,NA())</f>
        <v>#N/A</v>
      </c>
      <c r="AD90" s="425" t="e">
        <f aca="false">IF(ABS(t-ROUND(t,0))&lt;0.001,pos_x,NA())</f>
        <v>#N/A</v>
      </c>
      <c r="AE90" s="426" t="n">
        <f aca="false">IF(t&lt;T_para, pos_z, NA())</f>
        <v>31.1174925467421</v>
      </c>
      <c r="AF90" s="412"/>
      <c r="AG90" s="418" t="n">
        <f aca="false">IF(AND(L89&lt;L_rampe,Poussee&lt;Poids*SIN(M89)),0,(-W89+Poussee)/m-Poids*SIN(M89)/m)</f>
        <v>81.6042950010518</v>
      </c>
      <c r="AH90" s="417" t="n">
        <f aca="false">IF(AND(L89&lt;L_rampe,Poussee&lt;Poids*SIN(M89)), g*SIN(M89), (-W89+Poussee)/m)</f>
        <v>91.2291934342401</v>
      </c>
    </row>
    <row r="91" customFormat="false" ht="12" hidden="false" customHeight="false" outlineLevel="0" collapsed="false">
      <c r="A91" s="416" t="n">
        <f aca="false">IF(B90+0.01&lt;=T_ini+ROUNDUP(Temps_fin_propu,0), 0.01, IF(K90&gt;0, 0.1, 0.0001))</f>
        <v>0.01</v>
      </c>
      <c r="B91" s="417" t="n">
        <f aca="false">B90+pas</f>
        <v>0.870000000000001</v>
      </c>
      <c r="C91" s="401"/>
      <c r="D91" s="418" t="n">
        <f aca="false">IF(AND(L90&lt;L_rampe,Poussee&lt;Poids*SIN(M90)),0,(-W90+Poussee)/m*COS(M90)-U90/m*SIN(M90))</f>
        <v>17.6306672877275</v>
      </c>
      <c r="E91" s="419" t="n">
        <f aca="false">IF(AND(L90&lt;L_rampe,Poussee&lt;Poids*SIN(M90)),0,(-W90+Poussee)/m*SIN(M90)+U90/m*COS(M90)-Poids/m)</f>
        <v>79.5372134783417</v>
      </c>
      <c r="F91" s="417" t="n">
        <f aca="false">SQRT(acc_x^2+acc_z^2)</f>
        <v>81.4678387887505</v>
      </c>
      <c r="G91" s="418" t="n">
        <f aca="false">G90+acc_x*pas</f>
        <v>14.471363688296</v>
      </c>
      <c r="H91" s="419" t="n">
        <f aca="false">H90+acc_z*pas</f>
        <v>73.2386602983992</v>
      </c>
      <c r="I91" s="417" t="n">
        <f aca="false">SQRT(vit_x^2+vit_z^2)</f>
        <v>74.654683237579</v>
      </c>
      <c r="J91" s="418" t="n">
        <f aca="false">J90+0.5*(vit_x+G90)*pas*(K90&gt;=0)</f>
        <v>5.99678382433778</v>
      </c>
      <c r="K91" s="419" t="n">
        <f aca="false">K90+0.5*(vit_z+H90)*pas</f>
        <v>31.8459022890522</v>
      </c>
      <c r="L91" s="417" t="n">
        <f aca="false">SQRT(pos_x^2+pos_z^2)</f>
        <v>32.4055999611132</v>
      </c>
      <c r="M91" s="418" t="n">
        <f aca="false">IF(AND(L90&gt;L_rampe,G91&gt;0),ATAN2(G91,H91),$M$4)</f>
        <v>1.37571734728488</v>
      </c>
      <c r="N91" s="417" t="n">
        <f aca="false">DEGREES(Beta)</f>
        <v>78.822797802357</v>
      </c>
      <c r="O91" s="401"/>
      <c r="P91" s="420" t="n">
        <f aca="false">MATCH(t-pas/2-T_ini,CdP_t)</f>
        <v>3</v>
      </c>
      <c r="Q91" s="417" t="n">
        <f aca="false">(INDEX(CdP,2,i_P+1)-INDEX(CdP,2,i_P+0))/(INDEX(CdP,1,i_P+1)-INDEX(CdP,1,i_P+0))*(t-pas/2-T_ini-INDEX(CdP,1,i_P+0))+INDEX(CdP,2,i_P+0)</f>
        <v>754.93</v>
      </c>
      <c r="R91" s="418" t="n">
        <f aca="false">Poussee/(g*ISP)</f>
        <v>0.378864193512343</v>
      </c>
      <c r="S91" s="419" t="n">
        <f aca="false">S90-Débit*pas</f>
        <v>8.06472972998052</v>
      </c>
      <c r="T91" s="417" t="n">
        <f aca="false">m*g</f>
        <v>79.1149986511089</v>
      </c>
      <c r="U91" s="421" t="n">
        <f aca="false">IF(pos_xz&lt;L_rampe,Poids*COS(Beta),0)</f>
        <v>0</v>
      </c>
      <c r="V91" s="418" t="n">
        <f aca="false">Rho_moyen*(20000-Alt_rampe-pos_z)/(20000+Alt_rampe+pos_z)</f>
        <v>1.22110507883354</v>
      </c>
      <c r="W91" s="417" t="n">
        <f aca="false">1/2*Rho*Sref*Cx*vit_xz^2</f>
        <v>20.926801935278</v>
      </c>
      <c r="X91" s="401"/>
      <c r="Y91" s="422" t="str">
        <f aca="false">IF(AND(pos_z&lt;=0,K90&gt;0),"Impact balistique","") &amp; IF(AND(H92&lt;0,vit_z&gt;=0),"Apogée","") &amp; IF(AND(Poussee=0,Q90&gt;0),"Fin de propulsion","") &amp; IF(AND(L92&gt;L_rampe,pos_xz&lt;=L_rampe),"Sortie de rampe","")</f>
        <v/>
      </c>
      <c r="Z91" s="423" t="str">
        <f aca="false">IF(ABS(t-T_para)&lt;pas/2,"Para","")</f>
        <v/>
      </c>
      <c r="AA91" s="424" t="str">
        <f aca="false">IF(ABS(t-T_satellite)&lt;pas/2,"Satellite","")</f>
        <v/>
      </c>
      <c r="AB91" s="412"/>
      <c r="AC91" s="420" t="e">
        <f aca="false">IF(ABS(t-ROUND(t,0))&lt;0.001,t,NA())</f>
        <v>#N/A</v>
      </c>
      <c r="AD91" s="425" t="e">
        <f aca="false">IF(ABS(t-ROUND(t,0))&lt;0.001,pos_x,NA())</f>
        <v>#N/A</v>
      </c>
      <c r="AE91" s="426" t="n">
        <f aca="false">IF(t&lt;T_para, pos_z, NA())</f>
        <v>31.8459022890522</v>
      </c>
      <c r="AF91" s="412"/>
      <c r="AG91" s="418" t="n">
        <f aca="false">IF(AND(L90&lt;L_rampe,Poussee&lt;Poids*SIN(M90)),0,(-W90+Poussee)/m-Poids*SIN(M90)/m)</f>
        <v>81.4456993496547</v>
      </c>
      <c r="AH91" s="417" t="n">
        <f aca="false">IF(AND(L90&lt;L_rampe,Poussee&lt;Poids*SIN(M90)), g*SIN(M90), (-W90+Poussee)/m)</f>
        <v>91.0701102741998</v>
      </c>
    </row>
    <row r="92" customFormat="false" ht="12" hidden="false" customHeight="false" outlineLevel="0" collapsed="false">
      <c r="A92" s="416" t="n">
        <f aca="false">IF(B91+0.01&lt;=T_ini+ROUNDUP(Temps_fin_propu,0), 0.01, IF(K91&gt;0, 0.1, 0.0001))</f>
        <v>0.01</v>
      </c>
      <c r="B92" s="417" t="n">
        <f aca="false">B91+pas</f>
        <v>0.880000000000001</v>
      </c>
      <c r="C92" s="401"/>
      <c r="D92" s="418" t="n">
        <f aca="false">IF(AND(L91&lt;L_rampe,Poussee&lt;Poids*SIN(M91)),0,(-W91+Poussee)/m*COS(M91)-U91/m*SIN(M91))</f>
        <v>17.6224198354388</v>
      </c>
      <c r="E92" s="419" t="n">
        <f aca="false">IF(AND(L91&lt;L_rampe,Poussee&lt;Poids*SIN(M91)),0,(-W91+Poussee)/m*SIN(M91)+U91/m*COS(M91)-Poids/m)</f>
        <v>79.3759570226481</v>
      </c>
      <c r="F92" s="417" t="n">
        <f aca="false">SQRT(acc_x^2+acc_z^2)</f>
        <v>81.3086233687285</v>
      </c>
      <c r="G92" s="418" t="n">
        <f aca="false">G91+acc_x*pas</f>
        <v>14.6475878866504</v>
      </c>
      <c r="H92" s="419" t="n">
        <f aca="false">H91+acc_z*pas</f>
        <v>74.0324198686257</v>
      </c>
      <c r="I92" s="417" t="n">
        <f aca="false">SQRT(vit_x^2+vit_z^2)</f>
        <v>75.4675494666524</v>
      </c>
      <c r="J92" s="418" t="n">
        <f aca="false">J91+0.5*(vit_x+G91)*pas*(K91&gt;=0)</f>
        <v>6.14237858221251</v>
      </c>
      <c r="K92" s="419" t="n">
        <f aca="false">K91+0.5*(vit_z+H91)*pas</f>
        <v>32.5822576898873</v>
      </c>
      <c r="L92" s="417" t="n">
        <f aca="false">SQRT(pos_x^2+pos_z^2)</f>
        <v>33.1561808840741</v>
      </c>
      <c r="M92" s="418" t="n">
        <f aca="false">IF(AND(L91&gt;L_rampe,G92&gt;0),ATAN2(G92,H92),$M$4)</f>
        <v>1.37546537013171</v>
      </c>
      <c r="N92" s="417" t="n">
        <f aca="false">DEGREES(Beta)</f>
        <v>78.8083605749468</v>
      </c>
      <c r="O92" s="401"/>
      <c r="P92" s="420" t="n">
        <f aca="false">MATCH(t-pas/2-T_ini,CdP_t)</f>
        <v>3</v>
      </c>
      <c r="Q92" s="417" t="n">
        <f aca="false">(INDEX(CdP,2,i_P+1)-INDEX(CdP,2,i_P+0))/(INDEX(CdP,1,i_P+1)-INDEX(CdP,1,i_P+0))*(t-pas/2-T_ini-INDEX(CdP,1,i_P+0))+INDEX(CdP,2,i_P+0)</f>
        <v>753.75</v>
      </c>
      <c r="R92" s="418" t="n">
        <f aca="false">Poussee/(g*ISP)</f>
        <v>0.378272006490573</v>
      </c>
      <c r="S92" s="419" t="n">
        <f aca="false">S91-Débit*pas</f>
        <v>8.06094700991561</v>
      </c>
      <c r="T92" s="417" t="n">
        <f aca="false">m*g</f>
        <v>79.0778901672721</v>
      </c>
      <c r="U92" s="421" t="n">
        <f aca="false">IF(pos_xz&lt;L_rampe,Poids*COS(Beta),0)</f>
        <v>0</v>
      </c>
      <c r="V92" s="418" t="n">
        <f aca="false">Rho_moyen*(20000-Alt_rampe-pos_z)/(20000+Alt_rampe+pos_z)</f>
        <v>1.22101516517874</v>
      </c>
      <c r="W92" s="417" t="n">
        <f aca="false">1/2*Rho*Sref*Cx*vit_xz^2</f>
        <v>21.3834249306158</v>
      </c>
      <c r="X92" s="401"/>
      <c r="Y92" s="422" t="str">
        <f aca="false">IF(AND(pos_z&lt;=0,K91&gt;0),"Impact balistique","") &amp; IF(AND(H93&lt;0,vit_z&gt;=0),"Apogée","") &amp; IF(AND(Poussee=0,Q91&gt;0),"Fin de propulsion","") &amp; IF(AND(L93&gt;L_rampe,pos_xz&lt;=L_rampe),"Sortie de rampe","")</f>
        <v/>
      </c>
      <c r="Z92" s="423" t="str">
        <f aca="false">IF(ABS(t-T_para)&lt;pas/2,"Para","")</f>
        <v/>
      </c>
      <c r="AA92" s="424" t="str">
        <f aca="false">IF(ABS(t-T_satellite)&lt;pas/2,"Satellite","")</f>
        <v/>
      </c>
      <c r="AB92" s="412"/>
      <c r="AC92" s="420" t="e">
        <f aca="false">IF(ABS(t-ROUND(t,0))&lt;0.001,t,NA())</f>
        <v>#N/A</v>
      </c>
      <c r="AD92" s="425" t="e">
        <f aca="false">IF(ABS(t-ROUND(t,0))&lt;0.001,pos_x,NA())</f>
        <v>#N/A</v>
      </c>
      <c r="AE92" s="426" t="n">
        <f aca="false">IF(t&lt;T_para, pos_z, NA())</f>
        <v>32.5822576898873</v>
      </c>
      <c r="AF92" s="412"/>
      <c r="AG92" s="418" t="n">
        <f aca="false">IF(AND(L91&lt;L_rampe,Poussee&lt;Poids*SIN(M91)),0,(-W91+Poussee)/m-Poids*SIN(M91)/m)</f>
        <v>81.2863833262356</v>
      </c>
      <c r="AH92" s="417" t="n">
        <f aca="false">IF(AND(L91&lt;L_rampe,Poussee&lt;Poids*SIN(M91)), g*SIN(M91), (-W91+Poussee)/m)</f>
        <v>90.9103108063222</v>
      </c>
    </row>
    <row r="93" customFormat="false" ht="12" hidden="false" customHeight="false" outlineLevel="0" collapsed="false">
      <c r="A93" s="416" t="n">
        <f aca="false">IF(B92+0.01&lt;=T_ini+ROUNDUP(Temps_fin_propu,0), 0.01, IF(K92&gt;0, 0.1, 0.0001))</f>
        <v>0.01</v>
      </c>
      <c r="B93" s="417" t="n">
        <f aca="false">B92+pas</f>
        <v>0.890000000000001</v>
      </c>
      <c r="C93" s="401"/>
      <c r="D93" s="418" t="n">
        <f aca="false">IF(AND(L92&lt;L_rampe,Poussee&lt;Poids*SIN(M92)),0,(-W92+Poussee)/m*COS(M92)-U92/m*SIN(M92))</f>
        <v>17.6137381169575</v>
      </c>
      <c r="E93" s="419" t="n">
        <f aca="false">IF(AND(L92&lt;L_rampe,Poussee&lt;Poids*SIN(M92)),0,(-W92+Poussee)/m*SIN(M92)+U92/m*COS(M92)-Poids/m)</f>
        <v>79.2140540505004</v>
      </c>
      <c r="F93" s="417" t="n">
        <f aca="false">SQRT(acc_x^2+acc_z^2)</f>
        <v>81.1486914840181</v>
      </c>
      <c r="G93" s="418" t="n">
        <f aca="false">G92+acc_x*pas</f>
        <v>14.8237252678199</v>
      </c>
      <c r="H93" s="419" t="n">
        <f aca="false">H92+acc_z*pas</f>
        <v>74.8245604091307</v>
      </c>
      <c r="I93" s="417" t="n">
        <f aca="false">SQRT(vit_x^2+vit_z^2)</f>
        <v>76.2788153502364</v>
      </c>
      <c r="J93" s="418" t="n">
        <f aca="false">J92+0.5*(vit_x+G92)*pas*(K92&gt;=0)</f>
        <v>6.28973514798487</v>
      </c>
      <c r="K93" s="419" t="n">
        <f aca="false">K92+0.5*(vit_z+H92)*pas</f>
        <v>33.3265425912761</v>
      </c>
      <c r="L93" s="417" t="n">
        <f aca="false">SQRT(pos_x^2+pos_z^2)</f>
        <v>33.9148818267134</v>
      </c>
      <c r="M93" s="418" t="n">
        <f aca="false">IF(AND(L92&gt;L_rampe,G93&gt;0),ATAN2(G93,H93),$M$4)</f>
        <v>1.37521575498399</v>
      </c>
      <c r="N93" s="417" t="n">
        <f aca="false">DEGREES(Beta)</f>
        <v>78.7940586804795</v>
      </c>
      <c r="O93" s="401"/>
      <c r="P93" s="420" t="n">
        <f aca="false">MATCH(t-pas/2-T_ini,CdP_t)</f>
        <v>3</v>
      </c>
      <c r="Q93" s="417" t="n">
        <f aca="false">(INDEX(CdP,2,i_P+1)-INDEX(CdP,2,i_P+0))/(INDEX(CdP,1,i_P+1)-INDEX(CdP,1,i_P+0))*(t-pas/2-T_ini-INDEX(CdP,1,i_P+0))+INDEX(CdP,2,i_P+0)</f>
        <v>752.57</v>
      </c>
      <c r="R93" s="418" t="n">
        <f aca="false">Poussee/(g*ISP)</f>
        <v>0.377679819468804</v>
      </c>
      <c r="S93" s="419" t="n">
        <f aca="false">S92-Débit*pas</f>
        <v>8.05717021172092</v>
      </c>
      <c r="T93" s="417" t="n">
        <f aca="false">m*g</f>
        <v>79.0408397769823</v>
      </c>
      <c r="U93" s="421" t="n">
        <f aca="false">IF(pos_xz&lt;L_rampe,Poids*COS(Beta),0)</f>
        <v>0</v>
      </c>
      <c r="V93" s="418" t="n">
        <f aca="false">Rho_moyen*(20000-Alt_rampe-pos_z)/(20000+Alt_rampe+pos_z)</f>
        <v>1.22092428999872</v>
      </c>
      <c r="W93" s="417" t="n">
        <f aca="false">1/2*Rho*Sref*Cx*vit_xz^2</f>
        <v>21.844007922907</v>
      </c>
      <c r="X93" s="401"/>
      <c r="Y93" s="422" t="str">
        <f aca="false">IF(AND(pos_z&lt;=0,K92&gt;0),"Impact balistique","") &amp; IF(AND(H94&lt;0,vit_z&gt;=0),"Apogée","") &amp; IF(AND(Poussee=0,Q92&gt;0),"Fin de propulsion","") &amp; IF(AND(L94&gt;L_rampe,pos_xz&lt;=L_rampe),"Sortie de rampe","")</f>
        <v/>
      </c>
      <c r="Z93" s="423" t="str">
        <f aca="false">IF(ABS(t-T_para)&lt;pas/2,"Para","")</f>
        <v/>
      </c>
      <c r="AA93" s="424" t="str">
        <f aca="false">IF(ABS(t-T_satellite)&lt;pas/2,"Satellite","")</f>
        <v/>
      </c>
      <c r="AB93" s="412"/>
      <c r="AC93" s="420" t="e">
        <f aca="false">IF(ABS(t-ROUND(t,0))&lt;0.001,t,NA())</f>
        <v>#N/A</v>
      </c>
      <c r="AD93" s="425" t="e">
        <f aca="false">IF(ABS(t-ROUND(t,0))&lt;0.001,pos_x,NA())</f>
        <v>#N/A</v>
      </c>
      <c r="AE93" s="426" t="n">
        <f aca="false">IF(t&lt;T_para, pos_z, NA())</f>
        <v>33.3265425912761</v>
      </c>
      <c r="AF93" s="412"/>
      <c r="AG93" s="418" t="n">
        <f aca="false">IF(AND(L92&lt;L_rampe,Poussee&lt;Poids*SIN(M92)),0,(-W92+Poussee)/m-Poids*SIN(M92)/m)</f>
        <v>81.1263507204325</v>
      </c>
      <c r="AH93" s="417" t="n">
        <f aca="false">IF(AND(L92&lt;L_rampe,Poussee&lt;Poids*SIN(M92)), g*SIN(M92), (-W92+Poussee)/m)</f>
        <v>90.749798732775</v>
      </c>
    </row>
    <row r="94" customFormat="false" ht="12" hidden="false" customHeight="false" outlineLevel="0" collapsed="false">
      <c r="A94" s="416" t="n">
        <f aca="false">IF(B93+0.01&lt;=T_ini+ROUNDUP(Temps_fin_propu,0), 0.01, IF(K93&gt;0, 0.1, 0.0001))</f>
        <v>0.01</v>
      </c>
      <c r="B94" s="417" t="n">
        <f aca="false">B93+pas</f>
        <v>0.900000000000001</v>
      </c>
      <c r="C94" s="401"/>
      <c r="D94" s="418" t="n">
        <f aca="false">IF(AND(L93&lt;L_rampe,Poussee&lt;Poids*SIN(M93)),0,(-W93+Poussee)/m*COS(M93)-U93/m*SIN(M93))</f>
        <v>17.6046282736231</v>
      </c>
      <c r="E94" s="419" t="n">
        <f aca="false">IF(AND(L93&lt;L_rampe,Poussee&lt;Poids*SIN(M93)),0,(-W93+Poussee)/m*SIN(M93)+U93/m*COS(M93)-Poids/m)</f>
        <v>79.0515073432031</v>
      </c>
      <c r="F94" s="417" t="n">
        <f aca="false">SQRT(acc_x^2+acc_z^2)</f>
        <v>80.98804695685</v>
      </c>
      <c r="G94" s="418" t="n">
        <f aca="false">G93+acc_x*pas</f>
        <v>14.9997715505562</v>
      </c>
      <c r="H94" s="419" t="n">
        <f aca="false">H93+acc_z*pas</f>
        <v>75.6150754825628</v>
      </c>
      <c r="I94" s="417" t="n">
        <f aca="false">SQRT(vit_x^2+vit_z^2)</f>
        <v>77.088473761014</v>
      </c>
      <c r="J94" s="418" t="n">
        <f aca="false">J93+0.5*(vit_x+G93)*pas*(K93&gt;=0)</f>
        <v>6.43885263207675</v>
      </c>
      <c r="K94" s="419" t="n">
        <f aca="false">K93+0.5*(vit_z+H93)*pas</f>
        <v>34.0787407707346</v>
      </c>
      <c r="L94" s="417" t="n">
        <f aca="false">SQRT(pos_x^2+pos_z^2)</f>
        <v>34.6816867487227</v>
      </c>
      <c r="M94" s="418" t="n">
        <f aca="false">IF(AND(L93&gt;L_rampe,G94&gt;0),ATAN2(G94,H94),$M$4)</f>
        <v>1.37496844993539</v>
      </c>
      <c r="N94" s="417" t="n">
        <f aca="false">DEGREES(Beta)</f>
        <v>78.7798891449429</v>
      </c>
      <c r="O94" s="401"/>
      <c r="P94" s="420" t="n">
        <f aca="false">MATCH(t-pas/2-T_ini,CdP_t)</f>
        <v>3</v>
      </c>
      <c r="Q94" s="417" t="n">
        <f aca="false">(INDEX(CdP,2,i_P+1)-INDEX(CdP,2,i_P+0))/(INDEX(CdP,1,i_P+1)-INDEX(CdP,1,i_P+0))*(t-pas/2-T_ini-INDEX(CdP,1,i_P+0))+INDEX(CdP,2,i_P+0)</f>
        <v>751.39</v>
      </c>
      <c r="R94" s="418" t="n">
        <f aca="false">Poussee/(g*ISP)</f>
        <v>0.377087632447034</v>
      </c>
      <c r="S94" s="419" t="n">
        <f aca="false">S93-Débit*pas</f>
        <v>8.05339933539645</v>
      </c>
      <c r="T94" s="417" t="n">
        <f aca="false">m*g</f>
        <v>79.0038474802392</v>
      </c>
      <c r="U94" s="421" t="n">
        <f aca="false">IF(pos_xz&lt;L_rampe,Poids*COS(Beta),0)</f>
        <v>0</v>
      </c>
      <c r="V94" s="418" t="n">
        <f aca="false">Rho_moyen*(20000-Alt_rampe-pos_z)/(20000+Alt_rampe+pos_z)</f>
        <v>1.22083245548904</v>
      </c>
      <c r="W94" s="417" t="n">
        <f aca="false">1/2*Rho*Sref*Cx*vit_xz^2</f>
        <v>22.3085155891812</v>
      </c>
      <c r="X94" s="401"/>
      <c r="Y94" s="422" t="str">
        <f aca="false">IF(AND(pos_z&lt;=0,K93&gt;0),"Impact balistique","") &amp; IF(AND(H95&lt;0,vit_z&gt;=0),"Apogée","") &amp; IF(AND(Poussee=0,Q93&gt;0),"Fin de propulsion","") &amp; IF(AND(L95&gt;L_rampe,pos_xz&lt;=L_rampe),"Sortie de rampe","")</f>
        <v/>
      </c>
      <c r="Z94" s="423" t="str">
        <f aca="false">IF(ABS(t-T_para)&lt;pas/2,"Para","")</f>
        <v/>
      </c>
      <c r="AA94" s="424" t="str">
        <f aca="false">IF(ABS(t-T_satellite)&lt;pas/2,"Satellite","")</f>
        <v/>
      </c>
      <c r="AB94" s="412"/>
      <c r="AC94" s="420" t="e">
        <f aca="false">IF(ABS(t-ROUND(t,0))&lt;0.001,t,NA())</f>
        <v>#N/A</v>
      </c>
      <c r="AD94" s="425" t="e">
        <f aca="false">IF(ABS(t-ROUND(t,0))&lt;0.001,pos_x,NA())</f>
        <v>#N/A</v>
      </c>
      <c r="AE94" s="426" t="n">
        <f aca="false">IF(t&lt;T_para, pos_z, NA())</f>
        <v>34.0787407707346</v>
      </c>
      <c r="AF94" s="412"/>
      <c r="AG94" s="418" t="n">
        <f aca="false">IF(AND(L93&lt;L_rampe,Poussee&lt;Poids*SIN(M93)),0,(-W93+Poussee)/m-Poids*SIN(M93)/m)</f>
        <v>80.9656053420275</v>
      </c>
      <c r="AH94" s="417" t="n">
        <f aca="false">IF(AND(L93&lt;L_rampe,Poussee&lt;Poids*SIN(M93)), g*SIN(M93), (-W93+Poussee)/m)</f>
        <v>90.5885777786504</v>
      </c>
    </row>
    <row r="95" customFormat="false" ht="12" hidden="false" customHeight="false" outlineLevel="0" collapsed="false">
      <c r="A95" s="416" t="n">
        <f aca="false">IF(B94+0.01&lt;=T_ini+ROUNDUP(Temps_fin_propu,0), 0.01, IF(K94&gt;0, 0.1, 0.0001))</f>
        <v>0.01</v>
      </c>
      <c r="B95" s="417" t="n">
        <f aca="false">B94+pas</f>
        <v>0.910000000000001</v>
      </c>
      <c r="C95" s="401"/>
      <c r="D95" s="418" t="n">
        <f aca="false">IF(AND(L94&lt;L_rampe,Poussee&lt;Poids*SIN(M94)),0,(-W94+Poussee)/m*COS(M94)-U94/m*SIN(M94))</f>
        <v>17.5950962742092</v>
      </c>
      <c r="E95" s="419" t="n">
        <f aca="false">IF(AND(L94&lt;L_rampe,Poussee&lt;Poids*SIN(M94)),0,(-W94+Poussee)/m*SIN(M94)+U94/m*COS(M94)-Poids/m)</f>
        <v>78.8883197319398</v>
      </c>
      <c r="F95" s="417" t="n">
        <f aca="false">SQRT(acc_x^2+acc_z^2)</f>
        <v>80.8266936291931</v>
      </c>
      <c r="G95" s="418" t="n">
        <f aca="false">G94+acc_x*pas</f>
        <v>15.1757225132983</v>
      </c>
      <c r="H95" s="419" t="n">
        <f aca="false">H94+acc_z*pas</f>
        <v>76.4039586798822</v>
      </c>
      <c r="I95" s="417" t="n">
        <f aca="false">SQRT(vit_x^2+vit_z^2)</f>
        <v>77.8965176099533</v>
      </c>
      <c r="J95" s="418" t="n">
        <f aca="false">J94+0.5*(vit_x+G94)*pas*(K94&gt;=0)</f>
        <v>6.58973010239602</v>
      </c>
      <c r="K95" s="419" t="n">
        <f aca="false">K94+0.5*(vit_z+H94)*pas</f>
        <v>34.8388359415468</v>
      </c>
      <c r="L95" s="417" t="n">
        <f aca="false">SQRT(pos_x^2+pos_z^2)</f>
        <v>35.4565795387039</v>
      </c>
      <c r="M95" s="418" t="n">
        <f aca="false">IF(AND(L94&gt;L_rampe,G95&gt;0),ATAN2(G95,H95),$M$4)</f>
        <v>1.37472340475436</v>
      </c>
      <c r="N95" s="417" t="n">
        <f aca="false">DEGREES(Beta)</f>
        <v>78.7658490902798</v>
      </c>
      <c r="O95" s="401"/>
      <c r="P95" s="420" t="n">
        <f aca="false">MATCH(t-pas/2-T_ini,CdP_t)</f>
        <v>3</v>
      </c>
      <c r="Q95" s="417" t="n">
        <f aca="false">(INDEX(CdP,2,i_P+1)-INDEX(CdP,2,i_P+0))/(INDEX(CdP,1,i_P+1)-INDEX(CdP,1,i_P+0))*(t-pas/2-T_ini-INDEX(CdP,1,i_P+0))+INDEX(CdP,2,i_P+0)</f>
        <v>750.21</v>
      </c>
      <c r="R95" s="418" t="n">
        <f aca="false">Poussee/(g*ISP)</f>
        <v>0.376495445425264</v>
      </c>
      <c r="S95" s="419" t="n">
        <f aca="false">S94-Débit*pas</f>
        <v>8.0496343809422</v>
      </c>
      <c r="T95" s="417" t="n">
        <f aca="false">m*g</f>
        <v>78.966913277043</v>
      </c>
      <c r="U95" s="421" t="n">
        <f aca="false">IF(pos_xz&lt;L_rampe,Poids*COS(Beta),0)</f>
        <v>0</v>
      </c>
      <c r="V95" s="418" t="n">
        <f aca="false">Rho_moyen*(20000-Alt_rampe-pos_z)/(20000+Alt_rampe+pos_z)</f>
        <v>1.22073966385476</v>
      </c>
      <c r="W95" s="417" t="n">
        <f aca="false">1/2*Rho*Sref*Cx*vit_xz^2</f>
        <v>22.776912508183</v>
      </c>
      <c r="X95" s="401"/>
      <c r="Y95" s="422" t="str">
        <f aca="false">IF(AND(pos_z&lt;=0,K94&gt;0),"Impact balistique","") &amp; IF(AND(H96&lt;0,vit_z&gt;=0),"Apogée","") &amp; IF(AND(Poussee=0,Q94&gt;0),"Fin de propulsion","") &amp; IF(AND(L96&gt;L_rampe,pos_xz&lt;=L_rampe),"Sortie de rampe","")</f>
        <v/>
      </c>
      <c r="Z95" s="423" t="str">
        <f aca="false">IF(ABS(t-T_para)&lt;pas/2,"Para","")</f>
        <v/>
      </c>
      <c r="AA95" s="424" t="str">
        <f aca="false">IF(ABS(t-T_satellite)&lt;pas/2,"Satellite","")</f>
        <v/>
      </c>
      <c r="AB95" s="412"/>
      <c r="AC95" s="420" t="e">
        <f aca="false">IF(ABS(t-ROUND(t,0))&lt;0.001,t,NA())</f>
        <v>#N/A</v>
      </c>
      <c r="AD95" s="425" t="e">
        <f aca="false">IF(ABS(t-ROUND(t,0))&lt;0.001,pos_x,NA())</f>
        <v>#N/A</v>
      </c>
      <c r="AE95" s="426" t="n">
        <f aca="false">IF(t&lt;T_para, pos_z, NA())</f>
        <v>34.8388359415468</v>
      </c>
      <c r="AF95" s="412"/>
      <c r="AG95" s="418" t="n">
        <f aca="false">IF(AND(L94&lt;L_rampe,Poussee&lt;Poids*SIN(M94)),0,(-W94+Poussee)/m-Poids*SIN(M94)/m)</f>
        <v>80.8041510207792</v>
      </c>
      <c r="AH95" s="417" t="n">
        <f aca="false">IF(AND(L94&lt;L_rampe,Poussee&lt;Poids*SIN(M94)), g*SIN(M94), (-W94+Poussee)/m)</f>
        <v>90.4266516916783</v>
      </c>
    </row>
    <row r="96" customFormat="false" ht="12" hidden="false" customHeight="false" outlineLevel="0" collapsed="false">
      <c r="A96" s="416" t="n">
        <f aca="false">IF(B95+0.01&lt;=T_ini+ROUNDUP(Temps_fin_propu,0), 0.01, IF(K95&gt;0, 0.1, 0.0001))</f>
        <v>0.01</v>
      </c>
      <c r="B96" s="417" t="n">
        <f aca="false">B95+pas</f>
        <v>0.920000000000001</v>
      </c>
      <c r="C96" s="401"/>
      <c r="D96" s="418" t="n">
        <f aca="false">IF(AND(L95&lt;L_rampe,Poussee&lt;Poids*SIN(M95)),0,(-W95+Poussee)/m*COS(M95)-U95/m*SIN(M95))</f>
        <v>17.5851479226365</v>
      </c>
      <c r="E96" s="419" t="n">
        <f aca="false">IF(AND(L95&lt;L_rampe,Poussee&lt;Poids*SIN(M95)),0,(-W95+Poussee)/m*SIN(M95)+U95/m*COS(M95)-Poids/m)</f>
        <v>78.7244940963027</v>
      </c>
      <c r="F96" s="417" t="n">
        <f aca="false">SQRT(acc_x^2+acc_z^2)</f>
        <v>80.6646353625912</v>
      </c>
      <c r="G96" s="418" t="n">
        <f aca="false">G95+acc_x*pas</f>
        <v>15.3515739925246</v>
      </c>
      <c r="H96" s="419" t="n">
        <f aca="false">H95+acc_z*pas</f>
        <v>77.1912036208452</v>
      </c>
      <c r="I96" s="417" t="n">
        <f aca="false">SQRT(vit_x^2+vit_z^2)</f>
        <v>78.702939846506</v>
      </c>
      <c r="J96" s="418" t="n">
        <f aca="false">J95+0.5*(vit_x+G95)*pas*(K95&gt;=0)</f>
        <v>6.74236658492513</v>
      </c>
      <c r="K96" s="419" t="n">
        <f aca="false">K95+0.5*(vit_z+H95)*pas</f>
        <v>35.6068117530504</v>
      </c>
      <c r="L96" s="417" t="n">
        <f aca="false">SQRT(pos_x^2+pos_z^2)</f>
        <v>36.2395440145525</v>
      </c>
      <c r="M96" s="418" t="n">
        <f aca="false">IF(AND(L95&gt;L_rampe,G96&gt;0),ATAN2(G96,H96),$M$4)</f>
        <v>1.37448057081202</v>
      </c>
      <c r="N96" s="417" t="n">
        <f aca="false">DEGREES(Beta)</f>
        <v>78.7519357302609</v>
      </c>
      <c r="O96" s="401"/>
      <c r="P96" s="420" t="n">
        <f aca="false">MATCH(t-pas/2-T_ini,CdP_t)</f>
        <v>3</v>
      </c>
      <c r="Q96" s="417" t="n">
        <f aca="false">(INDEX(CdP,2,i_P+1)-INDEX(CdP,2,i_P+0))/(INDEX(CdP,1,i_P+1)-INDEX(CdP,1,i_P+0))*(t-pas/2-T_ini-INDEX(CdP,1,i_P+0))+INDEX(CdP,2,i_P+0)</f>
        <v>749.03</v>
      </c>
      <c r="R96" s="418" t="n">
        <f aca="false">Poussee/(g*ISP)</f>
        <v>0.375903258403495</v>
      </c>
      <c r="S96" s="419" t="n">
        <f aca="false">S95-Débit*pas</f>
        <v>8.04587534835816</v>
      </c>
      <c r="T96" s="417" t="n">
        <f aca="false">m*g</f>
        <v>78.9300371673936</v>
      </c>
      <c r="U96" s="421" t="n">
        <f aca="false">IF(pos_xz&lt;L_rampe,Poids*COS(Beta),0)</f>
        <v>0</v>
      </c>
      <c r="V96" s="418" t="n">
        <f aca="false">Rho_moyen*(20000-Alt_rampe-pos_z)/(20000+Alt_rampe+pos_z)</f>
        <v>1.22064591731039</v>
      </c>
      <c r="W96" s="417" t="n">
        <f aca="false">1/2*Rho*Sref*Cx*vit_xz^2</f>
        <v>23.2491631628972</v>
      </c>
      <c r="X96" s="401"/>
      <c r="Y96" s="422" t="str">
        <f aca="false">IF(AND(pos_z&lt;=0,K95&gt;0),"Impact balistique","") &amp; IF(AND(H97&lt;0,vit_z&gt;=0),"Apogée","") &amp; IF(AND(Poussee=0,Q95&gt;0),"Fin de propulsion","") &amp; IF(AND(L97&gt;L_rampe,pos_xz&lt;=L_rampe),"Sortie de rampe","")</f>
        <v/>
      </c>
      <c r="Z96" s="423" t="str">
        <f aca="false">IF(ABS(t-T_para)&lt;pas/2,"Para","")</f>
        <v/>
      </c>
      <c r="AA96" s="424" t="str">
        <f aca="false">IF(ABS(t-T_satellite)&lt;pas/2,"Satellite","")</f>
        <v/>
      </c>
      <c r="AB96" s="412"/>
      <c r="AC96" s="420" t="e">
        <f aca="false">IF(ABS(t-ROUND(t,0))&lt;0.001,t,NA())</f>
        <v>#N/A</v>
      </c>
      <c r="AD96" s="425" t="e">
        <f aca="false">IF(ABS(t-ROUND(t,0))&lt;0.001,pos_x,NA())</f>
        <v>#N/A</v>
      </c>
      <c r="AE96" s="426" t="n">
        <f aca="false">IF(t&lt;T_para, pos_z, NA())</f>
        <v>35.6068117530504</v>
      </c>
      <c r="AF96" s="412"/>
      <c r="AG96" s="418" t="n">
        <f aca="false">IF(AND(L95&lt;L_rampe,Poussee&lt;Poids*SIN(M95)),0,(-W95+Poussee)/m-Poids*SIN(M95)/m)</f>
        <v>80.6419916062476</v>
      </c>
      <c r="AH96" s="417" t="n">
        <f aca="false">IF(AND(L95&lt;L_rampe,Poussee&lt;Poids*SIN(M95)), g*SIN(M95), (-W95+Poussee)/m)</f>
        <v>90.2640242419385</v>
      </c>
    </row>
    <row r="97" customFormat="false" ht="12" hidden="false" customHeight="false" outlineLevel="0" collapsed="false">
      <c r="A97" s="416" t="n">
        <f aca="false">IF(B96+0.01&lt;=T_ini+ROUNDUP(Temps_fin_propu,0), 0.01, IF(K96&gt;0, 0.1, 0.0001))</f>
        <v>0.01</v>
      </c>
      <c r="B97" s="417" t="n">
        <f aca="false">B96+pas</f>
        <v>0.930000000000001</v>
      </c>
      <c r="C97" s="401"/>
      <c r="D97" s="418" t="n">
        <f aca="false">IF(AND(L96&lt;L_rampe,Poussee&lt;Poids*SIN(M96)),0,(-W96+Poussee)/m*COS(M96)-U96/m*SIN(M96))</f>
        <v>17.5747888652671</v>
      </c>
      <c r="E97" s="419" t="n">
        <f aca="false">IF(AND(L96&lt;L_rampe,Poussee&lt;Poids*SIN(M96)),0,(-W96+Poussee)/m*SIN(M96)+U96/m*COS(M96)-Poids/m)</f>
        <v>78.5600333628846</v>
      </c>
      <c r="F97" s="417" t="n">
        <f aca="false">SQRT(acc_x^2+acc_z^2)</f>
        <v>80.5018760379921</v>
      </c>
      <c r="G97" s="418" t="n">
        <f aca="false">G96+acc_x*pas</f>
        <v>15.5273218811773</v>
      </c>
      <c r="H97" s="419" t="n">
        <f aca="false">H96+acc_z*pas</f>
        <v>77.976803954474</v>
      </c>
      <c r="I97" s="417" t="n">
        <f aca="false">SQRT(vit_x^2+vit_z^2)</f>
        <v>79.5077334588036</v>
      </c>
      <c r="J97" s="418" t="n">
        <f aca="false">J96+0.5*(vit_x+G96)*pas*(K96&gt;=0)</f>
        <v>6.89676106429364</v>
      </c>
      <c r="K97" s="419" t="n">
        <f aca="false">K96+0.5*(vit_z+H96)*pas</f>
        <v>36.382651790927</v>
      </c>
      <c r="L97" s="417" t="n">
        <f aca="false">SQRT(pos_x^2+pos_z^2)</f>
        <v>37.0305639238427</v>
      </c>
      <c r="M97" s="418" t="n">
        <f aca="false">IF(AND(L96&gt;L_rampe,G97&gt;0),ATAN2(G97,H97),$M$4)</f>
        <v>1.37423990101401</v>
      </c>
      <c r="N97" s="417" t="n">
        <f aca="false">DEGREES(Beta)</f>
        <v>78.7381463665789</v>
      </c>
      <c r="O97" s="401"/>
      <c r="P97" s="420" t="n">
        <f aca="false">MATCH(t-pas/2-T_ini,CdP_t)</f>
        <v>3</v>
      </c>
      <c r="Q97" s="417" t="n">
        <f aca="false">(INDEX(CdP,2,i_P+1)-INDEX(CdP,2,i_P+0))/(INDEX(CdP,1,i_P+1)-INDEX(CdP,1,i_P+0))*(t-pas/2-T_ini-INDEX(CdP,1,i_P+0))+INDEX(CdP,2,i_P+0)</f>
        <v>747.85</v>
      </c>
      <c r="R97" s="418" t="n">
        <f aca="false">Poussee/(g*ISP)</f>
        <v>0.375311071381725</v>
      </c>
      <c r="S97" s="419" t="n">
        <f aca="false">S96-Débit*pas</f>
        <v>8.04212223764435</v>
      </c>
      <c r="T97" s="417" t="n">
        <f aca="false">m*g</f>
        <v>78.8932191512911</v>
      </c>
      <c r="U97" s="421" t="n">
        <f aca="false">IF(pos_xz&lt;L_rampe,Poids*COS(Beta),0)</f>
        <v>0</v>
      </c>
      <c r="V97" s="418" t="n">
        <f aca="false">Rho_moyen*(20000-Alt_rampe-pos_z)/(20000+Alt_rampe+pos_z)</f>
        <v>1.22055121807979</v>
      </c>
      <c r="W97" s="417" t="n">
        <f aca="false">1/2*Rho*Sref*Cx*vit_xz^2</f>
        <v>23.7252319430755</v>
      </c>
      <c r="X97" s="401"/>
      <c r="Y97" s="422" t="str">
        <f aca="false">IF(AND(pos_z&lt;=0,K96&gt;0),"Impact balistique","") &amp; IF(AND(H98&lt;0,vit_z&gt;=0),"Apogée","") &amp; IF(AND(Poussee=0,Q96&gt;0),"Fin de propulsion","") &amp; IF(AND(L98&gt;L_rampe,pos_xz&lt;=L_rampe),"Sortie de rampe","")</f>
        <v/>
      </c>
      <c r="Z97" s="423" t="str">
        <f aca="false">IF(ABS(t-T_para)&lt;pas/2,"Para","")</f>
        <v/>
      </c>
      <c r="AA97" s="424" t="str">
        <f aca="false">IF(ABS(t-T_satellite)&lt;pas/2,"Satellite","")</f>
        <v/>
      </c>
      <c r="AB97" s="412"/>
      <c r="AC97" s="420" t="e">
        <f aca="false">IF(ABS(t-ROUND(t,0))&lt;0.001,t,NA())</f>
        <v>#N/A</v>
      </c>
      <c r="AD97" s="425" t="e">
        <f aca="false">IF(ABS(t-ROUND(t,0))&lt;0.001,pos_x,NA())</f>
        <v>#N/A</v>
      </c>
      <c r="AE97" s="426" t="n">
        <f aca="false">IF(t&lt;T_para, pos_z, NA())</f>
        <v>36.382651790927</v>
      </c>
      <c r="AF97" s="412"/>
      <c r="AG97" s="418" t="n">
        <f aca="false">IF(AND(L96&lt;L_rampe,Poussee&lt;Poids*SIN(M96)),0,(-W96+Poussee)/m-Poids*SIN(M96)/m)</f>
        <v>80.4791309676109</v>
      </c>
      <c r="AH97" s="417" t="n">
        <f aca="false">IF(AND(L96&lt;L_rampe,Poussee&lt;Poids*SIN(M96)), g*SIN(M96), (-W96+Poussee)/m)</f>
        <v>90.1006992215712</v>
      </c>
    </row>
    <row r="98" customFormat="false" ht="12" hidden="false" customHeight="false" outlineLevel="0" collapsed="false">
      <c r="A98" s="416" t="n">
        <f aca="false">IF(B97+0.01&lt;=T_ini+ROUNDUP(Temps_fin_propu,0), 0.01, IF(K97&gt;0, 0.1, 0.0001))</f>
        <v>0.01</v>
      </c>
      <c r="B98" s="417" t="n">
        <f aca="false">B97+pas</f>
        <v>0.940000000000001</v>
      </c>
      <c r="C98" s="401"/>
      <c r="D98" s="418" t="n">
        <f aca="false">IF(AND(L97&lt;L_rampe,Poussee&lt;Poids*SIN(M97)),0,(-W97+Poussee)/m*COS(M97)-U97/m*SIN(M97))</f>
        <v>17.5640245978046</v>
      </c>
      <c r="E98" s="419" t="n">
        <f aca="false">IF(AND(L97&lt;L_rampe,Poussee&lt;Poids*SIN(M97)),0,(-W97+Poussee)/m*SIN(M97)+U97/m*COS(M97)-Poids/m)</f>
        <v>78.3949405039273</v>
      </c>
      <c r="F98" s="417" t="n">
        <f aca="false">SQRT(acc_x^2+acc_z^2)</f>
        <v>80.3384195555687</v>
      </c>
      <c r="G98" s="418" t="n">
        <f aca="false">G97+acc_x*pas</f>
        <v>15.7029621271553</v>
      </c>
      <c r="H98" s="419" t="n">
        <f aca="false">H97+acc_z*pas</f>
        <v>78.7607533595133</v>
      </c>
      <c r="I98" s="417" t="n">
        <f aca="false">SQRT(vit_x^2+vit_z^2)</f>
        <v>80.3108914738528</v>
      </c>
      <c r="J98" s="418" t="n">
        <f aca="false">J97+0.5*(vit_x+G97)*pas*(K97&gt;=0)</f>
        <v>7.0529124843353</v>
      </c>
      <c r="K98" s="419" t="n">
        <f aca="false">K97+0.5*(vit_z+H97)*pas</f>
        <v>37.166339577497</v>
      </c>
      <c r="L98" s="417" t="n">
        <f aca="false">SQRT(pos_x^2+pos_z^2)</f>
        <v>37.8296229442154</v>
      </c>
      <c r="M98" s="418" t="n">
        <f aca="false">IF(AND(L97&gt;L_rampe,G98&gt;0),ATAN2(G98,H98),$M$4)</f>
        <v>1.37400134973596</v>
      </c>
      <c r="N98" s="417" t="n">
        <f aca="false">DEGREES(Beta)</f>
        <v>78.7244783851488</v>
      </c>
      <c r="O98" s="401"/>
      <c r="P98" s="420" t="n">
        <f aca="false">MATCH(t-pas/2-T_ini,CdP_t)</f>
        <v>3</v>
      </c>
      <c r="Q98" s="417" t="n">
        <f aca="false">(INDEX(CdP,2,i_P+1)-INDEX(CdP,2,i_P+0))/(INDEX(CdP,1,i_P+1)-INDEX(CdP,1,i_P+0))*(t-pas/2-T_ini-INDEX(CdP,1,i_P+0))+INDEX(CdP,2,i_P+0)</f>
        <v>746.67</v>
      </c>
      <c r="R98" s="418" t="n">
        <f aca="false">Poussee/(g*ISP)</f>
        <v>0.374718884359955</v>
      </c>
      <c r="S98" s="419" t="n">
        <f aca="false">S97-Débit*pas</f>
        <v>8.03837504880075</v>
      </c>
      <c r="T98" s="417" t="n">
        <f aca="false">m*g</f>
        <v>78.8564592287354</v>
      </c>
      <c r="U98" s="421" t="n">
        <f aca="false">IF(pos_xz&lt;L_rampe,Poids*COS(Beta),0)</f>
        <v>0</v>
      </c>
      <c r="V98" s="418" t="n">
        <f aca="false">Rho_moyen*(20000-Alt_rampe-pos_z)/(20000+Alt_rampe+pos_z)</f>
        <v>1.22045556839617</v>
      </c>
      <c r="W98" s="417" t="n">
        <f aca="false">1/2*Rho*Sref*Cx*vit_xz^2</f>
        <v>24.2050831477652</v>
      </c>
      <c r="X98" s="401"/>
      <c r="Y98" s="422" t="str">
        <f aca="false">IF(AND(pos_z&lt;=0,K97&gt;0),"Impact balistique","") &amp; IF(AND(H99&lt;0,vit_z&gt;=0),"Apogée","") &amp; IF(AND(Poussee=0,Q97&gt;0),"Fin de propulsion","") &amp; IF(AND(L99&gt;L_rampe,pos_xz&lt;=L_rampe),"Sortie de rampe","")</f>
        <v/>
      </c>
      <c r="Z98" s="423" t="str">
        <f aca="false">IF(ABS(t-T_para)&lt;pas/2,"Para","")</f>
        <v/>
      </c>
      <c r="AA98" s="424" t="str">
        <f aca="false">IF(ABS(t-T_satellite)&lt;pas/2,"Satellite","")</f>
        <v/>
      </c>
      <c r="AB98" s="412"/>
      <c r="AC98" s="420" t="e">
        <f aca="false">IF(ABS(t-ROUND(t,0))&lt;0.001,t,NA())</f>
        <v>#N/A</v>
      </c>
      <c r="AD98" s="425" t="e">
        <f aca="false">IF(ABS(t-ROUND(t,0))&lt;0.001,pos_x,NA())</f>
        <v>#N/A</v>
      </c>
      <c r="AE98" s="426" t="n">
        <f aca="false">IF(t&lt;T_para, pos_z, NA())</f>
        <v>37.166339577497</v>
      </c>
      <c r="AF98" s="412"/>
      <c r="AG98" s="418" t="n">
        <f aca="false">IF(AND(L97&lt;L_rampe,Poussee&lt;Poids*SIN(M97)),0,(-W97+Poussee)/m-Poids*SIN(M97)/m)</f>
        <v>80.3155729934765</v>
      </c>
      <c r="AH98" s="417" t="n">
        <f aca="false">IF(AND(L97&lt;L_rampe,Poussee&lt;Poids*SIN(M97)), g*SIN(M97), (-W97+Poussee)/m)</f>
        <v>89.9366804444862</v>
      </c>
    </row>
    <row r="99" customFormat="false" ht="12" hidden="false" customHeight="false" outlineLevel="0" collapsed="false">
      <c r="A99" s="416" t="n">
        <f aca="false">IF(B98+0.01&lt;=T_ini+ROUNDUP(Temps_fin_propu,0), 0.01, IF(K98&gt;0, 0.1, 0.0001))</f>
        <v>0.01</v>
      </c>
      <c r="B99" s="417" t="n">
        <f aca="false">B98+pas</f>
        <v>0.950000000000001</v>
      </c>
      <c r="C99" s="401"/>
      <c r="D99" s="418" t="n">
        <f aca="false">IF(AND(L98&lt;L_rampe,Poussee&lt;Poids*SIN(M98)),0,(-W98+Poussee)/m*COS(M98)-U98/m*SIN(M98))</f>
        <v>17.5528604718274</v>
      </c>
      <c r="E99" s="419" t="n">
        <f aca="false">IF(AND(L98&lt;L_rampe,Poussee&lt;Poids*SIN(M98)),0,(-W98+Poussee)/m*SIN(M98)+U98/m*COS(M98)-Poids/m)</f>
        <v>78.2292185360249</v>
      </c>
      <c r="F99" s="417" t="n">
        <f aca="false">SQRT(acc_x^2+acc_z^2)</f>
        <v>80.1742698345334</v>
      </c>
      <c r="G99" s="418" t="n">
        <f aca="false">G98+acc_x*pas</f>
        <v>15.8784907318736</v>
      </c>
      <c r="H99" s="419" t="n">
        <f aca="false">H98+acc_z*pas</f>
        <v>79.5430455448735</v>
      </c>
      <c r="I99" s="417" t="n">
        <f aca="false">SQRT(vit_x^2+vit_z^2)</f>
        <v>81.1124069577276</v>
      </c>
      <c r="J99" s="418" t="n">
        <f aca="false">J98+0.5*(vit_x+G98)*pas*(K98&gt;=0)</f>
        <v>7.21081974863045</v>
      </c>
      <c r="K99" s="419" t="n">
        <f aca="false">K98+0.5*(vit_z+H98)*pas</f>
        <v>37.9578585720189</v>
      </c>
      <c r="L99" s="417" t="n">
        <f aca="false">SQRT(pos_x^2+pos_z^2)</f>
        <v>38.6367046837671</v>
      </c>
      <c r="M99" s="418" t="n">
        <f aca="false">IF(AND(L98&gt;L_rampe,G99&gt;0),ATAN2(G99,H99),$M$4)</f>
        <v>1.37376487276222</v>
      </c>
      <c r="N99" s="417" t="n">
        <f aca="false">DEGREES(Beta)</f>
        <v>78.710929252602</v>
      </c>
      <c r="O99" s="401"/>
      <c r="P99" s="420" t="n">
        <f aca="false">MATCH(t-pas/2-T_ini,CdP_t)</f>
        <v>3</v>
      </c>
      <c r="Q99" s="417" t="n">
        <f aca="false">(INDEX(CdP,2,i_P+1)-INDEX(CdP,2,i_P+0))/(INDEX(CdP,1,i_P+1)-INDEX(CdP,1,i_P+0))*(t-pas/2-T_ini-INDEX(CdP,1,i_P+0))+INDEX(CdP,2,i_P+0)</f>
        <v>745.49</v>
      </c>
      <c r="R99" s="418" t="n">
        <f aca="false">Poussee/(g*ISP)</f>
        <v>0.374126697338186</v>
      </c>
      <c r="S99" s="419" t="n">
        <f aca="false">S98-Débit*pas</f>
        <v>8.03463378182737</v>
      </c>
      <c r="T99" s="417" t="n">
        <f aca="false">m*g</f>
        <v>78.8197573997265</v>
      </c>
      <c r="U99" s="421" t="n">
        <f aca="false">IF(pos_xz&lt;L_rampe,Poids*COS(Beta),0)</f>
        <v>0</v>
      </c>
      <c r="V99" s="418" t="n">
        <f aca="false">Rho_moyen*(20000-Alt_rampe-pos_z)/(20000+Alt_rampe+pos_z)</f>
        <v>1.22035897050199</v>
      </c>
      <c r="W99" s="417" t="n">
        <f aca="false">1/2*Rho*Sref*Cx*vit_xz^2</f>
        <v>24.6886809878397</v>
      </c>
      <c r="X99" s="401"/>
      <c r="Y99" s="422" t="str">
        <f aca="false">IF(AND(pos_z&lt;=0,K98&gt;0),"Impact balistique","") &amp; IF(AND(H100&lt;0,vit_z&gt;=0),"Apogée","") &amp; IF(AND(Poussee=0,Q98&gt;0),"Fin de propulsion","") &amp; IF(AND(L100&gt;L_rampe,pos_xz&lt;=L_rampe),"Sortie de rampe","")</f>
        <v/>
      </c>
      <c r="Z99" s="423" t="str">
        <f aca="false">IF(ABS(t-T_para)&lt;pas/2,"Para","")</f>
        <v/>
      </c>
      <c r="AA99" s="424" t="str">
        <f aca="false">IF(ABS(t-T_satellite)&lt;pas/2,"Satellite","")</f>
        <v/>
      </c>
      <c r="AB99" s="412"/>
      <c r="AC99" s="420" t="e">
        <f aca="false">IF(ABS(t-ROUND(t,0))&lt;0.001,t,NA())</f>
        <v>#N/A</v>
      </c>
      <c r="AD99" s="425" t="e">
        <f aca="false">IF(ABS(t-ROUND(t,0))&lt;0.001,pos_x,NA())</f>
        <v>#N/A</v>
      </c>
      <c r="AE99" s="426" t="n">
        <f aca="false">IF(t&lt;T_para, pos_z, NA())</f>
        <v>37.9578585720189</v>
      </c>
      <c r="AF99" s="412"/>
      <c r="AG99" s="418" t="n">
        <f aca="false">IF(AND(L98&lt;L_rampe,Poussee&lt;Poids*SIN(M98)),0,(-W98+Poussee)/m-Poids*SIN(M98)/m)</f>
        <v>80.1513215916848</v>
      </c>
      <c r="AH99" s="417" t="n">
        <f aca="false">IF(AND(L98&lt;L_rampe,Poussee&lt;Poids*SIN(M98)), g*SIN(M98), (-W98+Poussee)/m)</f>
        <v>89.7719717460711</v>
      </c>
    </row>
    <row r="100" customFormat="false" ht="12" hidden="false" customHeight="false" outlineLevel="0" collapsed="false">
      <c r="A100" s="416" t="n">
        <f aca="false">IF(B99+0.01&lt;=T_ini+ROUNDUP(Temps_fin_propu,0), 0.01, IF(K99&gt;0, 0.1, 0.0001))</f>
        <v>0.01</v>
      </c>
      <c r="B100" s="417" t="n">
        <f aca="false">B99+pas</f>
        <v>0.960000000000001</v>
      </c>
      <c r="C100" s="401"/>
      <c r="D100" s="418" t="n">
        <f aca="false">IF(AND(L99&lt;L_rampe,Poussee&lt;Poids*SIN(M99)),0,(-W99+Poussee)/m*COS(M99)-U99/m*SIN(M99))</f>
        <v>17.5413017009762</v>
      </c>
      <c r="E100" s="419" t="n">
        <f aca="false">IF(AND(L99&lt;L_rampe,Poussee&lt;Poids*SIN(M99)),0,(-W99+Poussee)/m*SIN(M99)+U99/m*COS(M99)-Poids/m)</f>
        <v>78.0628705188769</v>
      </c>
      <c r="F100" s="417" t="n">
        <f aca="false">SQRT(acc_x^2+acc_z^2)</f>
        <v>80.0094308129461</v>
      </c>
      <c r="G100" s="418" t="n">
        <f aca="false">G99+acc_x*pas</f>
        <v>16.0539037488834</v>
      </c>
      <c r="H100" s="419" t="n">
        <f aca="false">H99+acc_z*pas</f>
        <v>80.3236742500623</v>
      </c>
      <c r="I100" s="417" t="n">
        <f aca="false">SQRT(vit_x^2+vit_z^2)</f>
        <v>81.9122730157608</v>
      </c>
      <c r="J100" s="418" t="n">
        <f aca="false">J99+0.5*(vit_x+G99)*pas*(K99&gt;=0)</f>
        <v>7.37048172103423</v>
      </c>
      <c r="K100" s="419" t="n">
        <f aca="false">K99+0.5*(vit_z+H99)*pas</f>
        <v>38.7571921709936</v>
      </c>
      <c r="L100" s="417" t="n">
        <f aca="false">SQRT(pos_x^2+pos_z^2)</f>
        <v>39.4517926814413</v>
      </c>
      <c r="M100" s="418" t="n">
        <f aca="false">IF(AND(L99&gt;L_rampe,G100&gt;0),ATAN2(G100,H100),$M$4)</f>
        <v>1.37353042722793</v>
      </c>
      <c r="N100" s="417" t="n">
        <f aca="false">DEGREES(Beta)</f>
        <v>78.6974965129613</v>
      </c>
      <c r="O100" s="401"/>
      <c r="P100" s="420" t="n">
        <f aca="false">MATCH(t-pas/2-T_ini,CdP_t)</f>
        <v>3</v>
      </c>
      <c r="Q100" s="417" t="n">
        <f aca="false">(INDEX(CdP,2,i_P+1)-INDEX(CdP,2,i_P+0))/(INDEX(CdP,1,i_P+1)-INDEX(CdP,1,i_P+0))*(t-pas/2-T_ini-INDEX(CdP,1,i_P+0))+INDEX(CdP,2,i_P+0)</f>
        <v>744.31</v>
      </c>
      <c r="R100" s="418" t="n">
        <f aca="false">Poussee/(g*ISP)</f>
        <v>0.373534510316416</v>
      </c>
      <c r="S100" s="419" t="n">
        <f aca="false">S99-Débit*pas</f>
        <v>8.0308984367242</v>
      </c>
      <c r="T100" s="417" t="n">
        <f aca="false">m*g</f>
        <v>78.7831136642644</v>
      </c>
      <c r="U100" s="421" t="n">
        <f aca="false">IF(pos_xz&lt;L_rampe,Poids*COS(Beta),0)</f>
        <v>0</v>
      </c>
      <c r="V100" s="418" t="n">
        <f aca="false">Rho_moyen*(20000-Alt_rampe-pos_z)/(20000+Alt_rampe+pos_z)</f>
        <v>1.22026142664895</v>
      </c>
      <c r="W100" s="417" t="n">
        <f aca="false">1/2*Rho*Sref*Cx*vit_xz^2</f>
        <v>25.1759895885298</v>
      </c>
      <c r="X100" s="401"/>
      <c r="Y100" s="422" t="str">
        <f aca="false">IF(AND(pos_z&lt;=0,K99&gt;0),"Impact balistique","") &amp; IF(AND(H101&lt;0,vit_z&gt;=0),"Apogée","") &amp; IF(AND(Poussee=0,Q99&gt;0),"Fin de propulsion","") &amp; IF(AND(L101&gt;L_rampe,pos_xz&lt;=L_rampe),"Sortie de rampe","")</f>
        <v/>
      </c>
      <c r="Z100" s="423" t="str">
        <f aca="false">IF(ABS(t-T_para)&lt;pas/2,"Para","")</f>
        <v/>
      </c>
      <c r="AA100" s="424" t="str">
        <f aca="false">IF(ABS(t-T_satellite)&lt;pas/2,"Satellite","")</f>
        <v/>
      </c>
      <c r="AB100" s="412"/>
      <c r="AC100" s="420" t="e">
        <f aca="false">IF(ABS(t-ROUND(t,0))&lt;0.001,t,NA())</f>
        <v>#N/A</v>
      </c>
      <c r="AD100" s="425" t="e">
        <f aca="false">IF(ABS(t-ROUND(t,0))&lt;0.001,pos_x,NA())</f>
        <v>#N/A</v>
      </c>
      <c r="AE100" s="426" t="n">
        <f aca="false">IF(t&lt;T_para, pos_z, NA())</f>
        <v>38.7571921709936</v>
      </c>
      <c r="AF100" s="412"/>
      <c r="AG100" s="418" t="n">
        <f aca="false">IF(AND(L99&lt;L_rampe,Poussee&lt;Poids*SIN(M99)),0,(-W99+Poussee)/m-Poids*SIN(M99)/m)</f>
        <v>79.9863806891066</v>
      </c>
      <c r="AH100" s="417" t="n">
        <f aca="false">IF(AND(L99&lt;L_rampe,Poussee&lt;Poids*SIN(M99)), g*SIN(M99), (-W99+Poussee)/m)</f>
        <v>89.6065769828977</v>
      </c>
    </row>
    <row r="101" customFormat="false" ht="12" hidden="false" customHeight="false" outlineLevel="0" collapsed="false">
      <c r="A101" s="416" t="n">
        <f aca="false">IF(B100+0.01&lt;=T_ini+ROUNDUP(Temps_fin_propu,0), 0.01, IF(K100&gt;0, 0.1, 0.0001))</f>
        <v>0.01</v>
      </c>
      <c r="B101" s="417" t="n">
        <f aca="false">B100+pas</f>
        <v>0.970000000000001</v>
      </c>
      <c r="C101" s="401"/>
      <c r="D101" s="418" t="n">
        <f aca="false">IF(AND(L100&lt;L_rampe,Poussee&lt;Poids*SIN(M100)),0,(-W100+Poussee)/m*COS(M100)-U100/m*SIN(M100))</f>
        <v>17.5293533668187</v>
      </c>
      <c r="E101" s="419" t="n">
        <f aca="false">IF(AND(L100&lt;L_rampe,Poussee&lt;Poids*SIN(M100)),0,(-W100+Poussee)/m*SIN(M100)+U100/m*COS(M100)-Poids/m)</f>
        <v>77.8958995540891</v>
      </c>
      <c r="F101" s="417" t="n">
        <f aca="false">SQRT(acc_x^2+acc_z^2)</f>
        <v>79.8439064475151</v>
      </c>
      <c r="G101" s="418" t="n">
        <f aca="false">G100+acc_x*pas</f>
        <v>16.2291972825516</v>
      </c>
      <c r="H101" s="419" t="n">
        <f aca="false">H100+acc_z*pas</f>
        <v>81.1026332456032</v>
      </c>
      <c r="I101" s="417" t="n">
        <f aca="false">SQRT(vit_x^2+vit_z^2)</f>
        <v>82.7104827927319</v>
      </c>
      <c r="J101" s="418" t="n">
        <f aca="false">J100+0.5*(vit_x+G100)*pas*(K100&gt;=0)</f>
        <v>7.53189722619141</v>
      </c>
      <c r="K101" s="419" t="n">
        <f aca="false">K100+0.5*(vit_z+H100)*pas</f>
        <v>39.5643237084719</v>
      </c>
      <c r="L101" s="417" t="n">
        <f aca="false">SQRT(pos_x^2+pos_z^2)</f>
        <v>40.2748704074223</v>
      </c>
      <c r="M101" s="418" t="n">
        <f aca="false">IF(AND(L100&gt;L_rampe,G101&gt;0),ATAN2(G101,H101),$M$4)</f>
        <v>1.37329797156387</v>
      </c>
      <c r="N101" s="417" t="n">
        <f aca="false">DEGREES(Beta)</f>
        <v>78.6841777844868</v>
      </c>
      <c r="O101" s="401"/>
      <c r="P101" s="420" t="n">
        <f aca="false">MATCH(t-pas/2-T_ini,CdP_t)</f>
        <v>3</v>
      </c>
      <c r="Q101" s="417" t="n">
        <f aca="false">(INDEX(CdP,2,i_P+1)-INDEX(CdP,2,i_P+0))/(INDEX(CdP,1,i_P+1)-INDEX(CdP,1,i_P+0))*(t-pas/2-T_ini-INDEX(CdP,1,i_P+0))+INDEX(CdP,2,i_P+0)</f>
        <v>743.13</v>
      </c>
      <c r="R101" s="418" t="n">
        <f aca="false">Poussee/(g*ISP)</f>
        <v>0.372942323294646</v>
      </c>
      <c r="S101" s="419" t="n">
        <f aca="false">S100-Débit*pas</f>
        <v>8.02716901349126</v>
      </c>
      <c r="T101" s="417" t="n">
        <f aca="false">m*g</f>
        <v>78.7465280223492</v>
      </c>
      <c r="U101" s="421" t="n">
        <f aca="false">IF(pos_xz&lt;L_rampe,Poids*COS(Beta),0)</f>
        <v>0</v>
      </c>
      <c r="V101" s="418" t="n">
        <f aca="false">Rho_moyen*(20000-Alt_rampe-pos_z)/(20000+Alt_rampe+pos_z)</f>
        <v>1.22016293909788</v>
      </c>
      <c r="W101" s="417" t="n">
        <f aca="false">1/2*Rho*Sref*Cx*vit_xz^2</f>
        <v>25.6669729919559</v>
      </c>
      <c r="X101" s="401"/>
      <c r="Y101" s="422" t="str">
        <f aca="false">IF(AND(pos_z&lt;=0,K100&gt;0),"Impact balistique","") &amp; IF(AND(H102&lt;0,vit_z&gt;=0),"Apogée","") &amp; IF(AND(Poussee=0,Q100&gt;0),"Fin de propulsion","") &amp; IF(AND(L102&gt;L_rampe,pos_xz&lt;=L_rampe),"Sortie de rampe","")</f>
        <v/>
      </c>
      <c r="Z101" s="423" t="str">
        <f aca="false">IF(ABS(t-T_para)&lt;pas/2,"Para","")</f>
        <v/>
      </c>
      <c r="AA101" s="424" t="str">
        <f aca="false">IF(ABS(t-T_satellite)&lt;pas/2,"Satellite","")</f>
        <v/>
      </c>
      <c r="AB101" s="412"/>
      <c r="AC101" s="420" t="e">
        <f aca="false">IF(ABS(t-ROUND(t,0))&lt;0.001,t,NA())</f>
        <v>#N/A</v>
      </c>
      <c r="AD101" s="425" t="e">
        <f aca="false">IF(ABS(t-ROUND(t,0))&lt;0.001,pos_x,NA())</f>
        <v>#N/A</v>
      </c>
      <c r="AE101" s="426" t="n">
        <f aca="false">IF(t&lt;T_para, pos_z, NA())</f>
        <v>39.5643237084719</v>
      </c>
      <c r="AF101" s="412"/>
      <c r="AG101" s="418" t="n">
        <f aca="false">IF(AND(L100&lt;L_rampe,Poussee&lt;Poids*SIN(M100)),0,(-W100+Poussee)/m-Poids*SIN(M100)/m)</f>
        <v>79.8207542314356</v>
      </c>
      <c r="AH101" s="417" t="n">
        <f aca="false">IF(AND(L100&lt;L_rampe,Poussee&lt;Poids*SIN(M100)), g*SIN(M100), (-W100+Poussee)/m)</f>
        <v>89.4405000324281</v>
      </c>
    </row>
    <row r="102" customFormat="false" ht="12" hidden="false" customHeight="false" outlineLevel="0" collapsed="false">
      <c r="A102" s="416" t="n">
        <f aca="false">IF(B101+0.01&lt;=T_ini+ROUNDUP(Temps_fin_propu,0), 0.01, IF(K101&gt;0, 0.1, 0.0001))</f>
        <v>0.01</v>
      </c>
      <c r="B102" s="417" t="n">
        <f aca="false">B101+pas</f>
        <v>0.980000000000001</v>
      </c>
      <c r="C102" s="401"/>
      <c r="D102" s="418" t="n">
        <f aca="false">IF(AND(L101&lt;L_rampe,Poussee&lt;Poids*SIN(M101)),0,(-W101+Poussee)/m*COS(M101)-U101/m*SIN(M101))</f>
        <v>17.5170204244111</v>
      </c>
      <c r="E102" s="419" t="n">
        <f aca="false">IF(AND(L101&lt;L_rampe,Poussee&lt;Poids*SIN(M101)),0,(-W101+Poussee)/m*SIN(M101)+U101/m*COS(M101)-Poids/m)</f>
        <v>77.7283087840186</v>
      </c>
      <c r="F102" s="417" t="n">
        <f aca="false">SQRT(acc_x^2+acc_z^2)</f>
        <v>79.6777007133926</v>
      </c>
      <c r="G102" s="418" t="n">
        <f aca="false">G101+acc_x*pas</f>
        <v>16.4043674867957</v>
      </c>
      <c r="H102" s="419" t="n">
        <f aca="false">H101+acc_z*pas</f>
        <v>81.8799163334434</v>
      </c>
      <c r="I102" s="417" t="n">
        <f aca="false">SQRT(vit_x^2+vit_z^2)</f>
        <v>83.5070294730541</v>
      </c>
      <c r="J102" s="418" t="n">
        <f aca="false">J101+0.5*(vit_x+G101)*pas*(K101&gt;=0)</f>
        <v>7.69506505003815</v>
      </c>
      <c r="K102" s="419" t="n">
        <f aca="false">K101+0.5*(vit_z+H101)*pas</f>
        <v>40.3792364563671</v>
      </c>
      <c r="L102" s="417" t="n">
        <f aca="false">SQRT(pos_x^2+pos_z^2)</f>
        <v>41.10592126353</v>
      </c>
      <c r="M102" s="418" t="n">
        <f aca="false">IF(AND(L101&gt;L_rampe,G102&gt;0),ATAN2(G102,H102),$M$4)</f>
        <v>1.37306746544426</v>
      </c>
      <c r="N102" s="417" t="n">
        <f aca="false">DEGREES(Beta)</f>
        <v>78.6709707566813</v>
      </c>
      <c r="O102" s="401"/>
      <c r="P102" s="420" t="n">
        <f aca="false">MATCH(t-pas/2-T_ini,CdP_t)</f>
        <v>3</v>
      </c>
      <c r="Q102" s="417" t="n">
        <f aca="false">(INDEX(CdP,2,i_P+1)-INDEX(CdP,2,i_P+0))/(INDEX(CdP,1,i_P+1)-INDEX(CdP,1,i_P+0))*(t-pas/2-T_ini-INDEX(CdP,1,i_P+0))+INDEX(CdP,2,i_P+0)</f>
        <v>741.95</v>
      </c>
      <c r="R102" s="418" t="n">
        <f aca="false">Poussee/(g*ISP)</f>
        <v>0.372350136272877</v>
      </c>
      <c r="S102" s="419" t="n">
        <f aca="false">S101-Débit*pas</f>
        <v>8.02344551212853</v>
      </c>
      <c r="T102" s="417" t="n">
        <f aca="false">m*g</f>
        <v>78.7100004739809</v>
      </c>
      <c r="U102" s="421" t="n">
        <f aca="false">IF(pos_xz&lt;L_rampe,Poids*COS(Beta),0)</f>
        <v>0</v>
      </c>
      <c r="V102" s="418" t="n">
        <f aca="false">Rho_moyen*(20000-Alt_rampe-pos_z)/(20000+Alt_rampe+pos_z)</f>
        <v>1.2200635101187</v>
      </c>
      <c r="W102" s="417" t="n">
        <f aca="false">1/2*Rho*Sref*Cx*vit_xz^2</f>
        <v>26.1615951596613</v>
      </c>
      <c r="X102" s="401"/>
      <c r="Y102" s="422" t="str">
        <f aca="false">IF(AND(pos_z&lt;=0,K101&gt;0),"Impact balistique","") &amp; IF(AND(H103&lt;0,vit_z&gt;=0),"Apogée","") &amp; IF(AND(Poussee=0,Q101&gt;0),"Fin de propulsion","") &amp; IF(AND(L103&gt;L_rampe,pos_xz&lt;=L_rampe),"Sortie de rampe","")</f>
        <v/>
      </c>
      <c r="Z102" s="423" t="str">
        <f aca="false">IF(ABS(t-T_para)&lt;pas/2,"Para","")</f>
        <v/>
      </c>
      <c r="AA102" s="424" t="str">
        <f aca="false">IF(ABS(t-T_satellite)&lt;pas/2,"Satellite","")</f>
        <v/>
      </c>
      <c r="AB102" s="412"/>
      <c r="AC102" s="420" t="e">
        <f aca="false">IF(ABS(t-ROUND(t,0))&lt;0.001,t,NA())</f>
        <v>#N/A</v>
      </c>
      <c r="AD102" s="425" t="e">
        <f aca="false">IF(ABS(t-ROUND(t,0))&lt;0.001,pos_x,NA())</f>
        <v>#N/A</v>
      </c>
      <c r="AE102" s="426" t="n">
        <f aca="false">IF(t&lt;T_para, pos_z, NA())</f>
        <v>40.3792364563671</v>
      </c>
      <c r="AF102" s="412"/>
      <c r="AG102" s="418" t="n">
        <f aca="false">IF(AND(L101&lt;L_rampe,Poussee&lt;Poids*SIN(M101)),0,(-W101+Poussee)/m-Poids*SIN(M101)/m)</f>
        <v>79.6544461829746</v>
      </c>
      <c r="AH102" s="417" t="n">
        <f aca="false">IF(AND(L101&lt;L_rampe,Poussee&lt;Poids*SIN(M101)), g*SIN(M101), (-W101+Poussee)/m)</f>
        <v>89.2737447927184</v>
      </c>
    </row>
    <row r="103" customFormat="false" ht="12" hidden="false" customHeight="false" outlineLevel="0" collapsed="false">
      <c r="A103" s="416" t="n">
        <f aca="false">IF(B102+0.01&lt;=T_ini+ROUNDUP(Temps_fin_propu,0), 0.01, IF(K102&gt;0, 0.1, 0.0001))</f>
        <v>0.01</v>
      </c>
      <c r="B103" s="417" t="n">
        <f aca="false">B102+pas</f>
        <v>0.990000000000001</v>
      </c>
      <c r="C103" s="401"/>
      <c r="D103" s="418" t="n">
        <f aca="false">IF(AND(L102&lt;L_rampe,Poussee&lt;Poids*SIN(M102)),0,(-W102+Poussee)/m*COS(M102)-U102/m*SIN(M102))</f>
        <v>17.5043077075739</v>
      </c>
      <c r="E103" s="419" t="n">
        <f aca="false">IF(AND(L102&lt;L_rampe,Poussee&lt;Poids*SIN(M102)),0,(-W102+Poussee)/m*SIN(M102)+U102/m*COS(M102)-Poids/m)</f>
        <v>77.5601013906609</v>
      </c>
      <c r="F103" s="417" t="n">
        <f aca="false">SQRT(acc_x^2+acc_z^2)</f>
        <v>79.5108176039653</v>
      </c>
      <c r="G103" s="418" t="n">
        <f aca="false">G102+acc_x*pas</f>
        <v>16.5794105638714</v>
      </c>
      <c r="H103" s="419" t="n">
        <f aca="false">H102+acc_z*pas</f>
        <v>82.65551734735</v>
      </c>
      <c r="I103" s="417" t="n">
        <f aca="false">SQRT(vit_x^2+vit_z^2)</f>
        <v>84.3019062809584</v>
      </c>
      <c r="J103" s="418" t="n">
        <f aca="false">J102+0.5*(vit_x+G102)*pas*(K102&gt;=0)</f>
        <v>7.85998394029148</v>
      </c>
      <c r="K103" s="419" t="n">
        <f aca="false">K102+0.5*(vit_z+H102)*pas</f>
        <v>41.2019136247711</v>
      </c>
      <c r="L103" s="417" t="n">
        <f aca="false">SQRT(pos_x^2+pos_z^2)</f>
        <v>41.9449285836171</v>
      </c>
      <c r="M103" s="418" t="n">
        <f aca="false">IF(AND(L102&gt;L_rampe,G103&gt;0),ATAN2(G103,H103),$M$4)</f>
        <v>1.3728388697371</v>
      </c>
      <c r="N103" s="417" t="n">
        <f aca="false">DEGREES(Beta)</f>
        <v>78.6578731874459</v>
      </c>
      <c r="O103" s="401"/>
      <c r="P103" s="420" t="n">
        <f aca="false">MATCH(t-pas/2-T_ini,CdP_t)</f>
        <v>3</v>
      </c>
      <c r="Q103" s="417" t="n">
        <f aca="false">(INDEX(CdP,2,i_P+1)-INDEX(CdP,2,i_P+0))/(INDEX(CdP,1,i_P+1)-INDEX(CdP,1,i_P+0))*(t-pas/2-T_ini-INDEX(CdP,1,i_P+0))+INDEX(CdP,2,i_P+0)</f>
        <v>740.77</v>
      </c>
      <c r="R103" s="418" t="n">
        <f aca="false">Poussee/(g*ISP)</f>
        <v>0.371757949251107</v>
      </c>
      <c r="S103" s="419" t="n">
        <f aca="false">S102-Débit*pas</f>
        <v>8.01972793263602</v>
      </c>
      <c r="T103" s="417" t="n">
        <f aca="false">m*g</f>
        <v>78.6735310191593</v>
      </c>
      <c r="U103" s="421" t="n">
        <f aca="false">IF(pos_xz&lt;L_rampe,Poids*COS(Beta),0)</f>
        <v>0</v>
      </c>
      <c r="V103" s="418" t="n">
        <f aca="false">Rho_moyen*(20000-Alt_rampe-pos_z)/(20000+Alt_rampe+pos_z)</f>
        <v>1.2199631419904</v>
      </c>
      <c r="W103" s="417" t="n">
        <f aca="false">1/2*Rho*Sref*Cx*vit_xz^2</f>
        <v>26.6598199751449</v>
      </c>
      <c r="X103" s="401"/>
      <c r="Y103" s="422" t="str">
        <f aca="false">IF(AND(pos_z&lt;=0,K102&gt;0),"Impact balistique","") &amp; IF(AND(H104&lt;0,vit_z&gt;=0),"Apogée","") &amp; IF(AND(Poussee=0,Q102&gt;0),"Fin de propulsion","") &amp; IF(AND(L104&gt;L_rampe,pos_xz&lt;=L_rampe),"Sortie de rampe","")</f>
        <v/>
      </c>
      <c r="Z103" s="423" t="str">
        <f aca="false">IF(ABS(t-T_para)&lt;pas/2,"Para","")</f>
        <v/>
      </c>
      <c r="AA103" s="424" t="str">
        <f aca="false">IF(ABS(t-T_satellite)&lt;pas/2,"Satellite","")</f>
        <v/>
      </c>
      <c r="AB103" s="412"/>
      <c r="AC103" s="420" t="e">
        <f aca="false">IF(ABS(t-ROUND(t,0))&lt;0.001,t,NA())</f>
        <v>#N/A</v>
      </c>
      <c r="AD103" s="425" t="e">
        <f aca="false">IF(ABS(t-ROUND(t,0))&lt;0.001,pos_x,NA())</f>
        <v>#N/A</v>
      </c>
      <c r="AE103" s="426" t="n">
        <f aca="false">IF(t&lt;T_para, pos_z, NA())</f>
        <v>41.2019136247711</v>
      </c>
      <c r="AF103" s="412"/>
      <c r="AG103" s="418" t="n">
        <f aca="false">IF(AND(L102&lt;L_rampe,Poussee&lt;Poids*SIN(M102)),0,(-W102+Poussee)/m-Poids*SIN(M102)/m)</f>
        <v>79.4874605264166</v>
      </c>
      <c r="AH103" s="417" t="n">
        <f aca="false">IF(AND(L102&lt;L_rampe,Poussee&lt;Poids*SIN(M102)), g*SIN(M102), (-W102+Poussee)/m)</f>
        <v>89.1063151821228</v>
      </c>
    </row>
    <row r="104" customFormat="false" ht="12" hidden="false" customHeight="false" outlineLevel="0" collapsed="false">
      <c r="A104" s="416" t="n">
        <f aca="false">IF(B103+0.01&lt;=T_ini+ROUNDUP(Temps_fin_propu,0), 0.01, IF(K103&gt;0, 0.1, 0.0001))</f>
        <v>0.01</v>
      </c>
      <c r="B104" s="417" t="n">
        <f aca="false">B103+pas</f>
        <v>1</v>
      </c>
      <c r="C104" s="401"/>
      <c r="D104" s="418" t="n">
        <f aca="false">IF(AND(L103&lt;L_rampe,Poussee&lt;Poids*SIN(M103)),0,(-W103+Poussee)/m*COS(M103)-U103/m*SIN(M103))</f>
        <v>17.4912199339006</v>
      </c>
      <c r="E104" s="419" t="n">
        <f aca="false">IF(AND(L103&lt;L_rampe,Poussee&lt;Poids*SIN(M103)),0,(-W103+Poussee)/m*SIN(M103)+U103/m*COS(M103)-Poids/m)</f>
        <v>77.3912805945765</v>
      </c>
      <c r="F104" s="417" t="n">
        <f aca="false">SQRT(acc_x^2+acc_z^2)</f>
        <v>79.3432611306376</v>
      </c>
      <c r="G104" s="418" t="n">
        <f aca="false">G103+acc_x*pas</f>
        <v>16.7543227632104</v>
      </c>
      <c r="H104" s="419" t="n">
        <f aca="false">H103+acc_z*pas</f>
        <v>83.4294301532958</v>
      </c>
      <c r="I104" s="417" t="n">
        <f aca="false">SQRT(vit_x^2+vit_z^2)</f>
        <v>85.0951064806754</v>
      </c>
      <c r="J104" s="418" t="n">
        <f aca="false">J103+0.5*(vit_x+G103)*pas*(K103&gt;=0)</f>
        <v>8.02665260692689</v>
      </c>
      <c r="K104" s="419" t="n">
        <f aca="false">K103+0.5*(vit_z+H103)*pas</f>
        <v>42.0323383622743</v>
      </c>
      <c r="L104" s="417" t="n">
        <f aca="false">SQRT(pos_x^2+pos_z^2)</f>
        <v>42.7918756339682</v>
      </c>
      <c r="M104" s="418" t="n">
        <f aca="false">IF(AND(L103&gt;L_rampe,G104&gt;0),ATAN2(G104,H104),$M$4)</f>
        <v>1.37261214645697</v>
      </c>
      <c r="N104" s="417" t="n">
        <f aca="false">DEGREES(Beta)</f>
        <v>78.6448829003772</v>
      </c>
      <c r="O104" s="401"/>
      <c r="P104" s="420" t="n">
        <f aca="false">MATCH(t-pas/2-T_ini,CdP_t)</f>
        <v>3</v>
      </c>
      <c r="Q104" s="417" t="n">
        <f aca="false">(INDEX(CdP,2,i_P+1)-INDEX(CdP,2,i_P+0))/(INDEX(CdP,1,i_P+1)-INDEX(CdP,1,i_P+0))*(t-pas/2-T_ini-INDEX(CdP,1,i_P+0))+INDEX(CdP,2,i_P+0)</f>
        <v>739.59</v>
      </c>
      <c r="R104" s="418" t="n">
        <f aca="false">Poussee/(g*ISP)</f>
        <v>0.371165762229337</v>
      </c>
      <c r="S104" s="419" t="n">
        <f aca="false">S103-Débit*pas</f>
        <v>8.01601627501372</v>
      </c>
      <c r="T104" s="417" t="n">
        <f aca="false">m*g</f>
        <v>78.6371196578846</v>
      </c>
      <c r="U104" s="421" t="n">
        <f aca="false">IF(pos_xz&lt;L_rampe,Poids*COS(Beta),0)</f>
        <v>0</v>
      </c>
      <c r="V104" s="418" t="n">
        <f aca="false">Rho_moyen*(20000-Alt_rampe-pos_z)/(20000+Alt_rampe+pos_z)</f>
        <v>1.21986183700091</v>
      </c>
      <c r="W104" s="417" t="n">
        <f aca="false">1/2*Rho*Sref*Cx*vit_xz^2</f>
        <v>27.1616112463952</v>
      </c>
      <c r="X104" s="401"/>
      <c r="Y104" s="422" t="str">
        <f aca="false">IF(AND(pos_z&lt;=0,K103&gt;0),"Impact balistique","") &amp; IF(AND(H105&lt;0,vit_z&gt;=0),"Apogée","") &amp; IF(AND(Poussee=0,Q103&gt;0),"Fin de propulsion","") &amp; IF(AND(L105&gt;L_rampe,pos_xz&lt;=L_rampe),"Sortie de rampe","")</f>
        <v/>
      </c>
      <c r="Z104" s="423" t="str">
        <f aca="false">IF(ABS(t-T_para)&lt;pas/2,"Para","")</f>
        <v/>
      </c>
      <c r="AA104" s="424" t="str">
        <f aca="false">IF(ABS(t-T_satellite)&lt;pas/2,"Satellite","")</f>
        <v/>
      </c>
      <c r="AB104" s="412"/>
      <c r="AC104" s="420" t="n">
        <f aca="false">IF(ABS(t-ROUND(t,0))&lt;0.001,t,NA())</f>
        <v>1</v>
      </c>
      <c r="AD104" s="425" t="n">
        <f aca="false">IF(ABS(t-ROUND(t,0))&lt;0.001,pos_x,NA())</f>
        <v>8.02665260692689</v>
      </c>
      <c r="AE104" s="426" t="n">
        <f aca="false">IF(t&lt;T_para, pos_z, NA())</f>
        <v>42.0323383622743</v>
      </c>
      <c r="AF104" s="412"/>
      <c r="AG104" s="418" t="n">
        <f aca="false">IF(AND(L103&lt;L_rampe,Poussee&lt;Poids*SIN(M103)),0,(-W103+Poussee)/m-Poids*SIN(M103)/m)</f>
        <v>79.3198012626215</v>
      </c>
      <c r="AH104" s="417" t="n">
        <f aca="false">IF(AND(L103&lt;L_rampe,Poussee&lt;Poids*SIN(M103)), g*SIN(M103), (-W103+Poussee)/m)</f>
        <v>88.9382151389949</v>
      </c>
    </row>
    <row r="105" customFormat="false" ht="12" hidden="false" customHeight="false" outlineLevel="0" collapsed="false">
      <c r="A105" s="416" t="n">
        <f aca="false">IF(B104+0.01&lt;=T_ini+ROUNDUP(Temps_fin_propu,0), 0.01, IF(K104&gt;0, 0.1, 0.0001))</f>
        <v>0.01</v>
      </c>
      <c r="B105" s="417" t="n">
        <f aca="false">B104+pas</f>
        <v>1.01</v>
      </c>
      <c r="C105" s="401"/>
      <c r="D105" s="418" t="n">
        <f aca="false">IF(AND(L104&lt;L_rampe,Poussee&lt;Poids*SIN(M104)),0,(-W104+Poussee)/m*COS(M104)-U104/m*SIN(M104))</f>
        <v>17.4725990059657</v>
      </c>
      <c r="E105" s="419" t="n">
        <f aca="false">IF(AND(L104&lt;L_rampe,Poussee&lt;Poids*SIN(M104)),0,(-W104+Poussee)/m*SIN(M104)+U104/m*COS(M104)-Poids/m)</f>
        <v>77.1961415771266</v>
      </c>
      <c r="F105" s="417" t="n">
        <f aca="false">SQRT(acc_x^2+acc_z^2)</f>
        <v>79.1488217879398</v>
      </c>
      <c r="G105" s="418" t="n">
        <f aca="false">G104+acc_x*pas</f>
        <v>16.9290487532701</v>
      </c>
      <c r="H105" s="419" t="n">
        <f aca="false">H104+acc_z*pas</f>
        <v>84.201391569067</v>
      </c>
      <c r="I105" s="417" t="n">
        <f aca="false">SQRT(vit_x^2+vit_z^2)</f>
        <v>85.8863611632135</v>
      </c>
      <c r="J105" s="418" t="n">
        <f aca="false">J104+0.5*(vit_x+G104)*pas*(K104&gt;=0)</f>
        <v>8.19506946450929</v>
      </c>
      <c r="K105" s="419" t="n">
        <f aca="false">K104+0.5*(vit_z+H104)*pas</f>
        <v>42.8704924708862</v>
      </c>
      <c r="L105" s="417" t="n">
        <f aca="false">SQRT(pos_x^2+pos_z^2)</f>
        <v>43.6467443026904</v>
      </c>
      <c r="M105" s="418" t="n">
        <f aca="false">IF(AND(L104&gt;L_rampe,G105&gt;0),ATAN2(G105,H105),$M$4)</f>
        <v>1.37238725803362</v>
      </c>
      <c r="N105" s="417" t="n">
        <f aca="false">DEGREES(Beta)</f>
        <v>78.631997742858</v>
      </c>
      <c r="O105" s="401"/>
      <c r="P105" s="420" t="n">
        <f aca="false">MATCH(t-pas/2-T_ini,CdP_t)</f>
        <v>4</v>
      </c>
      <c r="Q105" s="417" t="n">
        <f aca="false">(INDEX(CdP,2,i_P+1)-INDEX(CdP,2,i_P+0))/(INDEX(CdP,1,i_P+1)-INDEX(CdP,1,i_P+0))*(t-pas/2-T_ini-INDEX(CdP,1,i_P+0))+INDEX(CdP,2,i_P+0)</f>
        <v>738.2</v>
      </c>
      <c r="R105" s="418" t="n">
        <f aca="false">Poussee/(g*ISP)</f>
        <v>0.370468185991829</v>
      </c>
      <c r="S105" s="419" t="n">
        <f aca="false">S104-Débit*pas</f>
        <v>8.0123115931538</v>
      </c>
      <c r="T105" s="417" t="n">
        <f aca="false">m*g</f>
        <v>78.6007767288388</v>
      </c>
      <c r="U105" s="421" t="n">
        <f aca="false">IF(pos_xz&lt;L_rampe,Poids*COS(Beta),0)</f>
        <v>0</v>
      </c>
      <c r="V105" s="418" t="n">
        <f aca="false">Rho_moyen*(20000-Alt_rampe-pos_z)/(20000+Alt_rampe+pos_z)</f>
        <v>1.21975959760389</v>
      </c>
      <c r="W105" s="417" t="n">
        <f aca="false">1/2*Rho*Sref*Cx*vit_xz^2</f>
        <v>27.6667637769528</v>
      </c>
      <c r="X105" s="401"/>
      <c r="Y105" s="422" t="str">
        <f aca="false">IF(AND(pos_z&lt;=0,K104&gt;0),"Impact balistique","") &amp; IF(AND(H106&lt;0,vit_z&gt;=0),"Apogée","") &amp; IF(AND(Poussee=0,Q104&gt;0),"Fin de propulsion","") &amp; IF(AND(L106&gt;L_rampe,pos_xz&lt;=L_rampe),"Sortie de rampe","")</f>
        <v/>
      </c>
      <c r="Z105" s="423" t="str">
        <f aca="false">IF(ABS(t-T_para)&lt;pas/2,"Para","")</f>
        <v/>
      </c>
      <c r="AA105" s="424" t="str">
        <f aca="false">IF(ABS(t-T_satellite)&lt;pas/2,"Satellite","")</f>
        <v/>
      </c>
      <c r="AB105" s="412"/>
      <c r="AC105" s="420" t="e">
        <f aca="false">IF(ABS(t-ROUND(t,0))&lt;0.001,t,NA())</f>
        <v>#N/A</v>
      </c>
      <c r="AD105" s="425" t="e">
        <f aca="false">IF(ABS(t-ROUND(t,0))&lt;0.001,pos_x,NA())</f>
        <v>#N/A</v>
      </c>
      <c r="AE105" s="426" t="n">
        <f aca="false">IF(t&lt;T_para, pos_z, NA())</f>
        <v>42.8704924708862</v>
      </c>
      <c r="AF105" s="412"/>
      <c r="AG105" s="418" t="n">
        <f aca="false">IF(AND(L104&lt;L_rampe,Poussee&lt;Poids*SIN(M104)),0,(-W104+Poussee)/m-Poids*SIN(M104)/m)</f>
        <v>79.1252510695193</v>
      </c>
      <c r="AH105" s="417" t="n">
        <f aca="false">IF(AND(L104&lt;L_rampe,Poussee&lt;Poids*SIN(M104)), g*SIN(M104), (-W104+Poussee)/m)</f>
        <v>88.7432272805214</v>
      </c>
    </row>
    <row r="106" customFormat="false" ht="12" hidden="false" customHeight="false" outlineLevel="0" collapsed="false">
      <c r="A106" s="416" t="n">
        <f aca="false">IF(B105+0.01&lt;=T_ini+ROUNDUP(Temps_fin_propu,0), 0.01, IF(K105&gt;0, 0.1, 0.0001))</f>
        <v>0.01</v>
      </c>
      <c r="B106" s="417" t="n">
        <f aca="false">B105+pas</f>
        <v>1.02</v>
      </c>
      <c r="C106" s="401"/>
      <c r="D106" s="418" t="n">
        <f aca="false">IF(AND(L105&lt;L_rampe,Poussee&lt;Poids*SIN(M105)),0,(-W105+Poussee)/m*COS(M105)-U105/m*SIN(M105))</f>
        <v>17.4484268543488</v>
      </c>
      <c r="E106" s="419" t="n">
        <f aca="false">IF(AND(L105&lt;L_rampe,Poussee&lt;Poids*SIN(M105)),0,(-W105+Poussee)/m*SIN(M105)+U105/m*COS(M105)-Poids/m)</f>
        <v>76.9746648231463</v>
      </c>
      <c r="F106" s="417" t="n">
        <f aca="false">SQRT(acc_x^2+acc_z^2)</f>
        <v>78.9274769920291</v>
      </c>
      <c r="G106" s="418" t="n">
        <f aca="false">G105+acc_x*pas</f>
        <v>17.1035330218136</v>
      </c>
      <c r="H106" s="419" t="n">
        <f aca="false">H105+acc_z*pas</f>
        <v>84.9711382172985</v>
      </c>
      <c r="I106" s="417" t="n">
        <f aca="false">SQRT(vit_x^2+vit_z^2)</f>
        <v>86.6754011918694</v>
      </c>
      <c r="J106" s="418" t="n">
        <f aca="false">J105+0.5*(vit_x+G105)*pas*(K105&gt;=0)</f>
        <v>8.36523237338471</v>
      </c>
      <c r="K106" s="419" t="n">
        <f aca="false">K105+0.5*(vit_z+H105)*pas</f>
        <v>43.716355119818</v>
      </c>
      <c r="L106" s="417" t="n">
        <f aca="false">SQRT(pos_x^2+pos_z^2)</f>
        <v>44.5095137877596</v>
      </c>
      <c r="M106" s="418" t="n">
        <f aca="false">IF(AND(L105&gt;L_rampe,G106&gt;0),ATAN2(G106,H106),$M$4)</f>
        <v>1.3721641673146</v>
      </c>
      <c r="N106" s="417" t="n">
        <f aca="false">DEGREES(Beta)</f>
        <v>78.6192155862097</v>
      </c>
      <c r="O106" s="401"/>
      <c r="P106" s="420" t="n">
        <f aca="false">MATCH(t-pas/2-T_ini,CdP_t)</f>
        <v>4</v>
      </c>
      <c r="Q106" s="417" t="n">
        <f aca="false">(INDEX(CdP,2,i_P+1)-INDEX(CdP,2,i_P+0))/(INDEX(CdP,1,i_P+1)-INDEX(CdP,1,i_P+0))*(t-pas/2-T_ini-INDEX(CdP,1,i_P+0))+INDEX(CdP,2,i_P+0)</f>
        <v>736.6</v>
      </c>
      <c r="R106" s="418" t="n">
        <f aca="false">Poussee/(g*ISP)</f>
        <v>0.369665220538582</v>
      </c>
      <c r="S106" s="419" t="n">
        <f aca="false">S105-Débit*pas</f>
        <v>8.00861494094842</v>
      </c>
      <c r="T106" s="417" t="n">
        <f aca="false">m*g</f>
        <v>78.564512570704</v>
      </c>
      <c r="U106" s="421" t="n">
        <f aca="false">IF(pos_xz&lt;L_rampe,Poids*COS(Beta),0)</f>
        <v>0</v>
      </c>
      <c r="V106" s="418" t="n">
        <f aca="false">Rho_moyen*(20000-Alt_rampe-pos_z)/(20000+Alt_rampe+pos_z)</f>
        <v>1.21965642657549</v>
      </c>
      <c r="W106" s="417" t="n">
        <f aca="false">1/2*Rho*Sref*Cx*vit_xz^2</f>
        <v>28.1750659796965</v>
      </c>
      <c r="X106" s="401"/>
      <c r="Y106" s="422" t="str">
        <f aca="false">IF(AND(pos_z&lt;=0,K105&gt;0),"Impact balistique","") &amp; IF(AND(H107&lt;0,vit_z&gt;=0),"Apogée","") &amp; IF(AND(Poussee=0,Q105&gt;0),"Fin de propulsion","") &amp; IF(AND(L107&gt;L_rampe,pos_xz&lt;=L_rampe),"Sortie de rampe","")</f>
        <v/>
      </c>
      <c r="Z106" s="423" t="str">
        <f aca="false">IF(ABS(t-T_para)&lt;pas/2,"Para","")</f>
        <v/>
      </c>
      <c r="AA106" s="424" t="str">
        <f aca="false">IF(ABS(t-T_satellite)&lt;pas/2,"Satellite","")</f>
        <v/>
      </c>
      <c r="AB106" s="412"/>
      <c r="AC106" s="420" t="e">
        <f aca="false">IF(ABS(t-ROUND(t,0))&lt;0.001,t,NA())</f>
        <v>#N/A</v>
      </c>
      <c r="AD106" s="425" t="e">
        <f aca="false">IF(ABS(t-ROUND(t,0))&lt;0.001,pos_x,NA())</f>
        <v>#N/A</v>
      </c>
      <c r="AE106" s="426" t="n">
        <f aca="false">IF(t&lt;T_para, pos_z, NA())</f>
        <v>43.716355119818</v>
      </c>
      <c r="AF106" s="412"/>
      <c r="AG106" s="418" t="n">
        <f aca="false">IF(AND(L105&lt;L_rampe,Poussee&lt;Poids*SIN(M105)),0,(-W105+Poussee)/m-Poids*SIN(M105)/m)</f>
        <v>78.9037871761549</v>
      </c>
      <c r="AH106" s="417" t="n">
        <f aca="false">IF(AND(L105&lt;L_rampe,Poussee&lt;Poids*SIN(M105)), g*SIN(M105), (-W105+Poussee)/m)</f>
        <v>88.5213287753715</v>
      </c>
    </row>
    <row r="107" customFormat="false" ht="12" hidden="false" customHeight="false" outlineLevel="0" collapsed="false">
      <c r="A107" s="416" t="n">
        <f aca="false">IF(B106+0.01&lt;=T_ini+ROUNDUP(Temps_fin_propu,0), 0.01, IF(K106&gt;0, 0.1, 0.0001))</f>
        <v>0.01</v>
      </c>
      <c r="B107" s="417" t="n">
        <f aca="false">B106+pas</f>
        <v>1.03</v>
      </c>
      <c r="C107" s="401"/>
      <c r="D107" s="418" t="n">
        <f aca="false">IF(AND(L106&lt;L_rampe,Poussee&lt;Poids*SIN(M106)),0,(-W106+Poussee)/m*COS(M106)-U106/m*SIN(M106))</f>
        <v>17.4238647970302</v>
      </c>
      <c r="E107" s="419" t="n">
        <f aca="false">IF(AND(L106&lt;L_rampe,Poussee&lt;Poids*SIN(M106)),0,(-W106+Poussee)/m*SIN(M106)+U106/m*COS(M106)-Poids/m)</f>
        <v>76.7525612006441</v>
      </c>
      <c r="F107" s="417" t="n">
        <f aca="false">SQRT(acc_x^2+acc_z^2)</f>
        <v>78.7054427299905</v>
      </c>
      <c r="G107" s="418" t="n">
        <f aca="false">G106+acc_x*pas</f>
        <v>17.2777716697839</v>
      </c>
      <c r="H107" s="419" t="n">
        <f aca="false">H106+acc_z*pas</f>
        <v>85.7386638293049</v>
      </c>
      <c r="I107" s="417" t="n">
        <f aca="false">SQRT(vit_x^2+vit_z^2)</f>
        <v>87.4622196671669</v>
      </c>
      <c r="J107" s="418" t="n">
        <f aca="false">J106+0.5*(vit_x+G106)*pas*(K106&gt;=0)</f>
        <v>8.5371388968427</v>
      </c>
      <c r="K107" s="419" t="n">
        <f aca="false">K106+0.5*(vit_z+H106)*pas</f>
        <v>44.569904130051</v>
      </c>
      <c r="L107" s="417" t="n">
        <f aca="false">SQRT(pos_x^2+pos_z^2)</f>
        <v>45.3801619070043</v>
      </c>
      <c r="M107" s="418" t="n">
        <f aca="false">IF(AND(L106&gt;L_rampe,G107&gt;0),ATAN2(G107,H107),$M$4)</f>
        <v>1.37194283823096</v>
      </c>
      <c r="N107" s="417" t="n">
        <f aca="false">DEGREES(Beta)</f>
        <v>78.6065343638335</v>
      </c>
      <c r="O107" s="401"/>
      <c r="P107" s="420" t="n">
        <f aca="false">MATCH(t-pas/2-T_ini,CdP_t)</f>
        <v>4</v>
      </c>
      <c r="Q107" s="417" t="n">
        <f aca="false">(INDEX(CdP,2,i_P+1)-INDEX(CdP,2,i_P+0))/(INDEX(CdP,1,i_P+1)-INDEX(CdP,1,i_P+0))*(t-pas/2-T_ini-INDEX(CdP,1,i_P+0))+INDEX(CdP,2,i_P+0)</f>
        <v>735</v>
      </c>
      <c r="R107" s="418" t="n">
        <f aca="false">Poussee/(g*ISP)</f>
        <v>0.368862255085335</v>
      </c>
      <c r="S107" s="419" t="n">
        <f aca="false">S106-Débit*pas</f>
        <v>8.00492631839756</v>
      </c>
      <c r="T107" s="417" t="n">
        <f aca="false">m*g</f>
        <v>78.5283271834801</v>
      </c>
      <c r="U107" s="421" t="n">
        <f aca="false">IF(pos_xz&lt;L_rampe,Poids*COS(Beta),0)</f>
        <v>0</v>
      </c>
      <c r="V107" s="418" t="n">
        <f aca="false">Rho_moyen*(20000-Alt_rampe-pos_z)/(20000+Alt_rampe+pos_z)</f>
        <v>1.21955232685755</v>
      </c>
      <c r="W107" s="417" t="n">
        <f aca="false">1/2*Rho*Sref*Cx*vit_xz^2</f>
        <v>28.6864720833667</v>
      </c>
      <c r="X107" s="401"/>
      <c r="Y107" s="422" t="str">
        <f aca="false">IF(AND(pos_z&lt;=0,K106&gt;0),"Impact balistique","") &amp; IF(AND(H108&lt;0,vit_z&gt;=0),"Apogée","") &amp; IF(AND(Poussee=0,Q106&gt;0),"Fin de propulsion","") &amp; IF(AND(L108&gt;L_rampe,pos_xz&lt;=L_rampe),"Sortie de rampe","")</f>
        <v/>
      </c>
      <c r="Z107" s="423" t="str">
        <f aca="false">IF(ABS(t-T_para)&lt;pas/2,"Para","")</f>
        <v/>
      </c>
      <c r="AA107" s="424" t="str">
        <f aca="false">IF(ABS(t-T_satellite)&lt;pas/2,"Satellite","")</f>
        <v/>
      </c>
      <c r="AB107" s="412"/>
      <c r="AC107" s="420" t="e">
        <f aca="false">IF(ABS(t-ROUND(t,0))&lt;0.001,t,NA())</f>
        <v>#N/A</v>
      </c>
      <c r="AD107" s="425" t="e">
        <f aca="false">IF(ABS(t-ROUND(t,0))&lt;0.001,pos_x,NA())</f>
        <v>#N/A</v>
      </c>
      <c r="AE107" s="426" t="n">
        <f aca="false">IF(t&lt;T_para, pos_z, NA())</f>
        <v>44.569904130051</v>
      </c>
      <c r="AF107" s="412"/>
      <c r="AG107" s="418" t="n">
        <f aca="false">IF(AND(L106&lt;L_rampe,Poussee&lt;Poids*SIN(M106)),0,(-W106+Poussee)/m-Poids*SIN(M106)/m)</f>
        <v>78.6816333060705</v>
      </c>
      <c r="AH107" s="417" t="n">
        <f aca="false">IF(AND(L106&lt;L_rampe,Poussee&lt;Poids*SIN(M106)), g*SIN(M106), (-W106+Poussee)/m)</f>
        <v>88.2987432870958</v>
      </c>
    </row>
    <row r="108" customFormat="false" ht="12" hidden="false" customHeight="false" outlineLevel="0" collapsed="false">
      <c r="A108" s="416" t="n">
        <f aca="false">IF(B107+0.01&lt;=T_ini+ROUNDUP(Temps_fin_propu,0), 0.01, IF(K107&gt;0, 0.1, 0.0001))</f>
        <v>0.01</v>
      </c>
      <c r="B108" s="417" t="n">
        <f aca="false">B107+pas</f>
        <v>1.04</v>
      </c>
      <c r="C108" s="401"/>
      <c r="D108" s="418" t="n">
        <f aca="false">IF(AND(L107&lt;L_rampe,Poussee&lt;Poids*SIN(M107)),0,(-W107+Poussee)/m*COS(M107)-U107/m*SIN(M107))</f>
        <v>17.3989177756238</v>
      </c>
      <c r="E108" s="419" t="n">
        <f aca="false">IF(AND(L107&lt;L_rampe,Poussee&lt;Poids*SIN(M107)),0,(-W107+Poussee)/m*SIN(M107)+U107/m*COS(M107)-Poids/m)</f>
        <v>76.5298354063669</v>
      </c>
      <c r="F108" s="417" t="n">
        <f aca="false">SQRT(acc_x^2+acc_z^2)</f>
        <v>78.4827245136694</v>
      </c>
      <c r="G108" s="418" t="n">
        <f aca="false">G107+acc_x*pas</f>
        <v>17.4517608475401</v>
      </c>
      <c r="H108" s="419" t="n">
        <f aca="false">H107+acc_z*pas</f>
        <v>86.5039621833686</v>
      </c>
      <c r="I108" s="417" t="n">
        <f aca="false">SQRT(vit_x^2+vit_z^2)</f>
        <v>88.24680974461</v>
      </c>
      <c r="J108" s="418" t="n">
        <f aca="false">J107+0.5*(vit_x+G107)*pas*(K107&gt;=0)</f>
        <v>8.71078655942932</v>
      </c>
      <c r="K108" s="419" t="n">
        <f aca="false">K107+0.5*(vit_z+H107)*pas</f>
        <v>45.4311172601144</v>
      </c>
      <c r="L108" s="417" t="n">
        <f aca="false">SQRT(pos_x^2+pos_z^2)</f>
        <v>46.2586664095086</v>
      </c>
      <c r="M108" s="418" t="n">
        <f aca="false">IF(AND(L107&gt;L_rampe,G108&gt;0),ATAN2(G108,H108),$M$4)</f>
        <v>1.37172323575499</v>
      </c>
      <c r="N108" s="417" t="n">
        <f aca="false">DEGREES(Beta)</f>
        <v>78.5939520687895</v>
      </c>
      <c r="O108" s="401"/>
      <c r="P108" s="420" t="n">
        <f aca="false">MATCH(t-pas/2-T_ini,CdP_t)</f>
        <v>4</v>
      </c>
      <c r="Q108" s="417" t="n">
        <f aca="false">(INDEX(CdP,2,i_P+1)-INDEX(CdP,2,i_P+0))/(INDEX(CdP,1,i_P+1)-INDEX(CdP,1,i_P+0))*(t-pas/2-T_ini-INDEX(CdP,1,i_P+0))+INDEX(CdP,2,i_P+0)</f>
        <v>733.4</v>
      </c>
      <c r="R108" s="418" t="n">
        <f aca="false">Poussee/(g*ISP)</f>
        <v>0.368059289632088</v>
      </c>
      <c r="S108" s="419" t="n">
        <f aca="false">S107-Débit*pas</f>
        <v>8.00124572550124</v>
      </c>
      <c r="T108" s="417" t="n">
        <f aca="false">m*g</f>
        <v>78.4922205671672</v>
      </c>
      <c r="U108" s="421" t="n">
        <f aca="false">IF(pos_xz&lt;L_rampe,Poids*COS(Beta),0)</f>
        <v>0</v>
      </c>
      <c r="V108" s="418" t="n">
        <f aca="false">Rho_moyen*(20000-Alt_rampe-pos_z)/(20000+Alt_rampe+pos_z)</f>
        <v>1.21944730140069</v>
      </c>
      <c r="W108" s="417" t="n">
        <f aca="false">1/2*Rho*Sref*Cx*vit_xz^2</f>
        <v>29.2009363064286</v>
      </c>
      <c r="X108" s="401"/>
      <c r="Y108" s="422" t="str">
        <f aca="false">IF(AND(pos_z&lt;=0,K107&gt;0),"Impact balistique","") &amp; IF(AND(H109&lt;0,vit_z&gt;=0),"Apogée","") &amp; IF(AND(Poussee=0,Q107&gt;0),"Fin de propulsion","") &amp; IF(AND(L109&gt;L_rampe,pos_xz&lt;=L_rampe),"Sortie de rampe","")</f>
        <v/>
      </c>
      <c r="Z108" s="423" t="str">
        <f aca="false">IF(ABS(t-T_para)&lt;pas/2,"Para","")</f>
        <v/>
      </c>
      <c r="AA108" s="424" t="str">
        <f aca="false">IF(ABS(t-T_satellite)&lt;pas/2,"Satellite","")</f>
        <v/>
      </c>
      <c r="AB108" s="412"/>
      <c r="AC108" s="420" t="e">
        <f aca="false">IF(ABS(t-ROUND(t,0))&lt;0.001,t,NA())</f>
        <v>#N/A</v>
      </c>
      <c r="AD108" s="425" t="e">
        <f aca="false">IF(ABS(t-ROUND(t,0))&lt;0.001,pos_x,NA())</f>
        <v>#N/A</v>
      </c>
      <c r="AE108" s="426" t="n">
        <f aca="false">IF(t&lt;T_para, pos_z, NA())</f>
        <v>45.4311172601144</v>
      </c>
      <c r="AF108" s="412"/>
      <c r="AG108" s="418" t="n">
        <f aca="false">IF(AND(L107&lt;L_rampe,Poussee&lt;Poids*SIN(M107)),0,(-W107+Poussee)/m-Poids*SIN(M107)/m)</f>
        <v>78.4587949581063</v>
      </c>
      <c r="AH108" s="417" t="n">
        <f aca="false">IF(AND(L107&lt;L_rampe,Poussee&lt;Poids*SIN(M107)), g*SIN(M107), (-W107+Poussee)/m)</f>
        <v>88.0754762562283</v>
      </c>
    </row>
    <row r="109" customFormat="false" ht="12" hidden="false" customHeight="false" outlineLevel="0" collapsed="false">
      <c r="A109" s="416" t="n">
        <f aca="false">IF(B108+0.01&lt;=T_ini+ROUNDUP(Temps_fin_propu,0), 0.01, IF(K108&gt;0, 0.1, 0.0001))</f>
        <v>0.01</v>
      </c>
      <c r="B109" s="417" t="n">
        <f aca="false">B108+pas</f>
        <v>1.05</v>
      </c>
      <c r="C109" s="401"/>
      <c r="D109" s="418" t="n">
        <f aca="false">IF(AND(L108&lt;L_rampe,Poussee&lt;Poids*SIN(M108)),0,(-W108+Poussee)/m*COS(M108)-U108/m*SIN(M108))</f>
        <v>17.3735906245644</v>
      </c>
      <c r="E109" s="419" t="n">
        <f aca="false">IF(AND(L108&lt;L_rampe,Poussee&lt;Poids*SIN(M108)),0,(-W108+Poussee)/m*SIN(M108)+U108/m*COS(M108)-Poids/m)</f>
        <v>76.3064921698138</v>
      </c>
      <c r="F109" s="417" t="n">
        <f aca="false">SQRT(acc_x^2+acc_z^2)</f>
        <v>78.2593278686433</v>
      </c>
      <c r="G109" s="418" t="n">
        <f aca="false">G108+acc_x*pas</f>
        <v>17.6254967537857</v>
      </c>
      <c r="H109" s="419" t="n">
        <f aca="false">H108+acc_z*pas</f>
        <v>87.2670271050668</v>
      </c>
      <c r="I109" s="417" t="n">
        <f aca="false">SQRT(vit_x^2+vit_z^2)</f>
        <v>89.0291646348216</v>
      </c>
      <c r="J109" s="418" t="n">
        <f aca="false">J108+0.5*(vit_x+G108)*pas*(K108&gt;=0)</f>
        <v>8.88617284743595</v>
      </c>
      <c r="K109" s="419" t="n">
        <f aca="false">K108+0.5*(vit_z+H108)*pas</f>
        <v>46.2999722065565</v>
      </c>
      <c r="L109" s="417" t="n">
        <f aca="false">SQRT(pos_x^2+pos_z^2)</f>
        <v>47.1450049761628</v>
      </c>
      <c r="M109" s="418" t="n">
        <f aca="false">IF(AND(L108&gt;L_rampe,G109&gt;0),ATAN2(G109,H109),$M$4)</f>
        <v>1.37150532585999</v>
      </c>
      <c r="N109" s="417" t="n">
        <f aca="false">DEGREES(Beta)</f>
        <v>78.5814667514919</v>
      </c>
      <c r="O109" s="401"/>
      <c r="P109" s="420" t="n">
        <f aca="false">MATCH(t-pas/2-T_ini,CdP_t)</f>
        <v>4</v>
      </c>
      <c r="Q109" s="417" t="n">
        <f aca="false">(INDEX(CdP,2,i_P+1)-INDEX(CdP,2,i_P+0))/(INDEX(CdP,1,i_P+1)-INDEX(CdP,1,i_P+0))*(t-pas/2-T_ini-INDEX(CdP,1,i_P+0))+INDEX(CdP,2,i_P+0)</f>
        <v>731.8</v>
      </c>
      <c r="R109" s="418" t="n">
        <f aca="false">Poussee/(g*ISP)</f>
        <v>0.367256324178841</v>
      </c>
      <c r="S109" s="419" t="n">
        <f aca="false">S108-Débit*pas</f>
        <v>7.99757316225945</v>
      </c>
      <c r="T109" s="417" t="n">
        <f aca="false">m*g</f>
        <v>78.4561927217653</v>
      </c>
      <c r="U109" s="421" t="n">
        <f aca="false">IF(pos_xz&lt;L_rampe,Poids*COS(Beta),0)</f>
        <v>0</v>
      </c>
      <c r="V109" s="418" t="n">
        <f aca="false">Rho_moyen*(20000-Alt_rampe-pos_z)/(20000+Alt_rampe+pos_z)</f>
        <v>1.21934135316426</v>
      </c>
      <c r="W109" s="417" t="n">
        <f aca="false">1/2*Rho*Sref*Cx*vit_xz^2</f>
        <v>29.7184128603628</v>
      </c>
      <c r="X109" s="401"/>
      <c r="Y109" s="422" t="str">
        <f aca="false">IF(AND(pos_z&lt;=0,K108&gt;0),"Impact balistique","") &amp; IF(AND(H110&lt;0,vit_z&gt;=0),"Apogée","") &amp; IF(AND(Poussee=0,Q108&gt;0),"Fin de propulsion","") &amp; IF(AND(L110&gt;L_rampe,pos_xz&lt;=L_rampe),"Sortie de rampe","")</f>
        <v/>
      </c>
      <c r="Z109" s="423" t="str">
        <f aca="false">IF(ABS(t-T_para)&lt;pas/2,"Para","")</f>
        <v/>
      </c>
      <c r="AA109" s="424" t="str">
        <f aca="false">IF(ABS(t-T_satellite)&lt;pas/2,"Satellite","")</f>
        <v/>
      </c>
      <c r="AB109" s="412"/>
      <c r="AC109" s="420" t="e">
        <f aca="false">IF(ABS(t-ROUND(t,0))&lt;0.001,t,NA())</f>
        <v>#N/A</v>
      </c>
      <c r="AD109" s="425" t="e">
        <f aca="false">IF(ABS(t-ROUND(t,0))&lt;0.001,pos_x,NA())</f>
        <v>#N/A</v>
      </c>
      <c r="AE109" s="426" t="n">
        <f aca="false">IF(t&lt;T_para, pos_z, NA())</f>
        <v>46.2999722065565</v>
      </c>
      <c r="AF109" s="412"/>
      <c r="AG109" s="418" t="n">
        <f aca="false">IF(AND(L108&lt;L_rampe,Poussee&lt;Poids*SIN(M108)),0,(-W108+Poussee)/m-Poids*SIN(M108)/m)</f>
        <v>78.2352776448979</v>
      </c>
      <c r="AH109" s="417" t="n">
        <f aca="false">IF(AND(L108&lt;L_rampe,Poussee&lt;Poids*SIN(M108)), g*SIN(M108), (-W108+Poussee)/m)</f>
        <v>87.8515331387196</v>
      </c>
    </row>
    <row r="110" customFormat="false" ht="12" hidden="false" customHeight="false" outlineLevel="0" collapsed="false">
      <c r="A110" s="416" t="n">
        <f aca="false">IF(B109+0.01&lt;=T_ini+ROUNDUP(Temps_fin_propu,0), 0.01, IF(K109&gt;0, 0.1, 0.0001))</f>
        <v>0.01</v>
      </c>
      <c r="B110" s="417" t="n">
        <f aca="false">B109+pas</f>
        <v>1.06</v>
      </c>
      <c r="C110" s="401"/>
      <c r="D110" s="418" t="n">
        <f aca="false">IF(AND(L109&lt;L_rampe,Poussee&lt;Poids*SIN(M109)),0,(-W109+Poussee)/m*COS(M109)-U109/m*SIN(M109))</f>
        <v>17.347888075341</v>
      </c>
      <c r="E110" s="419" t="n">
        <f aca="false">IF(AND(L109&lt;L_rampe,Poussee&lt;Poids*SIN(M109)),0,(-W109+Poussee)/m*SIN(M109)+U109/m*COS(M109)-Poids/m)</f>
        <v>76.0825362521359</v>
      </c>
      <c r="F110" s="417" t="n">
        <f aca="false">SQRT(acc_x^2+acc_z^2)</f>
        <v>78.0352583338591</v>
      </c>
      <c r="G110" s="418" t="n">
        <f aca="false">G109+acc_x*pas</f>
        <v>17.7989756345392</v>
      </c>
      <c r="H110" s="419" t="n">
        <f aca="false">H109+acc_z*pas</f>
        <v>88.0278524675881</v>
      </c>
      <c r="I110" s="417" t="n">
        <f aca="false">SQRT(vit_x^2+vit_z^2)</f>
        <v>89.8092776036773</v>
      </c>
      <c r="J110" s="418" t="n">
        <f aca="false">J109+0.5*(vit_x+G109)*pas*(K109&gt;=0)</f>
        <v>9.06329520937757</v>
      </c>
      <c r="K110" s="419" t="n">
        <f aca="false">K109+0.5*(vit_z+H109)*pas</f>
        <v>47.1764466044198</v>
      </c>
      <c r="L110" s="417" t="n">
        <f aca="false">SQRT(pos_x^2+pos_z^2)</f>
        <v>48.0391552202159</v>
      </c>
      <c r="M110" s="418" t="n">
        <f aca="false">IF(AND(L109&gt;L_rampe,G110&gt;0),ATAN2(G110,H110),$M$4)</f>
        <v>1.37128907548202</v>
      </c>
      <c r="N110" s="417" t="n">
        <f aca="false">DEGREES(Beta)</f>
        <v>78.5690765175162</v>
      </c>
      <c r="O110" s="401"/>
      <c r="P110" s="420" t="n">
        <f aca="false">MATCH(t-pas/2-T_ini,CdP_t)</f>
        <v>4</v>
      </c>
      <c r="Q110" s="417" t="n">
        <f aca="false">(INDEX(CdP,2,i_P+1)-INDEX(CdP,2,i_P+0))/(INDEX(CdP,1,i_P+1)-INDEX(CdP,1,i_P+0))*(t-pas/2-T_ini-INDEX(CdP,1,i_P+0))+INDEX(CdP,2,i_P+0)</f>
        <v>730.2</v>
      </c>
      <c r="R110" s="418" t="n">
        <f aca="false">Poussee/(g*ISP)</f>
        <v>0.366453358725594</v>
      </c>
      <c r="S110" s="419" t="n">
        <f aca="false">S109-Débit*pas</f>
        <v>7.9939086286722</v>
      </c>
      <c r="T110" s="417" t="n">
        <f aca="false">m*g</f>
        <v>78.4202436472743</v>
      </c>
      <c r="U110" s="421" t="n">
        <f aca="false">IF(pos_xz&lt;L_rampe,Poids*COS(Beta),0)</f>
        <v>0</v>
      </c>
      <c r="V110" s="418" t="n">
        <f aca="false">Rho_moyen*(20000-Alt_rampe-pos_z)/(20000+Alt_rampe+pos_z)</f>
        <v>1.21923448511621</v>
      </c>
      <c r="W110" s="417" t="n">
        <f aca="false">1/2*Rho*Sref*Cx*vit_xz^2</f>
        <v>30.2388559529437</v>
      </c>
      <c r="X110" s="401"/>
      <c r="Y110" s="422" t="str">
        <f aca="false">IF(AND(pos_z&lt;=0,K109&gt;0),"Impact balistique","") &amp; IF(AND(H111&lt;0,vit_z&gt;=0),"Apogée","") &amp; IF(AND(Poussee=0,Q109&gt;0),"Fin de propulsion","") &amp; IF(AND(L111&gt;L_rampe,pos_xz&lt;=L_rampe),"Sortie de rampe","")</f>
        <v/>
      </c>
      <c r="Z110" s="423" t="str">
        <f aca="false">IF(ABS(t-T_para)&lt;pas/2,"Para","")</f>
        <v/>
      </c>
      <c r="AA110" s="424" t="str">
        <f aca="false">IF(ABS(t-T_satellite)&lt;pas/2,"Satellite","")</f>
        <v/>
      </c>
      <c r="AB110" s="412"/>
      <c r="AC110" s="420" t="e">
        <f aca="false">IF(ABS(t-ROUND(t,0))&lt;0.001,t,NA())</f>
        <v>#N/A</v>
      </c>
      <c r="AD110" s="425" t="e">
        <f aca="false">IF(ABS(t-ROUND(t,0))&lt;0.001,pos_x,NA())</f>
        <v>#N/A</v>
      </c>
      <c r="AE110" s="426" t="n">
        <f aca="false">IF(t&lt;T_para, pos_z, NA())</f>
        <v>47.1764466044198</v>
      </c>
      <c r="AF110" s="412"/>
      <c r="AG110" s="418" t="n">
        <f aca="false">IF(AND(L109&lt;L_rampe,Poussee&lt;Poids*SIN(M109)),0,(-W109+Poussee)/m-Poids*SIN(M109)/m)</f>
        <v>78.0110868925064</v>
      </c>
      <c r="AH110" s="417" t="n">
        <f aca="false">IF(AND(L109&lt;L_rampe,Poussee&lt;Poids*SIN(M109)), g*SIN(M109), (-W109+Poussee)/m)</f>
        <v>87.6269194055059</v>
      </c>
    </row>
    <row r="111" customFormat="false" ht="12" hidden="false" customHeight="false" outlineLevel="0" collapsed="false">
      <c r="A111" s="416" t="n">
        <f aca="false">IF(B110+0.01&lt;=T_ini+ROUNDUP(Temps_fin_propu,0), 0.01, IF(K110&gt;0, 0.1, 0.0001))</f>
        <v>0.01</v>
      </c>
      <c r="B111" s="417" t="n">
        <f aca="false">B110+pas</f>
        <v>1.07</v>
      </c>
      <c r="C111" s="401"/>
      <c r="D111" s="418" t="n">
        <f aca="false">IF(AND(L110&lt;L_rampe,Poussee&lt;Poids*SIN(M110)),0,(-W110+Poussee)/m*COS(M110)-U110/m*SIN(M110))</f>
        <v>17.3218147605221</v>
      </c>
      <c r="E111" s="419" t="n">
        <f aca="false">IF(AND(L110&lt;L_rampe,Poussee&lt;Poids*SIN(M110)),0,(-W110+Poussee)/m*SIN(M110)+U110/m*COS(M110)-Poids/m)</f>
        <v>75.8579724450673</v>
      </c>
      <c r="F111" s="417" t="n">
        <f aca="false">SQRT(acc_x^2+acc_z^2)</f>
        <v>77.8105214612679</v>
      </c>
      <c r="G111" s="418" t="n">
        <f aca="false">G110+acc_x*pas</f>
        <v>17.9721937821444</v>
      </c>
      <c r="H111" s="419" t="n">
        <f aca="false">H110+acc_z*pas</f>
        <v>88.7864321920388</v>
      </c>
      <c r="I111" s="417" t="n">
        <f aca="false">SQRT(vit_x^2+vit_z^2)</f>
        <v>90.587141972437</v>
      </c>
      <c r="J111" s="418" t="n">
        <f aca="false">J110+0.5*(vit_x+G110)*pas*(K110&gt;=0)</f>
        <v>9.24215105646099</v>
      </c>
      <c r="K111" s="419" t="n">
        <f aca="false">K110+0.5*(vit_z+H110)*pas</f>
        <v>48.060518027718</v>
      </c>
      <c r="L111" s="417" t="n">
        <f aca="false">SQRT(pos_x^2+pos_z^2)</f>
        <v>48.941094687829</v>
      </c>
      <c r="M111" s="418" t="n">
        <f aca="false">IF(AND(L110&gt;L_rampe,G111&gt;0),ATAN2(G111,H111),$M$4)</f>
        <v>1.37107445248342</v>
      </c>
      <c r="N111" s="417" t="n">
        <f aca="false">DEGREES(Beta)</f>
        <v>78.5567795255101</v>
      </c>
      <c r="O111" s="401"/>
      <c r="P111" s="420" t="n">
        <f aca="false">MATCH(t-pas/2-T_ini,CdP_t)</f>
        <v>4</v>
      </c>
      <c r="Q111" s="417" t="n">
        <f aca="false">(INDEX(CdP,2,i_P+1)-INDEX(CdP,2,i_P+0))/(INDEX(CdP,1,i_P+1)-INDEX(CdP,1,i_P+0))*(t-pas/2-T_ini-INDEX(CdP,1,i_P+0))+INDEX(CdP,2,i_P+0)</f>
        <v>728.6</v>
      </c>
      <c r="R111" s="418" t="n">
        <f aca="false">Poussee/(g*ISP)</f>
        <v>0.365650393272347</v>
      </c>
      <c r="S111" s="419" t="n">
        <f aca="false">S110-Débit*pas</f>
        <v>7.99025212473948</v>
      </c>
      <c r="T111" s="417" t="n">
        <f aca="false">m*g</f>
        <v>78.3843733436943</v>
      </c>
      <c r="U111" s="421" t="n">
        <f aca="false">IF(pos_xz&lt;L_rampe,Poids*COS(Beta),0)</f>
        <v>0</v>
      </c>
      <c r="V111" s="418" t="n">
        <f aca="false">Rho_moyen*(20000-Alt_rampe-pos_z)/(20000+Alt_rampe+pos_z)</f>
        <v>1.21912670023307</v>
      </c>
      <c r="W111" s="417" t="n">
        <f aca="false">1/2*Rho*Sref*Cx*vit_xz^2</f>
        <v>30.7622197915067</v>
      </c>
      <c r="X111" s="401"/>
      <c r="Y111" s="422" t="str">
        <f aca="false">IF(AND(pos_z&lt;=0,K110&gt;0),"Impact balistique","") &amp; IF(AND(H112&lt;0,vit_z&gt;=0),"Apogée","") &amp; IF(AND(Poussee=0,Q110&gt;0),"Fin de propulsion","") &amp; IF(AND(L112&gt;L_rampe,pos_xz&lt;=L_rampe),"Sortie de rampe","")</f>
        <v/>
      </c>
      <c r="Z111" s="423" t="str">
        <f aca="false">IF(ABS(t-T_para)&lt;pas/2,"Para","")</f>
        <v/>
      </c>
      <c r="AA111" s="424" t="str">
        <f aca="false">IF(ABS(t-T_satellite)&lt;pas/2,"Satellite","")</f>
        <v/>
      </c>
      <c r="AB111" s="412"/>
      <c r="AC111" s="420" t="e">
        <f aca="false">IF(ABS(t-ROUND(t,0))&lt;0.001,t,NA())</f>
        <v>#N/A</v>
      </c>
      <c r="AD111" s="425" t="e">
        <f aca="false">IF(ABS(t-ROUND(t,0))&lt;0.001,pos_x,NA())</f>
        <v>#N/A</v>
      </c>
      <c r="AE111" s="426" t="n">
        <f aca="false">IF(t&lt;T_para, pos_z, NA())</f>
        <v>48.060518027718</v>
      </c>
      <c r="AF111" s="412"/>
      <c r="AG111" s="418" t="n">
        <f aca="false">IF(AND(L110&lt;L_rampe,Poussee&lt;Poids*SIN(M110)),0,(-W110+Poussee)/m-Poids*SIN(M110)/m)</f>
        <v>77.7862282400458</v>
      </c>
      <c r="AH111" s="417" t="n">
        <f aca="false">IF(AND(L110&lt;L_rampe,Poussee&lt;Poids*SIN(M110)), g*SIN(M110), (-W110+Poussee)/m)</f>
        <v>87.4016405420782</v>
      </c>
    </row>
    <row r="112" customFormat="false" ht="12" hidden="false" customHeight="false" outlineLevel="0" collapsed="false">
      <c r="A112" s="416" t="n">
        <f aca="false">IF(B111+0.01&lt;=T_ini+ROUNDUP(Temps_fin_propu,0), 0.01, IF(K111&gt;0, 0.1, 0.0001))</f>
        <v>0.01</v>
      </c>
      <c r="B112" s="417" t="n">
        <f aca="false">B111+pas</f>
        <v>1.08</v>
      </c>
      <c r="C112" s="401"/>
      <c r="D112" s="418" t="n">
        <f aca="false">IF(AND(L111&lt;L_rampe,Poussee&lt;Poids*SIN(M111)),0,(-W111+Poussee)/m*COS(M111)-U111/m*SIN(M111))</f>
        <v>17.2953752175863</v>
      </c>
      <c r="E112" s="419" t="n">
        <f aca="false">IF(AND(L111&lt;L_rampe,Poussee&lt;Poids*SIN(M111)),0,(-W111+Poussee)/m*SIN(M111)+U111/m*COS(M111)-Poids/m)</f>
        <v>75.6328055698872</v>
      </c>
      <c r="F112" s="417" t="n">
        <f aca="false">SQRT(acc_x^2+acc_z^2)</f>
        <v>77.5851228154564</v>
      </c>
      <c r="G112" s="418" t="n">
        <f aca="false">G111+acc_x*pas</f>
        <v>18.1451475343202</v>
      </c>
      <c r="H112" s="419" t="n">
        <f aca="false">H111+acc_z*pas</f>
        <v>89.5427602477377</v>
      </c>
      <c r="I112" s="417" t="n">
        <f aca="false">SQRT(vit_x^2+vit_z^2)</f>
        <v>91.3627511178712</v>
      </c>
      <c r="J112" s="418" t="n">
        <f aca="false">J111+0.5*(vit_x+G111)*pas*(K111&gt;=0)</f>
        <v>9.42273776304331</v>
      </c>
      <c r="K112" s="419" t="n">
        <f aca="false">K111+0.5*(vit_z+H111)*pas</f>
        <v>48.9521639899168</v>
      </c>
      <c r="L112" s="417" t="n">
        <f aca="false">SQRT(pos_x^2+pos_z^2)</f>
        <v>49.8508008586301</v>
      </c>
      <c r="M112" s="418" t="n">
        <f aca="false">IF(AND(L111&gt;L_rampe,G112&gt;0),ATAN2(G112,H112),$M$4)</f>
        <v>1.37086142561806</v>
      </c>
      <c r="N112" s="417" t="n">
        <f aca="false">DEGREES(Beta)</f>
        <v>78.5445739852023</v>
      </c>
      <c r="O112" s="401"/>
      <c r="P112" s="420" t="n">
        <f aca="false">MATCH(t-pas/2-T_ini,CdP_t)</f>
        <v>4</v>
      </c>
      <c r="Q112" s="417" t="n">
        <f aca="false">(INDEX(CdP,2,i_P+1)-INDEX(CdP,2,i_P+0))/(INDEX(CdP,1,i_P+1)-INDEX(CdP,1,i_P+0))*(t-pas/2-T_ini-INDEX(CdP,1,i_P+0))+INDEX(CdP,2,i_P+0)</f>
        <v>727</v>
      </c>
      <c r="R112" s="418" t="n">
        <f aca="false">Poussee/(g*ISP)</f>
        <v>0.3648474278191</v>
      </c>
      <c r="S112" s="419" t="n">
        <f aca="false">S111-Débit*pas</f>
        <v>7.98660365046128</v>
      </c>
      <c r="T112" s="417" t="n">
        <f aca="false">m*g</f>
        <v>78.3485818110252</v>
      </c>
      <c r="U112" s="421" t="n">
        <f aca="false">IF(pos_xz&lt;L_rampe,Poids*COS(Beta),0)</f>
        <v>0</v>
      </c>
      <c r="V112" s="418" t="n">
        <f aca="false">Rho_moyen*(20000-Alt_rampe-pos_z)/(20000+Alt_rampe+pos_z)</f>
        <v>1.21901800149981</v>
      </c>
      <c r="W112" s="417" t="n">
        <f aca="false">1/2*Rho*Sref*Cx*vit_xz^2</f>
        <v>31.2884585862035</v>
      </c>
      <c r="X112" s="401"/>
      <c r="Y112" s="422" t="str">
        <f aca="false">IF(AND(pos_z&lt;=0,K111&gt;0),"Impact balistique","") &amp; IF(AND(H113&lt;0,vit_z&gt;=0),"Apogée","") &amp; IF(AND(Poussee=0,Q111&gt;0),"Fin de propulsion","") &amp; IF(AND(L113&gt;L_rampe,pos_xz&lt;=L_rampe),"Sortie de rampe","")</f>
        <v/>
      </c>
      <c r="Z112" s="423" t="str">
        <f aca="false">IF(ABS(t-T_para)&lt;pas/2,"Para","")</f>
        <v/>
      </c>
      <c r="AA112" s="424" t="str">
        <f aca="false">IF(ABS(t-T_satellite)&lt;pas/2,"Satellite","")</f>
        <v/>
      </c>
      <c r="AB112" s="412"/>
      <c r="AC112" s="420" t="e">
        <f aca="false">IF(ABS(t-ROUND(t,0))&lt;0.001,t,NA())</f>
        <v>#N/A</v>
      </c>
      <c r="AD112" s="425" t="e">
        <f aca="false">IF(ABS(t-ROUND(t,0))&lt;0.001,pos_x,NA())</f>
        <v>#N/A</v>
      </c>
      <c r="AE112" s="426" t="n">
        <f aca="false">IF(t&lt;T_para, pos_z, NA())</f>
        <v>48.9521639899168</v>
      </c>
      <c r="AF112" s="412"/>
      <c r="AG112" s="418" t="n">
        <f aca="false">IF(AND(L111&lt;L_rampe,Poussee&lt;Poids*SIN(M111)),0,(-W111+Poussee)/m-Poids*SIN(M111)/m)</f>
        <v>77.5607072393079</v>
      </c>
      <c r="AH112" s="417" t="n">
        <f aca="false">IF(AND(L111&lt;L_rampe,Poussee&lt;Poids*SIN(M111)), g*SIN(M111), (-W111+Poussee)/m)</f>
        <v>87.1757020480515</v>
      </c>
    </row>
    <row r="113" customFormat="false" ht="12" hidden="false" customHeight="false" outlineLevel="0" collapsed="false">
      <c r="A113" s="416" t="n">
        <f aca="false">IF(B112+0.01&lt;=T_ini+ROUNDUP(Temps_fin_propu,0), 0.01, IF(K112&gt;0, 0.1, 0.0001))</f>
        <v>0.01</v>
      </c>
      <c r="B113" s="417" t="n">
        <f aca="false">B112+pas</f>
        <v>1.09</v>
      </c>
      <c r="C113" s="401"/>
      <c r="D113" s="418" t="n">
        <f aca="false">IF(AND(L112&lt;L_rampe,Poussee&lt;Poids*SIN(M112)),0,(-W112+Poussee)/m*COS(M112)-U112/m*SIN(M112))</f>
        <v>17.2685738925684</v>
      </c>
      <c r="E113" s="419" t="n">
        <f aca="false">IF(AND(L112&lt;L_rampe,Poussee&lt;Poids*SIN(M112)),0,(-W112+Poussee)/m*SIN(M112)+U112/m*COS(M112)-Poids/m)</f>
        <v>75.4070404764097</v>
      </c>
      <c r="F113" s="417" t="n">
        <f aca="false">SQRT(acc_x^2+acc_z^2)</f>
        <v>77.3590679732763</v>
      </c>
      <c r="G113" s="418" t="n">
        <f aca="false">G112+acc_x*pas</f>
        <v>18.3178332732459</v>
      </c>
      <c r="H113" s="419" t="n">
        <f aca="false">H112+acc_z*pas</f>
        <v>90.2968306525017</v>
      </c>
      <c r="I113" s="417" t="n">
        <f aca="false">SQRT(vit_x^2+vit_z^2)</f>
        <v>92.1360984723849</v>
      </c>
      <c r="J113" s="418" t="n">
        <f aca="false">J112+0.5*(vit_x+G112)*pas*(K112&gt;=0)</f>
        <v>9.60505266708114</v>
      </c>
      <c r="K113" s="419" t="n">
        <f aca="false">K112+0.5*(vit_z+H112)*pas</f>
        <v>49.851361944418</v>
      </c>
      <c r="L113" s="417" t="n">
        <f aca="false">SQRT(pos_x^2+pos_z^2)</f>
        <v>50.7682511462703</v>
      </c>
      <c r="M113" s="418" t="n">
        <f aca="false">IF(AND(L112&gt;L_rampe,G113&gt;0),ATAN2(G113,H113),$M$4)</f>
        <v>1.37064996449824</v>
      </c>
      <c r="N113" s="417" t="n">
        <f aca="false">DEGREES(Beta)</f>
        <v>78.5324581555054</v>
      </c>
      <c r="O113" s="401"/>
      <c r="P113" s="420" t="n">
        <f aca="false">MATCH(t-pas/2-T_ini,CdP_t)</f>
        <v>4</v>
      </c>
      <c r="Q113" s="417" t="n">
        <f aca="false">(INDEX(CdP,2,i_P+1)-INDEX(CdP,2,i_P+0))/(INDEX(CdP,1,i_P+1)-INDEX(CdP,1,i_P+0))*(t-pas/2-T_ini-INDEX(CdP,1,i_P+0))+INDEX(CdP,2,i_P+0)</f>
        <v>725.4</v>
      </c>
      <c r="R113" s="418" t="n">
        <f aca="false">Poussee/(g*ISP)</f>
        <v>0.364044462365853</v>
      </c>
      <c r="S113" s="419" t="n">
        <f aca="false">S112-Débit*pas</f>
        <v>7.98296320583763</v>
      </c>
      <c r="T113" s="417" t="n">
        <f aca="false">m*g</f>
        <v>78.3128690492671</v>
      </c>
      <c r="U113" s="421" t="n">
        <f aca="false">IF(pos_xz&lt;L_rampe,Poids*COS(Beta),0)</f>
        <v>0</v>
      </c>
      <c r="V113" s="418" t="n">
        <f aca="false">Rho_moyen*(20000-Alt_rampe-pos_z)/(20000+Alt_rampe+pos_z)</f>
        <v>1.2189083919098</v>
      </c>
      <c r="W113" s="417" t="n">
        <f aca="false">1/2*Rho*Sref*Cx*vit_xz^2</f>
        <v>31.817526553245</v>
      </c>
      <c r="X113" s="401"/>
      <c r="Y113" s="422" t="str">
        <f aca="false">IF(AND(pos_z&lt;=0,K112&gt;0),"Impact balistique","") &amp; IF(AND(H114&lt;0,vit_z&gt;=0),"Apogée","") &amp; IF(AND(Poussee=0,Q112&gt;0),"Fin de propulsion","") &amp; IF(AND(L114&gt;L_rampe,pos_xz&lt;=L_rampe),"Sortie de rampe","")</f>
        <v/>
      </c>
      <c r="Z113" s="423" t="str">
        <f aca="false">IF(ABS(t-T_para)&lt;pas/2,"Para","")</f>
        <v/>
      </c>
      <c r="AA113" s="424" t="str">
        <f aca="false">IF(ABS(t-T_satellite)&lt;pas/2,"Satellite","")</f>
        <v/>
      </c>
      <c r="AB113" s="412"/>
      <c r="AC113" s="420" t="e">
        <f aca="false">IF(ABS(t-ROUND(t,0))&lt;0.001,t,NA())</f>
        <v>#N/A</v>
      </c>
      <c r="AD113" s="425" t="e">
        <f aca="false">IF(ABS(t-ROUND(t,0))&lt;0.001,pos_x,NA())</f>
        <v>#N/A</v>
      </c>
      <c r="AE113" s="426" t="n">
        <f aca="false">IF(t&lt;T_para, pos_z, NA())</f>
        <v>49.851361944418</v>
      </c>
      <c r="AF113" s="412"/>
      <c r="AG113" s="418" t="n">
        <f aca="false">IF(AND(L112&lt;L_rampe,Poussee&lt;Poids*SIN(M112)),0,(-W112+Poussee)/m-Poids*SIN(M112)/m)</f>
        <v>77.334529454384</v>
      </c>
      <c r="AH113" s="417" t="n">
        <f aca="false">IF(AND(L112&lt;L_rampe,Poussee&lt;Poids*SIN(M112)), g*SIN(M112), (-W112+Poussee)/m)</f>
        <v>86.949109436734</v>
      </c>
    </row>
    <row r="114" customFormat="false" ht="12" hidden="false" customHeight="false" outlineLevel="0" collapsed="false">
      <c r="A114" s="416" t="n">
        <f aca="false">IF(B113+0.01&lt;=T_ini+ROUNDUP(Temps_fin_propu,0), 0.01, IF(K113&gt;0, 0.1, 0.0001))</f>
        <v>0.01</v>
      </c>
      <c r="B114" s="417" t="n">
        <f aca="false">B113+pas</f>
        <v>1.1</v>
      </c>
      <c r="C114" s="401"/>
      <c r="D114" s="418" t="n">
        <f aca="false">IF(AND(L113&lt;L_rampe,Poussee&lt;Poids*SIN(M113)),0,(-W113+Poussee)/m*COS(M113)-U113/m*SIN(M113))</f>
        <v>17.2414151435303</v>
      </c>
      <c r="E114" s="419" t="n">
        <f aca="false">IF(AND(L113&lt;L_rampe,Poussee&lt;Poids*SIN(M113)),0,(-W113+Poussee)/m*SIN(M113)+U113/m*COS(M113)-Poids/m)</f>
        <v>75.180682042001</v>
      </c>
      <c r="F114" s="417" t="n">
        <f aca="false">SQRT(acc_x^2+acc_z^2)</f>
        <v>77.1323625234701</v>
      </c>
      <c r="G114" s="418" t="n">
        <f aca="false">G113+acc_x*pas</f>
        <v>18.4902474246812</v>
      </c>
      <c r="H114" s="419" t="n">
        <f aca="false">H113+acc_z*pas</f>
        <v>91.0486374729218</v>
      </c>
      <c r="I114" s="417" t="n">
        <f aca="false">SQRT(vit_x^2+vit_z^2)</f>
        <v>92.9071775241368</v>
      </c>
      <c r="J114" s="418" t="n">
        <f aca="false">J113+0.5*(vit_x+G113)*pas*(K113&gt;=0)</f>
        <v>9.78909307057078</v>
      </c>
      <c r="K114" s="419" t="n">
        <f aca="false">K113+0.5*(vit_z+H113)*pas</f>
        <v>50.7580892850451</v>
      </c>
      <c r="L114" s="417" t="n">
        <f aca="false">SQRT(pos_x^2+pos_z^2)</f>
        <v>51.6934228989812</v>
      </c>
      <c r="M114" s="418" t="n">
        <f aca="false">IF(AND(L113&gt;L_rampe,G114&gt;0),ATAN2(G114,H114),$M$4)</f>
        <v>1.37044003956306</v>
      </c>
      <c r="N114" s="417" t="n">
        <f aca="false">DEGREES(Beta)</f>
        <v>78.5204303427048</v>
      </c>
      <c r="O114" s="401"/>
      <c r="P114" s="420" t="n">
        <f aca="false">MATCH(t-pas/2-T_ini,CdP_t)</f>
        <v>4</v>
      </c>
      <c r="Q114" s="417" t="n">
        <f aca="false">(INDEX(CdP,2,i_P+1)-INDEX(CdP,2,i_P+0))/(INDEX(CdP,1,i_P+1)-INDEX(CdP,1,i_P+0))*(t-pas/2-T_ini-INDEX(CdP,1,i_P+0))+INDEX(CdP,2,i_P+0)</f>
        <v>723.8</v>
      </c>
      <c r="R114" s="418" t="n">
        <f aca="false">Poussee/(g*ISP)</f>
        <v>0.363241496912606</v>
      </c>
      <c r="S114" s="419" t="n">
        <f aca="false">S113-Débit*pas</f>
        <v>7.9793307908685</v>
      </c>
      <c r="T114" s="417" t="n">
        <f aca="false">m*g</f>
        <v>78.27723505842</v>
      </c>
      <c r="U114" s="421" t="n">
        <f aca="false">IF(pos_xz&lt;L_rampe,Poids*COS(Beta),0)</f>
        <v>0</v>
      </c>
      <c r="V114" s="418" t="n">
        <f aca="false">Rho_moyen*(20000-Alt_rampe-pos_z)/(20000+Alt_rampe+pos_z)</f>
        <v>1.21879787446467</v>
      </c>
      <c r="W114" s="417" t="n">
        <f aca="false">1/2*Rho*Sref*Cx*vit_xz^2</f>
        <v>32.3493779181308</v>
      </c>
      <c r="X114" s="401"/>
      <c r="Y114" s="422" t="str">
        <f aca="false">IF(AND(pos_z&lt;=0,K113&gt;0),"Impact balistique","") &amp; IF(AND(H115&lt;0,vit_z&gt;=0),"Apogée","") &amp; IF(AND(Poussee=0,Q113&gt;0),"Fin de propulsion","") &amp; IF(AND(L115&gt;L_rampe,pos_xz&lt;=L_rampe),"Sortie de rampe","")</f>
        <v/>
      </c>
      <c r="Z114" s="423" t="str">
        <f aca="false">IF(ABS(t-T_para)&lt;pas/2,"Para","")</f>
        <v/>
      </c>
      <c r="AA114" s="424" t="str">
        <f aca="false">IF(ABS(t-T_satellite)&lt;pas/2,"Satellite","")</f>
        <v/>
      </c>
      <c r="AB114" s="412"/>
      <c r="AC114" s="420" t="e">
        <f aca="false">IF(ABS(t-ROUND(t,0))&lt;0.001,t,NA())</f>
        <v>#N/A</v>
      </c>
      <c r="AD114" s="425" t="e">
        <f aca="false">IF(ABS(t-ROUND(t,0))&lt;0.001,pos_x,NA())</f>
        <v>#N/A</v>
      </c>
      <c r="AE114" s="426" t="n">
        <f aca="false">IF(t&lt;T_para, pos_z, NA())</f>
        <v>50.7580892850451</v>
      </c>
      <c r="AF114" s="412"/>
      <c r="AG114" s="418" t="n">
        <f aca="false">IF(AND(L113&lt;L_rampe,Poussee&lt;Poids*SIN(M113)),0,(-W113+Poussee)/m-Poids*SIN(M113)/m)</f>
        <v>77.1077004612854</v>
      </c>
      <c r="AH114" s="417" t="n">
        <f aca="false">IF(AND(L113&lt;L_rampe,Poussee&lt;Poids*SIN(M113)), g*SIN(M113), (-W113+Poussee)/m)</f>
        <v>86.7218682346965</v>
      </c>
    </row>
    <row r="115" customFormat="false" ht="12" hidden="false" customHeight="false" outlineLevel="0" collapsed="false">
      <c r="A115" s="416" t="n">
        <f aca="false">IF(B114+0.01&lt;=T_ini+ROUNDUP(Temps_fin_propu,0), 0.01, IF(K114&gt;0, 0.1, 0.0001))</f>
        <v>0.01</v>
      </c>
      <c r="B115" s="417" t="n">
        <f aca="false">B114+pas</f>
        <v>1.11</v>
      </c>
      <c r="C115" s="401"/>
      <c r="D115" s="418" t="n">
        <f aca="false">IF(AND(L114&lt;L_rampe,Poussee&lt;Poids*SIN(M114)),0,(-W114+Poussee)/m*COS(M114)-U114/m*SIN(M114))</f>
        <v>17.2139032438688</v>
      </c>
      <c r="E115" s="419" t="n">
        <f aca="false">IF(AND(L114&lt;L_rampe,Poussee&lt;Poids*SIN(M114)),0,(-W114+Poussee)/m*SIN(M114)+U114/m*COS(M114)-Poids/m)</f>
        <v>74.9537351706225</v>
      </c>
      <c r="F115" s="417" t="n">
        <f aca="false">SQRT(acc_x^2+acc_z^2)</f>
        <v>76.9050120662957</v>
      </c>
      <c r="G115" s="418" t="n">
        <f aca="false">G114+acc_x*pas</f>
        <v>18.6623864571199</v>
      </c>
      <c r="H115" s="419" t="n">
        <f aca="false">H114+acc_z*pas</f>
        <v>91.798174824628</v>
      </c>
      <c r="I115" s="417" t="n">
        <f aca="false">SQRT(vit_x^2+vit_z^2)</f>
        <v>93.6759818171545</v>
      </c>
      <c r="J115" s="418" t="n">
        <f aca="false">J114+0.5*(vit_x+G114)*pas*(K114&gt;=0)</f>
        <v>9.97485623997978</v>
      </c>
      <c r="K115" s="419" t="n">
        <f aca="false">K114+0.5*(vit_z+H114)*pas</f>
        <v>51.6723233465329</v>
      </c>
      <c r="L115" s="417" t="n">
        <f aca="false">SQRT(pos_x^2+pos_z^2)</f>
        <v>52.6262934001333</v>
      </c>
      <c r="M115" s="418" t="n">
        <f aca="false">IF(AND(L114&gt;L_rampe,G115&gt;0),ATAN2(G115,H115),$M$4)</f>
        <v>1.37023162204829</v>
      </c>
      <c r="N115" s="417" t="n">
        <f aca="false">DEGREES(Beta)</f>
        <v>78.5084888987322</v>
      </c>
      <c r="O115" s="401"/>
      <c r="P115" s="420" t="n">
        <f aca="false">MATCH(t-pas/2-T_ini,CdP_t)</f>
        <v>4</v>
      </c>
      <c r="Q115" s="417" t="n">
        <f aca="false">(INDEX(CdP,2,i_P+1)-INDEX(CdP,2,i_P+0))/(INDEX(CdP,1,i_P+1)-INDEX(CdP,1,i_P+0))*(t-pas/2-T_ini-INDEX(CdP,1,i_P+0))+INDEX(CdP,2,i_P+0)</f>
        <v>722.2</v>
      </c>
      <c r="R115" s="418" t="n">
        <f aca="false">Poussee/(g*ISP)</f>
        <v>0.362438531459359</v>
      </c>
      <c r="S115" s="419" t="n">
        <f aca="false">S114-Débit*pas</f>
        <v>7.97570640555391</v>
      </c>
      <c r="T115" s="417" t="n">
        <f aca="false">m*g</f>
        <v>78.2416798384838</v>
      </c>
      <c r="U115" s="421" t="n">
        <f aca="false">IF(pos_xz&lt;L_rampe,Poids*COS(Beta),0)</f>
        <v>0</v>
      </c>
      <c r="V115" s="418" t="n">
        <f aca="false">Rho_moyen*(20000-Alt_rampe-pos_z)/(20000+Alt_rampe+pos_z)</f>
        <v>1.21868645217429</v>
      </c>
      <c r="W115" s="417" t="n">
        <f aca="false">1/2*Rho*Sref*Cx*vit_xz^2</f>
        <v>32.8839669188664</v>
      </c>
      <c r="X115" s="401"/>
      <c r="Y115" s="422" t="str">
        <f aca="false">IF(AND(pos_z&lt;=0,K114&gt;0),"Impact balistique","") &amp; IF(AND(H116&lt;0,vit_z&gt;=0),"Apogée","") &amp; IF(AND(Poussee=0,Q114&gt;0),"Fin de propulsion","") &amp; IF(AND(L116&gt;L_rampe,pos_xz&lt;=L_rampe),"Sortie de rampe","")</f>
        <v/>
      </c>
      <c r="Z115" s="423" t="str">
        <f aca="false">IF(ABS(t-T_para)&lt;pas/2,"Para","")</f>
        <v/>
      </c>
      <c r="AA115" s="424" t="str">
        <f aca="false">IF(ABS(t-T_satellite)&lt;pas/2,"Satellite","")</f>
        <v/>
      </c>
      <c r="AB115" s="412"/>
      <c r="AC115" s="420" t="e">
        <f aca="false">IF(ABS(t-ROUND(t,0))&lt;0.001,t,NA())</f>
        <v>#N/A</v>
      </c>
      <c r="AD115" s="425" t="e">
        <f aca="false">IF(ABS(t-ROUND(t,0))&lt;0.001,pos_x,NA())</f>
        <v>#N/A</v>
      </c>
      <c r="AE115" s="426" t="n">
        <f aca="false">IF(t&lt;T_para, pos_z, NA())</f>
        <v>51.6723233465329</v>
      </c>
      <c r="AF115" s="412"/>
      <c r="AG115" s="418" t="n">
        <f aca="false">IF(AND(L114&lt;L_rampe,Poussee&lt;Poids*SIN(M114)),0,(-W114+Poussee)/m-Poids*SIN(M114)/m)</f>
        <v>76.8802258475607</v>
      </c>
      <c r="AH115" s="417" t="n">
        <f aca="false">IF(AND(L114&lt;L_rampe,Poussee&lt;Poids*SIN(M114)), g*SIN(M114), (-W114+Poussee)/m)</f>
        <v>86.4939839813424</v>
      </c>
    </row>
    <row r="116" customFormat="false" ht="12" hidden="false" customHeight="false" outlineLevel="0" collapsed="false">
      <c r="A116" s="416" t="n">
        <f aca="false">IF(B115+0.01&lt;=T_ini+ROUNDUP(Temps_fin_propu,0), 0.01, IF(K115&gt;0, 0.1, 0.0001))</f>
        <v>0.01</v>
      </c>
      <c r="B116" s="417" t="n">
        <f aca="false">B115+pas</f>
        <v>1.12</v>
      </c>
      <c r="C116" s="401"/>
      <c r="D116" s="418" t="n">
        <f aca="false">IF(AND(L115&lt;L_rampe,Poussee&lt;Poids*SIN(M115)),0,(-W115+Poussee)/m*COS(M115)-U115/m*SIN(M115))</f>
        <v>17.1860423854677</v>
      </c>
      <c r="E116" s="419" t="n">
        <f aca="false">IF(AND(L115&lt;L_rampe,Poussee&lt;Poids*SIN(M115)),0,(-W115+Poussee)/m*SIN(M115)+U115/m*COS(M115)-Poids/m)</f>
        <v>74.7262047918978</v>
      </c>
      <c r="F116" s="417" t="n">
        <f aca="false">SQRT(acc_x^2+acc_z^2)</f>
        <v>76.6770222131489</v>
      </c>
      <c r="G116" s="418" t="n">
        <f aca="false">G115+acc_x*pas</f>
        <v>18.8342468809746</v>
      </c>
      <c r="H116" s="419" t="n">
        <f aca="false">H115+acc_z*pas</f>
        <v>92.545436872547</v>
      </c>
      <c r="I116" s="417" t="n">
        <f aca="false">SQRT(vit_x^2+vit_z^2)</f>
        <v>94.4425049514469</v>
      </c>
      <c r="J116" s="418" t="n">
        <f aca="false">J115+0.5*(vit_x+G115)*pas*(K115&gt;=0)</f>
        <v>10.1623394066703</v>
      </c>
      <c r="K116" s="419" t="n">
        <f aca="false">K115+0.5*(vit_z+H115)*pas</f>
        <v>52.5940414050188</v>
      </c>
      <c r="L116" s="417" t="n">
        <f aca="false">SQRT(pos_x^2+pos_z^2)</f>
        <v>53.5668398687956</v>
      </c>
      <c r="M116" s="418" t="n">
        <f aca="false">IF(AND(L115&gt;L_rampe,G116&gt;0),ATAN2(G116,H116),$M$4)</f>
        <v>1.37002468395762</v>
      </c>
      <c r="N116" s="417" t="n">
        <f aca="false">DEGREES(Beta)</f>
        <v>78.4966322195159</v>
      </c>
      <c r="O116" s="401"/>
      <c r="P116" s="420" t="n">
        <f aca="false">MATCH(t-pas/2-T_ini,CdP_t)</f>
        <v>4</v>
      </c>
      <c r="Q116" s="417" t="n">
        <f aca="false">(INDEX(CdP,2,i_P+1)-INDEX(CdP,2,i_P+0))/(INDEX(CdP,1,i_P+1)-INDEX(CdP,1,i_P+0))*(t-pas/2-T_ini-INDEX(CdP,1,i_P+0))+INDEX(CdP,2,i_P+0)</f>
        <v>720.6</v>
      </c>
      <c r="R116" s="418" t="n">
        <f aca="false">Poussee/(g*ISP)</f>
        <v>0.361635566006112</v>
      </c>
      <c r="S116" s="419" t="n">
        <f aca="false">S115-Débit*pas</f>
        <v>7.97209004989384</v>
      </c>
      <c r="T116" s="417" t="n">
        <f aca="false">m*g</f>
        <v>78.2062033894586</v>
      </c>
      <c r="U116" s="421" t="n">
        <f aca="false">IF(pos_xz&lt;L_rampe,Poids*COS(Beta),0)</f>
        <v>0</v>
      </c>
      <c r="V116" s="418" t="n">
        <f aca="false">Rho_moyen*(20000-Alt_rampe-pos_z)/(20000+Alt_rampe+pos_z)</f>
        <v>1.21857412805664</v>
      </c>
      <c r="W116" s="417" t="n">
        <f aca="false">1/2*Rho*Sref*Cx*vit_xz^2</f>
        <v>33.4212478091668</v>
      </c>
      <c r="X116" s="401"/>
      <c r="Y116" s="422" t="str">
        <f aca="false">IF(AND(pos_z&lt;=0,K115&gt;0),"Impact balistique","") &amp; IF(AND(H117&lt;0,vit_z&gt;=0),"Apogée","") &amp; IF(AND(Poussee=0,Q115&gt;0),"Fin de propulsion","") &amp; IF(AND(L117&gt;L_rampe,pos_xz&lt;=L_rampe),"Sortie de rampe","")</f>
        <v/>
      </c>
      <c r="Z116" s="423" t="str">
        <f aca="false">IF(ABS(t-T_para)&lt;pas/2,"Para","")</f>
        <v/>
      </c>
      <c r="AA116" s="424" t="str">
        <f aca="false">IF(ABS(t-T_satellite)&lt;pas/2,"Satellite","")</f>
        <v/>
      </c>
      <c r="AB116" s="412"/>
      <c r="AC116" s="420" t="e">
        <f aca="false">IF(ABS(t-ROUND(t,0))&lt;0.001,t,NA())</f>
        <v>#N/A</v>
      </c>
      <c r="AD116" s="425" t="e">
        <f aca="false">IF(ABS(t-ROUND(t,0))&lt;0.001,pos_x,NA())</f>
        <v>#N/A</v>
      </c>
      <c r="AE116" s="426" t="n">
        <f aca="false">IF(t&lt;T_para, pos_z, NA())</f>
        <v>52.5940414050188</v>
      </c>
      <c r="AF116" s="412"/>
      <c r="AG116" s="418" t="n">
        <f aca="false">IF(AND(L115&lt;L_rampe,Poussee&lt;Poids*SIN(M115)),0,(-W115+Poussee)/m-Poids*SIN(M115)/m)</f>
        <v>76.6521112119126</v>
      </c>
      <c r="AH116" s="417" t="n">
        <f aca="false">IF(AND(L115&lt;L_rampe,Poussee&lt;Poids*SIN(M115)), g*SIN(M115), (-W115+Poussee)/m)</f>
        <v>86.2654622284769</v>
      </c>
    </row>
    <row r="117" customFormat="false" ht="12" hidden="false" customHeight="false" outlineLevel="0" collapsed="false">
      <c r="A117" s="416" t="n">
        <f aca="false">IF(B116+0.01&lt;=T_ini+ROUNDUP(Temps_fin_propu,0), 0.01, IF(K116&gt;0, 0.1, 0.0001))</f>
        <v>0.01</v>
      </c>
      <c r="B117" s="417" t="n">
        <f aca="false">B116+pas</f>
        <v>1.13</v>
      </c>
      <c r="C117" s="401"/>
      <c r="D117" s="418" t="n">
        <f aca="false">IF(AND(L116&lt;L_rampe,Poussee&lt;Poids*SIN(M116)),0,(-W116+Poussee)/m*COS(M116)-U116/m*SIN(M116))</f>
        <v>17.157836681702</v>
      </c>
      <c r="E117" s="419" t="n">
        <f aca="false">IF(AND(L116&lt;L_rampe,Poussee&lt;Poids*SIN(M116)),0,(-W116+Poussee)/m*SIN(M116)+U116/m*COS(M116)-Poids/m)</f>
        <v>74.4980958602026</v>
      </c>
      <c r="F117" s="417" t="n">
        <f aca="false">SQRT(acc_x^2+acc_z^2)</f>
        <v>76.4483985861829</v>
      </c>
      <c r="G117" s="418" t="n">
        <f aca="false">G116+acc_x*pas</f>
        <v>19.0058252477916</v>
      </c>
      <c r="H117" s="419" t="n">
        <f aca="false">H116+acc_z*pas</f>
        <v>93.290417831149</v>
      </c>
      <c r="I117" s="417" t="n">
        <f aca="false">SQRT(vit_x^2+vit_z^2)</f>
        <v>95.2067405831118</v>
      </c>
      <c r="J117" s="418" t="n">
        <f aca="false">J116+0.5*(vit_x+G116)*pas*(K116&gt;=0)</f>
        <v>10.3515397673141</v>
      </c>
      <c r="K117" s="419" t="n">
        <f aca="false">K116+0.5*(vit_z+H116)*pas</f>
        <v>53.5232206785372</v>
      </c>
      <c r="L117" s="417" t="n">
        <f aca="false">SQRT(pos_x^2+pos_z^2)</f>
        <v>54.5150394602965</v>
      </c>
      <c r="M117" s="418" t="n">
        <f aca="false">IF(AND(L116&gt;L_rampe,G117&gt;0),ATAN2(G117,H117),$M$4)</f>
        <v>1.36981919803511</v>
      </c>
      <c r="N117" s="417" t="n">
        <f aca="false">DEGREES(Beta)</f>
        <v>78.4848587434068</v>
      </c>
      <c r="O117" s="401"/>
      <c r="P117" s="420" t="n">
        <f aca="false">MATCH(t-pas/2-T_ini,CdP_t)</f>
        <v>4</v>
      </c>
      <c r="Q117" s="417" t="n">
        <f aca="false">(INDEX(CdP,2,i_P+1)-INDEX(CdP,2,i_P+0))/(INDEX(CdP,1,i_P+1)-INDEX(CdP,1,i_P+0))*(t-pas/2-T_ini-INDEX(CdP,1,i_P+0))+INDEX(CdP,2,i_P+0)</f>
        <v>719</v>
      </c>
      <c r="R117" s="418" t="n">
        <f aca="false">Poussee/(g*ISP)</f>
        <v>0.360832600552865</v>
      </c>
      <c r="S117" s="419" t="n">
        <f aca="false">S116-Débit*pas</f>
        <v>7.96848172388831</v>
      </c>
      <c r="T117" s="417" t="n">
        <f aca="false">m*g</f>
        <v>78.1708057113444</v>
      </c>
      <c r="U117" s="421" t="n">
        <f aca="false">IF(pos_xz&lt;L_rampe,Poids*COS(Beta),0)</f>
        <v>0</v>
      </c>
      <c r="V117" s="418" t="n">
        <f aca="false">Rho_moyen*(20000-Alt_rampe-pos_z)/(20000+Alt_rampe+pos_z)</f>
        <v>1.21846090513775</v>
      </c>
      <c r="W117" s="417" t="n">
        <f aca="false">1/2*Rho*Sref*Cx*vit_xz^2</f>
        <v>33.9611748616455</v>
      </c>
      <c r="X117" s="401"/>
      <c r="Y117" s="422" t="str">
        <f aca="false">IF(AND(pos_z&lt;=0,K116&gt;0),"Impact balistique","") &amp; IF(AND(H118&lt;0,vit_z&gt;=0),"Apogée","") &amp; IF(AND(Poussee=0,Q116&gt;0),"Fin de propulsion","") &amp; IF(AND(L118&gt;L_rampe,pos_xz&lt;=L_rampe),"Sortie de rampe","")</f>
        <v/>
      </c>
      <c r="Z117" s="423" t="str">
        <f aca="false">IF(ABS(t-T_para)&lt;pas/2,"Para","")</f>
        <v/>
      </c>
      <c r="AA117" s="424" t="str">
        <f aca="false">IF(ABS(t-T_satellite)&lt;pas/2,"Satellite","")</f>
        <v/>
      </c>
      <c r="AB117" s="412"/>
      <c r="AC117" s="420" t="e">
        <f aca="false">IF(ABS(t-ROUND(t,0))&lt;0.001,t,NA())</f>
        <v>#N/A</v>
      </c>
      <c r="AD117" s="425" t="e">
        <f aca="false">IF(ABS(t-ROUND(t,0))&lt;0.001,pos_x,NA())</f>
        <v>#N/A</v>
      </c>
      <c r="AE117" s="426" t="n">
        <f aca="false">IF(t&lt;T_para, pos_z, NA())</f>
        <v>53.5232206785372</v>
      </c>
      <c r="AF117" s="412"/>
      <c r="AG117" s="418" t="n">
        <f aca="false">IF(AND(L116&lt;L_rampe,Poussee&lt;Poids*SIN(M116)),0,(-W116+Poussee)/m-Poids*SIN(M116)/m)</f>
        <v>76.4233621638111</v>
      </c>
      <c r="AH117" s="417" t="n">
        <f aca="false">IF(AND(L116&lt;L_rampe,Poussee&lt;Poids*SIN(M116)), g*SIN(M116), (-W116+Poussee)/m)</f>
        <v>86.0363085398779</v>
      </c>
    </row>
    <row r="118" customFormat="false" ht="12" hidden="false" customHeight="false" outlineLevel="0" collapsed="false">
      <c r="A118" s="416" t="n">
        <f aca="false">IF(B117+0.01&lt;=T_ini+ROUNDUP(Temps_fin_propu,0), 0.01, IF(K117&gt;0, 0.1, 0.0001))</f>
        <v>0.01</v>
      </c>
      <c r="B118" s="417" t="n">
        <f aca="false">B117+pas</f>
        <v>1.14</v>
      </c>
      <c r="C118" s="401"/>
      <c r="D118" s="418" t="n">
        <f aca="false">IF(AND(L117&lt;L_rampe,Poussee&lt;Poids*SIN(M117)),0,(-W117+Poussee)/m*COS(M117)-U117/m*SIN(M117))</f>
        <v>17.1292901703048</v>
      </c>
      <c r="E118" s="419" t="n">
        <f aca="false">IF(AND(L117&lt;L_rampe,Poussee&lt;Poids*SIN(M117)),0,(-W117+Poussee)/m*SIN(M117)+U117/m*COS(M117)-Poids/m)</f>
        <v>74.2694133537775</v>
      </c>
      <c r="F118" s="417" t="n">
        <f aca="false">SQRT(acc_x^2+acc_z^2)</f>
        <v>76.2191468179274</v>
      </c>
      <c r="G118" s="418" t="n">
        <f aca="false">G117+acc_x*pas</f>
        <v>19.1771181494947</v>
      </c>
      <c r="H118" s="419" t="n">
        <f aca="false">H117+acc_z*pas</f>
        <v>94.0331119646868</v>
      </c>
      <c r="I118" s="417" t="n">
        <f aca="false">SQRT(vit_x^2+vit_z^2)</f>
        <v>95.9686824244399</v>
      </c>
      <c r="J118" s="418" t="n">
        <f aca="false">J117+0.5*(vit_x+G117)*pas*(K117&gt;=0)</f>
        <v>10.5424544843005</v>
      </c>
      <c r="K118" s="419" t="n">
        <f aca="false">K117+0.5*(vit_z+H117)*pas</f>
        <v>54.4598383275164</v>
      </c>
      <c r="L118" s="417" t="n">
        <f aca="false">SQRT(pos_x^2+pos_z^2)</f>
        <v>55.4708692667852</v>
      </c>
      <c r="M118" s="418" t="n">
        <f aca="false">IF(AND(L117&gt;L_rampe,G118&gt;0),ATAN2(G118,H118),$M$4)</f>
        <v>1.36961513773898</v>
      </c>
      <c r="N118" s="417" t="n">
        <f aca="false">DEGREES(Beta)</f>
        <v>78.4731669496725</v>
      </c>
      <c r="O118" s="401"/>
      <c r="P118" s="420" t="n">
        <f aca="false">MATCH(t-pas/2-T_ini,CdP_t)</f>
        <v>4</v>
      </c>
      <c r="Q118" s="417" t="n">
        <f aca="false">(INDEX(CdP,2,i_P+1)-INDEX(CdP,2,i_P+0))/(INDEX(CdP,1,i_P+1)-INDEX(CdP,1,i_P+0))*(t-pas/2-T_ini-INDEX(CdP,1,i_P+0))+INDEX(CdP,2,i_P+0)</f>
        <v>717.4</v>
      </c>
      <c r="R118" s="418" t="n">
        <f aca="false">Poussee/(g*ISP)</f>
        <v>0.360029635099618</v>
      </c>
      <c r="S118" s="419" t="n">
        <f aca="false">S117-Débit*pas</f>
        <v>7.96488142753732</v>
      </c>
      <c r="T118" s="417" t="n">
        <f aca="false">m*g</f>
        <v>78.1354868041411</v>
      </c>
      <c r="U118" s="421" t="n">
        <f aca="false">IF(pos_xz&lt;L_rampe,Poids*COS(Beta),0)</f>
        <v>0</v>
      </c>
      <c r="V118" s="418" t="n">
        <f aca="false">Rho_moyen*(20000-Alt_rampe-pos_z)/(20000+Alt_rampe+pos_z)</f>
        <v>1.21834678645159</v>
      </c>
      <c r="W118" s="417" t="n">
        <f aca="false">1/2*Rho*Sref*Cx*vit_xz^2</f>
        <v>34.5037023709908</v>
      </c>
      <c r="X118" s="401"/>
      <c r="Y118" s="422" t="str">
        <f aca="false">IF(AND(pos_z&lt;=0,K117&gt;0),"Impact balistique","") &amp; IF(AND(H119&lt;0,vit_z&gt;=0),"Apogée","") &amp; IF(AND(Poussee=0,Q117&gt;0),"Fin de propulsion","") &amp; IF(AND(L119&gt;L_rampe,pos_xz&lt;=L_rampe),"Sortie de rampe","")</f>
        <v/>
      </c>
      <c r="Z118" s="423" t="str">
        <f aca="false">IF(ABS(t-T_para)&lt;pas/2,"Para","")</f>
        <v/>
      </c>
      <c r="AA118" s="424" t="str">
        <f aca="false">IF(ABS(t-T_satellite)&lt;pas/2,"Satellite","")</f>
        <v/>
      </c>
      <c r="AB118" s="412"/>
      <c r="AC118" s="420" t="e">
        <f aca="false">IF(ABS(t-ROUND(t,0))&lt;0.001,t,NA())</f>
        <v>#N/A</v>
      </c>
      <c r="AD118" s="425" t="e">
        <f aca="false">IF(ABS(t-ROUND(t,0))&lt;0.001,pos_x,NA())</f>
        <v>#N/A</v>
      </c>
      <c r="AE118" s="426" t="n">
        <f aca="false">IF(t&lt;T_para, pos_z, NA())</f>
        <v>54.4598383275164</v>
      </c>
      <c r="AF118" s="412"/>
      <c r="AG118" s="418" t="n">
        <f aca="false">IF(AND(L117&lt;L_rampe,Poussee&lt;Poids*SIN(M117)),0,(-W117+Poussee)/m-Poids*SIN(M117)/m)</f>
        <v>76.1939843231071</v>
      </c>
      <c r="AH118" s="417" t="n">
        <f aca="false">IF(AND(L117&lt;L_rampe,Poussee&lt;Poids*SIN(M117)), g*SIN(M117), (-W117+Poussee)/m)</f>
        <v>85.8065284908665</v>
      </c>
    </row>
    <row r="119" customFormat="false" ht="12" hidden="false" customHeight="false" outlineLevel="0" collapsed="false">
      <c r="A119" s="416" t="n">
        <f aca="false">IF(B118+0.01&lt;=T_ini+ROUNDUP(Temps_fin_propu,0), 0.01, IF(K118&gt;0, 0.1, 0.0001))</f>
        <v>0.01</v>
      </c>
      <c r="B119" s="417" t="n">
        <f aca="false">B118+pas</f>
        <v>1.15</v>
      </c>
      <c r="C119" s="401"/>
      <c r="D119" s="418" t="n">
        <f aca="false">IF(AND(L118&lt;L_rampe,Poussee&lt;Poids*SIN(M118)),0,(-W118+Poussee)/m*COS(M118)-U118/m*SIN(M118))</f>
        <v>17.1004068161011</v>
      </c>
      <c r="E119" s="419" t="n">
        <f aca="false">IF(AND(L118&lt;L_rampe,Poussee&lt;Poids*SIN(M118)),0,(-W118+Poussee)/m*SIN(M118)+U118/m*COS(M118)-Poids/m)</f>
        <v>74.0401622738607</v>
      </c>
      <c r="F119" s="417" t="n">
        <f aca="false">SQRT(acc_x^2+acc_z^2)</f>
        <v>75.9892725509054</v>
      </c>
      <c r="G119" s="418" t="n">
        <f aca="false">G118+acc_x*pas</f>
        <v>19.3481222176557</v>
      </c>
      <c r="H119" s="419" t="n">
        <f aca="false">H118+acc_z*pas</f>
        <v>94.7735135874254</v>
      </c>
      <c r="I119" s="417" t="n">
        <f aca="false">SQRT(vit_x^2+vit_z^2)</f>
        <v>96.7283242440147</v>
      </c>
      <c r="J119" s="418" t="n">
        <f aca="false">J118+0.5*(vit_x+G118)*pas*(K118&gt;=0)</f>
        <v>10.7350806861363</v>
      </c>
      <c r="K119" s="419" t="n">
        <f aca="false">K118+0.5*(vit_z+H118)*pas</f>
        <v>55.403871455277</v>
      </c>
      <c r="L119" s="417" t="n">
        <f aca="false">SQRT(pos_x^2+pos_z^2)</f>
        <v>56.434306317795</v>
      </c>
      <c r="M119" s="418" t="n">
        <f aca="false">IF(AND(L118&gt;L_rampe,G119&gt;0),ATAN2(G119,H119),$M$4)</f>
        <v>1.36941247721649</v>
      </c>
      <c r="N119" s="417" t="n">
        <f aca="false">DEGREES(Beta)</f>
        <v>78.4615553570598</v>
      </c>
      <c r="O119" s="401"/>
      <c r="P119" s="420" t="n">
        <f aca="false">MATCH(t-pas/2-T_ini,CdP_t)</f>
        <v>4</v>
      </c>
      <c r="Q119" s="417" t="n">
        <f aca="false">(INDEX(CdP,2,i_P+1)-INDEX(CdP,2,i_P+0))/(INDEX(CdP,1,i_P+1)-INDEX(CdP,1,i_P+0))*(t-pas/2-T_ini-INDEX(CdP,1,i_P+0))+INDEX(CdP,2,i_P+0)</f>
        <v>715.8</v>
      </c>
      <c r="R119" s="418" t="n">
        <f aca="false">Poussee/(g*ISP)</f>
        <v>0.359226669646371</v>
      </c>
      <c r="S119" s="419" t="n">
        <f aca="false">S118-Débit*pas</f>
        <v>7.96128916084086</v>
      </c>
      <c r="T119" s="417" t="n">
        <f aca="false">m*g</f>
        <v>78.1002466678488</v>
      </c>
      <c r="U119" s="421" t="n">
        <f aca="false">IF(pos_xz&lt;L_rampe,Poids*COS(Beta),0)</f>
        <v>0</v>
      </c>
      <c r="V119" s="418" t="n">
        <f aca="false">Rho_moyen*(20000-Alt_rampe-pos_z)/(20000+Alt_rampe+pos_z)</f>
        <v>1.21823177504001</v>
      </c>
      <c r="W119" s="417" t="n">
        <f aca="false">1/2*Rho*Sref*Cx*vit_xz^2</f>
        <v>35.0487846571258</v>
      </c>
      <c r="X119" s="401"/>
      <c r="Y119" s="422" t="str">
        <f aca="false">IF(AND(pos_z&lt;=0,K118&gt;0),"Impact balistique","") &amp; IF(AND(H120&lt;0,vit_z&gt;=0),"Apogée","") &amp; IF(AND(Poussee=0,Q118&gt;0),"Fin de propulsion","") &amp; IF(AND(L120&gt;L_rampe,pos_xz&lt;=L_rampe),"Sortie de rampe","")</f>
        <v/>
      </c>
      <c r="Z119" s="423" t="str">
        <f aca="false">IF(ABS(t-T_para)&lt;pas/2,"Para","")</f>
        <v/>
      </c>
      <c r="AA119" s="424" t="str">
        <f aca="false">IF(ABS(t-T_satellite)&lt;pas/2,"Satellite","")</f>
        <v/>
      </c>
      <c r="AB119" s="412"/>
      <c r="AC119" s="420" t="e">
        <f aca="false">IF(ABS(t-ROUND(t,0))&lt;0.001,t,NA())</f>
        <v>#N/A</v>
      </c>
      <c r="AD119" s="425" t="e">
        <f aca="false">IF(ABS(t-ROUND(t,0))&lt;0.001,pos_x,NA())</f>
        <v>#N/A</v>
      </c>
      <c r="AE119" s="426" t="n">
        <f aca="false">IF(t&lt;T_para, pos_z, NA())</f>
        <v>55.403871455277</v>
      </c>
      <c r="AF119" s="412"/>
      <c r="AG119" s="418" t="n">
        <f aca="false">IF(AND(L118&lt;L_rampe,Poussee&lt;Poids*SIN(M118)),0,(-W118+Poussee)/m-Poids*SIN(M118)/m)</f>
        <v>75.9639833196435</v>
      </c>
      <c r="AH119" s="417" t="n">
        <f aca="false">IF(AND(L118&lt;L_rampe,Poussee&lt;Poids*SIN(M118)), g*SIN(M118), (-W118+Poussee)/m)</f>
        <v>85.5761276678778</v>
      </c>
    </row>
    <row r="120" customFormat="false" ht="12" hidden="false" customHeight="false" outlineLevel="0" collapsed="false">
      <c r="A120" s="416" t="n">
        <f aca="false">IF(B119+0.01&lt;=T_ini+ROUNDUP(Temps_fin_propu,0), 0.01, IF(K119&gt;0, 0.1, 0.0001))</f>
        <v>0.01</v>
      </c>
      <c r="B120" s="417" t="n">
        <f aca="false">B119+pas</f>
        <v>1.16</v>
      </c>
      <c r="C120" s="401"/>
      <c r="D120" s="418" t="n">
        <f aca="false">IF(AND(L119&lt;L_rampe,Poussee&lt;Poids*SIN(M119)),0,(-W119+Poussee)/m*COS(M119)-U119/m*SIN(M119))</f>
        <v>17.0711905136178</v>
      </c>
      <c r="E120" s="419" t="n">
        <f aca="false">IF(AND(L119&lt;L_rampe,Poussee&lt;Poids*SIN(M119)),0,(-W119+Poussee)/m*SIN(M119)+U119/m*COS(M119)-Poids/m)</f>
        <v>73.8103476438406</v>
      </c>
      <c r="F120" s="417" t="n">
        <f aca="false">SQRT(acc_x^2+acc_z^2)</f>
        <v>75.7587814372489</v>
      </c>
      <c r="G120" s="418" t="n">
        <f aca="false">G119+acc_x*pas</f>
        <v>19.5188341227918</v>
      </c>
      <c r="H120" s="419" t="n">
        <f aca="false">H119+acc_z*pas</f>
        <v>95.5116170638638</v>
      </c>
      <c r="I120" s="417" t="n">
        <f aca="false">SQRT(vit_x^2+vit_z^2)</f>
        <v>97.4856598668092</v>
      </c>
      <c r="J120" s="418" t="n">
        <f aca="false">J119+0.5*(vit_x+G119)*pas*(K119&gt;=0)</f>
        <v>10.9294154678385</v>
      </c>
      <c r="K120" s="419" t="n">
        <f aca="false">K119+0.5*(vit_z+H119)*pas</f>
        <v>56.3552971085334</v>
      </c>
      <c r="L120" s="417" t="n">
        <f aca="false">SQRT(pos_x^2+pos_z^2)</f>
        <v>57.4053275808065</v>
      </c>
      <c r="M120" s="418" t="n">
        <f aca="false">IF(AND(L119&gt;L_rampe,G120&gt;0),ATAN2(G120,H120),$M$4)</f>
        <v>1.36921119127992</v>
      </c>
      <c r="N120" s="417" t="n">
        <f aca="false">DEGREES(Beta)</f>
        <v>78.4500225224189</v>
      </c>
      <c r="O120" s="401"/>
      <c r="P120" s="420" t="n">
        <f aca="false">MATCH(t-pas/2-T_ini,CdP_t)</f>
        <v>4</v>
      </c>
      <c r="Q120" s="417" t="n">
        <f aca="false">(INDEX(CdP,2,i_P+1)-INDEX(CdP,2,i_P+0))/(INDEX(CdP,1,i_P+1)-INDEX(CdP,1,i_P+0))*(t-pas/2-T_ini-INDEX(CdP,1,i_P+0))+INDEX(CdP,2,i_P+0)</f>
        <v>714.2</v>
      </c>
      <c r="R120" s="418" t="n">
        <f aca="false">Poussee/(g*ISP)</f>
        <v>0.358423704193124</v>
      </c>
      <c r="S120" s="419" t="n">
        <f aca="false">S119-Débit*pas</f>
        <v>7.95770492379892</v>
      </c>
      <c r="T120" s="417" t="n">
        <f aca="false">m*g</f>
        <v>78.0650853024675</v>
      </c>
      <c r="U120" s="421" t="n">
        <f aca="false">IF(pos_xz&lt;L_rampe,Poids*COS(Beta),0)</f>
        <v>0</v>
      </c>
      <c r="V120" s="418" t="n">
        <f aca="false">Rho_moyen*(20000-Alt_rampe-pos_z)/(20000+Alt_rampe+pos_z)</f>
        <v>1.21811587395264</v>
      </c>
      <c r="W120" s="417" t="n">
        <f aca="false">1/2*Rho*Sref*Cx*vit_xz^2</f>
        <v>35.5963760683549</v>
      </c>
      <c r="X120" s="401"/>
      <c r="Y120" s="422" t="str">
        <f aca="false">IF(AND(pos_z&lt;=0,K119&gt;0),"Impact balistique","") &amp; IF(AND(H121&lt;0,vit_z&gt;=0),"Apogée","") &amp; IF(AND(Poussee=0,Q119&gt;0),"Fin de propulsion","") &amp; IF(AND(L121&gt;L_rampe,pos_xz&lt;=L_rampe),"Sortie de rampe","")</f>
        <v/>
      </c>
      <c r="Z120" s="423" t="str">
        <f aca="false">IF(ABS(t-T_para)&lt;pas/2,"Para","")</f>
        <v/>
      </c>
      <c r="AA120" s="424" t="str">
        <f aca="false">IF(ABS(t-T_satellite)&lt;pas/2,"Satellite","")</f>
        <v/>
      </c>
      <c r="AB120" s="412"/>
      <c r="AC120" s="420" t="e">
        <f aca="false">IF(ABS(t-ROUND(t,0))&lt;0.001,t,NA())</f>
        <v>#N/A</v>
      </c>
      <c r="AD120" s="425" t="e">
        <f aca="false">IF(ABS(t-ROUND(t,0))&lt;0.001,pos_x,NA())</f>
        <v>#N/A</v>
      </c>
      <c r="AE120" s="426" t="n">
        <f aca="false">IF(t&lt;T_para, pos_z, NA())</f>
        <v>56.3552971085334</v>
      </c>
      <c r="AF120" s="412"/>
      <c r="AG120" s="418" t="n">
        <f aca="false">IF(AND(L119&lt;L_rampe,Poussee&lt;Poids*SIN(M119)),0,(-W119+Poussee)/m-Poids*SIN(M119)/m)</f>
        <v>75.7333647928649</v>
      </c>
      <c r="AH120" s="417" t="n">
        <f aca="false">IF(AND(L119&lt;L_rampe,Poussee&lt;Poids*SIN(M119)), g*SIN(M119), (-W119+Poussee)/m)</f>
        <v>85.3451116680329</v>
      </c>
    </row>
    <row r="121" customFormat="false" ht="12" hidden="false" customHeight="false" outlineLevel="0" collapsed="false">
      <c r="A121" s="416" t="n">
        <f aca="false">IF(B120+0.01&lt;=T_ini+ROUNDUP(Temps_fin_propu,0), 0.01, IF(K120&gt;0, 0.1, 0.0001))</f>
        <v>0.01</v>
      </c>
      <c r="B121" s="417" t="n">
        <f aca="false">B120+pas</f>
        <v>1.17</v>
      </c>
      <c r="C121" s="401"/>
      <c r="D121" s="418" t="n">
        <f aca="false">IF(AND(L120&lt;L_rampe,Poussee&lt;Poids*SIN(M120)),0,(-W120+Poussee)/m*COS(M120)-U120/m*SIN(M120))</f>
        <v>17.0416450895759</v>
      </c>
      <c r="E121" s="419" t="n">
        <f aca="false">IF(AND(L120&lt;L_rampe,Poussee&lt;Poids*SIN(M120)),0,(-W120+Poussee)/m*SIN(M120)+U120/m*COS(M120)-Poids/m)</f>
        <v>73.5799745084281</v>
      </c>
      <c r="F121" s="417" t="n">
        <f aca="false">SQRT(acc_x^2+acc_z^2)</f>
        <v>75.5276791383133</v>
      </c>
      <c r="G121" s="418" t="n">
        <f aca="false">G120+acc_x*pas</f>
        <v>19.6892505736876</v>
      </c>
      <c r="H121" s="419" t="n">
        <f aca="false">H120+acc_z*pas</f>
        <v>96.2474168089481</v>
      </c>
      <c r="I121" s="417" t="n">
        <f aca="false">SQRT(vit_x^2+vit_z^2)</f>
        <v>98.2406831742778</v>
      </c>
      <c r="J121" s="418" t="n">
        <f aca="false">J120+0.5*(vit_x+G120)*pas*(K120&gt;=0)</f>
        <v>11.1254558913209</v>
      </c>
      <c r="K121" s="419" t="n">
        <f aca="false">K120+0.5*(vit_z+H120)*pas</f>
        <v>57.3140922778975</v>
      </c>
      <c r="L121" s="417" t="n">
        <f aca="false">SQRT(pos_x^2+pos_z^2)</f>
        <v>58.3839099618129</v>
      </c>
      <c r="M121" s="418" t="n">
        <f aca="false">IF(AND(L120&gt;L_rampe,G121&gt;0),ATAN2(G121,H121),$M$4)</f>
        <v>1.36901125538361</v>
      </c>
      <c r="N121" s="417" t="n">
        <f aca="false">DEGREES(Beta)</f>
        <v>78.4385670393875</v>
      </c>
      <c r="O121" s="401"/>
      <c r="P121" s="420" t="n">
        <f aca="false">MATCH(t-pas/2-T_ini,CdP_t)</f>
        <v>4</v>
      </c>
      <c r="Q121" s="417" t="n">
        <f aca="false">(INDEX(CdP,2,i_P+1)-INDEX(CdP,2,i_P+0))/(INDEX(CdP,1,i_P+1)-INDEX(CdP,1,i_P+0))*(t-pas/2-T_ini-INDEX(CdP,1,i_P+0))+INDEX(CdP,2,i_P+0)</f>
        <v>712.6</v>
      </c>
      <c r="R121" s="418" t="n">
        <f aca="false">Poussee/(g*ISP)</f>
        <v>0.357620738739877</v>
      </c>
      <c r="S121" s="419" t="n">
        <f aca="false">S120-Débit*pas</f>
        <v>7.95412871641153</v>
      </c>
      <c r="T121" s="417" t="n">
        <f aca="false">m*g</f>
        <v>78.0300027079971</v>
      </c>
      <c r="U121" s="421" t="n">
        <f aca="false">IF(pos_xz&lt;L_rampe,Poids*COS(Beta),0)</f>
        <v>0</v>
      </c>
      <c r="V121" s="418" t="n">
        <f aca="false">Rho_moyen*(20000-Alt_rampe-pos_z)/(20000+Alt_rampe+pos_z)</f>
        <v>1.2179990862468</v>
      </c>
      <c r="W121" s="417" t="n">
        <f aca="false">1/2*Rho*Sref*Cx*vit_xz^2</f>
        <v>36.1464309844946</v>
      </c>
      <c r="X121" s="401"/>
      <c r="Y121" s="422" t="str">
        <f aca="false">IF(AND(pos_z&lt;=0,K120&gt;0),"Impact balistique","") &amp; IF(AND(H122&lt;0,vit_z&gt;=0),"Apogée","") &amp; IF(AND(Poussee=0,Q120&gt;0),"Fin de propulsion","") &amp; IF(AND(L122&gt;L_rampe,pos_xz&lt;=L_rampe),"Sortie de rampe","")</f>
        <v/>
      </c>
      <c r="Z121" s="423" t="str">
        <f aca="false">IF(ABS(t-T_para)&lt;pas/2,"Para","")</f>
        <v/>
      </c>
      <c r="AA121" s="424" t="str">
        <f aca="false">IF(ABS(t-T_satellite)&lt;pas/2,"Satellite","")</f>
        <v/>
      </c>
      <c r="AB121" s="412"/>
      <c r="AC121" s="420" t="e">
        <f aca="false">IF(ABS(t-ROUND(t,0))&lt;0.001,t,NA())</f>
        <v>#N/A</v>
      </c>
      <c r="AD121" s="425" t="e">
        <f aca="false">IF(ABS(t-ROUND(t,0))&lt;0.001,pos_x,NA())</f>
        <v>#N/A</v>
      </c>
      <c r="AE121" s="426" t="n">
        <f aca="false">IF(t&lt;T_para, pos_z, NA())</f>
        <v>57.3140922778975</v>
      </c>
      <c r="AF121" s="412"/>
      <c r="AG121" s="418" t="n">
        <f aca="false">IF(AND(L120&lt;L_rampe,Poussee&lt;Poids*SIN(M120)),0,(-W120+Poussee)/m-Poids*SIN(M120)/m)</f>
        <v>75.502134391427</v>
      </c>
      <c r="AH121" s="417" t="n">
        <f aca="false">IF(AND(L120&lt;L_rampe,Poussee&lt;Poids*SIN(M120)), g*SIN(M120), (-W120+Poussee)/m)</f>
        <v>85.1134860987103</v>
      </c>
    </row>
    <row r="122" customFormat="false" ht="12" hidden="false" customHeight="false" outlineLevel="0" collapsed="false">
      <c r="A122" s="416" t="n">
        <f aca="false">IF(B121+0.01&lt;=T_ini+ROUNDUP(Temps_fin_propu,0), 0.01, IF(K121&gt;0, 0.1, 0.0001))</f>
        <v>0.01</v>
      </c>
      <c r="B122" s="417" t="n">
        <f aca="false">B121+pas</f>
        <v>1.18</v>
      </c>
      <c r="C122" s="401"/>
      <c r="D122" s="418" t="n">
        <f aca="false">IF(AND(L121&lt;L_rampe,Poussee&lt;Poids*SIN(M121)),0,(-W121+Poussee)/m*COS(M121)-U121/m*SIN(M121))</f>
        <v>17.0117743052703</v>
      </c>
      <c r="E122" s="419" t="n">
        <f aca="false">IF(AND(L121&lt;L_rampe,Poussee&lt;Poids*SIN(M121)),0,(-W121+Poussee)/m*SIN(M121)+U121/m*COS(M121)-Poids/m)</f>
        <v>73.3490479328458</v>
      </c>
      <c r="F122" s="417" t="n">
        <f aca="false">SQRT(acc_x^2+acc_z^2)</f>
        <v>75.2959713242905</v>
      </c>
      <c r="G122" s="418" t="n">
        <f aca="false">G121+acc_x*pas</f>
        <v>19.8593683167403</v>
      </c>
      <c r="H122" s="419" t="n">
        <f aca="false">H121+acc_z*pas</f>
        <v>96.9809072882765</v>
      </c>
      <c r="I122" s="417" t="n">
        <f aca="false">SQRT(vit_x^2+vit_z^2)</f>
        <v>98.9933881044448</v>
      </c>
      <c r="J122" s="418" t="n">
        <f aca="false">J121+0.5*(vit_x+G121)*pas*(K121&gt;=0)</f>
        <v>11.323198985773</v>
      </c>
      <c r="K122" s="419" t="n">
        <f aca="false">K121+0.5*(vit_z+H121)*pas</f>
        <v>58.2802338983836</v>
      </c>
      <c r="L122" s="417" t="n">
        <f aca="false">SQRT(pos_x^2+pos_z^2)</f>
        <v>59.3700303058851</v>
      </c>
      <c r="M122" s="418" t="n">
        <f aca="false">IF(AND(L121&gt;L_rampe,G122&gt;0),ATAN2(G122,H122),$M$4)</f>
        <v>1.36881264560201</v>
      </c>
      <c r="N122" s="417" t="n">
        <f aca="false">DEGREES(Beta)</f>
        <v>78.4271875371315</v>
      </c>
      <c r="O122" s="401"/>
      <c r="P122" s="420" t="n">
        <f aca="false">MATCH(t-pas/2-T_ini,CdP_t)</f>
        <v>4</v>
      </c>
      <c r="Q122" s="417" t="n">
        <f aca="false">(INDEX(CdP,2,i_P+1)-INDEX(CdP,2,i_P+0))/(INDEX(CdP,1,i_P+1)-INDEX(CdP,1,i_P+0))*(t-pas/2-T_ini-INDEX(CdP,1,i_P+0))+INDEX(CdP,2,i_P+0)</f>
        <v>711</v>
      </c>
      <c r="R122" s="418" t="n">
        <f aca="false">Poussee/(g*ISP)</f>
        <v>0.35681777328663</v>
      </c>
      <c r="S122" s="419" t="n">
        <f aca="false">S121-Débit*pas</f>
        <v>7.95056053867866</v>
      </c>
      <c r="T122" s="417" t="n">
        <f aca="false">m*g</f>
        <v>77.9949988844377</v>
      </c>
      <c r="U122" s="421" t="n">
        <f aca="false">IF(pos_xz&lt;L_rampe,Poids*COS(Beta),0)</f>
        <v>0</v>
      </c>
      <c r="V122" s="418" t="n">
        <f aca="false">Rho_moyen*(20000-Alt_rampe-pos_z)/(20000+Alt_rampe+pos_z)</f>
        <v>1.21788141498743</v>
      </c>
      <c r="W122" s="417" t="n">
        <f aca="false">1/2*Rho*Sref*Cx*vit_xz^2</f>
        <v>36.6989038199887</v>
      </c>
      <c r="X122" s="401"/>
      <c r="Y122" s="422" t="str">
        <f aca="false">IF(AND(pos_z&lt;=0,K121&gt;0),"Impact balistique","") &amp; IF(AND(H123&lt;0,vit_z&gt;=0),"Apogée","") &amp; IF(AND(Poussee=0,Q121&gt;0),"Fin de propulsion","") &amp; IF(AND(L123&gt;L_rampe,pos_xz&lt;=L_rampe),"Sortie de rampe","")</f>
        <v/>
      </c>
      <c r="Z122" s="423" t="str">
        <f aca="false">IF(ABS(t-T_para)&lt;pas/2,"Para","")</f>
        <v/>
      </c>
      <c r="AA122" s="424" t="str">
        <f aca="false">IF(ABS(t-T_satellite)&lt;pas/2,"Satellite","")</f>
        <v/>
      </c>
      <c r="AB122" s="412"/>
      <c r="AC122" s="420" t="e">
        <f aca="false">IF(ABS(t-ROUND(t,0))&lt;0.001,t,NA())</f>
        <v>#N/A</v>
      </c>
      <c r="AD122" s="425" t="e">
        <f aca="false">IF(ABS(t-ROUND(t,0))&lt;0.001,pos_x,NA())</f>
        <v>#N/A</v>
      </c>
      <c r="AE122" s="426" t="n">
        <f aca="false">IF(t&lt;T_para, pos_z, NA())</f>
        <v>58.2802338983836</v>
      </c>
      <c r="AF122" s="412"/>
      <c r="AG122" s="418" t="n">
        <f aca="false">IF(AND(L121&lt;L_rampe,Poussee&lt;Poids*SIN(M121)),0,(-W121+Poussee)/m-Poids*SIN(M121)/m)</f>
        <v>75.2702977728042</v>
      </c>
      <c r="AH122" s="417" t="n">
        <f aca="false">IF(AND(L121&lt;L_rampe,Poussee&lt;Poids*SIN(M121)), g*SIN(M121), (-W121+Poussee)/m)</f>
        <v>84.8812565771196</v>
      </c>
    </row>
    <row r="123" customFormat="false" ht="12" hidden="false" customHeight="false" outlineLevel="0" collapsed="false">
      <c r="A123" s="416" t="n">
        <f aca="false">IF(B122+0.01&lt;=T_ini+ROUNDUP(Temps_fin_propu,0), 0.01, IF(K122&gt;0, 0.1, 0.0001))</f>
        <v>0.01</v>
      </c>
      <c r="B123" s="417" t="n">
        <f aca="false">B122+pas</f>
        <v>1.19</v>
      </c>
      <c r="C123" s="401"/>
      <c r="D123" s="418" t="n">
        <f aca="false">IF(AND(L122&lt;L_rampe,Poussee&lt;Poids*SIN(M122)),0,(-W122+Poussee)/m*COS(M122)-U122/m*SIN(M122))</f>
        <v>16.9815818588436</v>
      </c>
      <c r="E123" s="419" t="n">
        <f aca="false">IF(AND(L122&lt;L_rampe,Poussee&lt;Poids*SIN(M122)),0,(-W122+Poussee)/m*SIN(M122)+U122/m*COS(M122)-Poids/m)</f>
        <v>73.1175730020355</v>
      </c>
      <c r="F123" s="417" t="n">
        <f aca="false">SQRT(acc_x^2+acc_z^2)</f>
        <v>75.0636636738215</v>
      </c>
      <c r="G123" s="418" t="n">
        <f aca="false">G122+acc_x*pas</f>
        <v>20.0291841353287</v>
      </c>
      <c r="H123" s="419" t="n">
        <f aca="false">H122+acc_z*pas</f>
        <v>97.7120830182969</v>
      </c>
      <c r="I123" s="417" t="n">
        <f aca="false">SQRT(vit_x^2+vit_z^2)</f>
        <v>99.7437686519887</v>
      </c>
      <c r="J123" s="418" t="n">
        <f aca="false">J122+0.5*(vit_x+G122)*pas*(K122&gt;=0)</f>
        <v>11.5226417480334</v>
      </c>
      <c r="K123" s="419" t="n">
        <f aca="false">K122+0.5*(vit_z+H122)*pas</f>
        <v>59.2536988499165</v>
      </c>
      <c r="L123" s="417" t="n">
        <f aca="false">SQRT(pos_x^2+pos_z^2)</f>
        <v>60.3636653977384</v>
      </c>
      <c r="M123" s="418" t="n">
        <f aca="false">IF(AND(L122&gt;L_rampe,G123&gt;0),ATAN2(G123,H123),$M$4)</f>
        <v>1.36861533860857</v>
      </c>
      <c r="N123" s="417" t="n">
        <f aca="false">DEGREES(Beta)</f>
        <v>78.4158826791392</v>
      </c>
      <c r="O123" s="401"/>
      <c r="P123" s="420" t="n">
        <f aca="false">MATCH(t-pas/2-T_ini,CdP_t)</f>
        <v>4</v>
      </c>
      <c r="Q123" s="417" t="n">
        <f aca="false">(INDEX(CdP,2,i_P+1)-INDEX(CdP,2,i_P+0))/(INDEX(CdP,1,i_P+1)-INDEX(CdP,1,i_P+0))*(t-pas/2-T_ini-INDEX(CdP,1,i_P+0))+INDEX(CdP,2,i_P+0)</f>
        <v>709.4</v>
      </c>
      <c r="R123" s="418" t="n">
        <f aca="false">Poussee/(g*ISP)</f>
        <v>0.356014807833383</v>
      </c>
      <c r="S123" s="419" t="n">
        <f aca="false">S122-Débit*pas</f>
        <v>7.94700039060033</v>
      </c>
      <c r="T123" s="417" t="n">
        <f aca="false">m*g</f>
        <v>77.9600738317892</v>
      </c>
      <c r="U123" s="421" t="n">
        <f aca="false">IF(pos_xz&lt;L_rampe,Poids*COS(Beta),0)</f>
        <v>0</v>
      </c>
      <c r="V123" s="418" t="n">
        <f aca="false">Rho_moyen*(20000-Alt_rampe-pos_z)/(20000+Alt_rampe+pos_z)</f>
        <v>1.21776286324697</v>
      </c>
      <c r="W123" s="417" t="n">
        <f aca="false">1/2*Rho*Sref*Cx*vit_xz^2</f>
        <v>37.2537490270076</v>
      </c>
      <c r="X123" s="401"/>
      <c r="Y123" s="422" t="str">
        <f aca="false">IF(AND(pos_z&lt;=0,K122&gt;0),"Impact balistique","") &amp; IF(AND(H124&lt;0,vit_z&gt;=0),"Apogée","") &amp; IF(AND(Poussee=0,Q122&gt;0),"Fin de propulsion","") &amp; IF(AND(L124&gt;L_rampe,pos_xz&lt;=L_rampe),"Sortie de rampe","")</f>
        <v/>
      </c>
      <c r="Z123" s="423" t="str">
        <f aca="false">IF(ABS(t-T_para)&lt;pas/2,"Para","")</f>
        <v/>
      </c>
      <c r="AA123" s="424" t="str">
        <f aca="false">IF(ABS(t-T_satellite)&lt;pas/2,"Satellite","")</f>
        <v/>
      </c>
      <c r="AB123" s="412"/>
      <c r="AC123" s="420" t="e">
        <f aca="false">IF(ABS(t-ROUND(t,0))&lt;0.001,t,NA())</f>
        <v>#N/A</v>
      </c>
      <c r="AD123" s="425" t="e">
        <f aca="false">IF(ABS(t-ROUND(t,0))&lt;0.001,pos_x,NA())</f>
        <v>#N/A</v>
      </c>
      <c r="AE123" s="426" t="n">
        <f aca="false">IF(t&lt;T_para, pos_z, NA())</f>
        <v>59.2536988499165</v>
      </c>
      <c r="AF123" s="412"/>
      <c r="AG123" s="418" t="n">
        <f aca="false">IF(AND(L122&lt;L_rampe,Poussee&lt;Poids*SIN(M122)),0,(-W122+Poussee)/m-Poids*SIN(M122)/m)</f>
        <v>75.0378606028973</v>
      </c>
      <c r="AH123" s="417" t="n">
        <f aca="false">IF(AND(L122&lt;L_rampe,Poussee&lt;Poids*SIN(M122)), g*SIN(M122), (-W122+Poussee)/m)</f>
        <v>84.6484287298738</v>
      </c>
    </row>
    <row r="124" customFormat="false" ht="12" hidden="false" customHeight="false" outlineLevel="0" collapsed="false">
      <c r="A124" s="416" t="n">
        <f aca="false">IF(B123+0.01&lt;=T_ini+ROUNDUP(Temps_fin_propu,0), 0.01, IF(K123&gt;0, 0.1, 0.0001))</f>
        <v>0.01</v>
      </c>
      <c r="B124" s="417" t="n">
        <f aca="false">B123+pas</f>
        <v>1.2</v>
      </c>
      <c r="C124" s="401"/>
      <c r="D124" s="418" t="n">
        <f aca="false">IF(AND(L123&lt;L_rampe,Poussee&lt;Poids*SIN(M123)),0,(-W123+Poussee)/m*COS(M123)-U123/m*SIN(M123))</f>
        <v>16.95107138746</v>
      </c>
      <c r="E124" s="419" t="n">
        <f aca="false">IF(AND(L123&lt;L_rampe,Poussee&lt;Poids*SIN(M123)),0,(-W123+Poussee)/m*SIN(M123)+U123/m*COS(M123)-Poids/m)</f>
        <v>72.885554819881</v>
      </c>
      <c r="F124" s="417" t="n">
        <f aca="false">SQRT(acc_x^2+acc_z^2)</f>
        <v>74.8307618736081</v>
      </c>
      <c r="G124" s="418" t="n">
        <f aca="false">G123+acc_x*pas</f>
        <v>20.1986948492033</v>
      </c>
      <c r="H124" s="419" t="n">
        <f aca="false">H123+acc_z*pas</f>
        <v>98.4409385664957</v>
      </c>
      <c r="I124" s="417" t="n">
        <f aca="false">SQRT(vit_x^2+vit_z^2)</f>
        <v>100.491818868323</v>
      </c>
      <c r="J124" s="418" t="n">
        <f aca="false">J123+0.5*(vit_x+G123)*pas*(K123&gt;=0)</f>
        <v>11.7237811429561</v>
      </c>
      <c r="K124" s="419" t="n">
        <f aca="false">K123+0.5*(vit_z+H123)*pas</f>
        <v>60.2344639578404</v>
      </c>
      <c r="L124" s="417" t="n">
        <f aca="false">SQRT(pos_x^2+pos_z^2)</f>
        <v>61.3647919622996</v>
      </c>
      <c r="M124" s="418" t="n">
        <f aca="false">IF(AND(L123&gt;L_rampe,G124&gt;0),ATAN2(G124,H124),$M$4)</f>
        <v>1.36841931165566</v>
      </c>
      <c r="N124" s="417" t="n">
        <f aca="false">DEGREES(Beta)</f>
        <v>78.4046511620667</v>
      </c>
      <c r="O124" s="401"/>
      <c r="P124" s="420" t="n">
        <f aca="false">MATCH(t-pas/2-T_ini,CdP_t)</f>
        <v>4</v>
      </c>
      <c r="Q124" s="417" t="n">
        <f aca="false">(INDEX(CdP,2,i_P+1)-INDEX(CdP,2,i_P+0))/(INDEX(CdP,1,i_P+1)-INDEX(CdP,1,i_P+0))*(t-pas/2-T_ini-INDEX(CdP,1,i_P+0))+INDEX(CdP,2,i_P+0)</f>
        <v>707.8</v>
      </c>
      <c r="R124" s="418" t="n">
        <f aca="false">Poussee/(g*ISP)</f>
        <v>0.355211842380136</v>
      </c>
      <c r="S124" s="419" t="n">
        <f aca="false">S123-Débit*pas</f>
        <v>7.94344827217652</v>
      </c>
      <c r="T124" s="417" t="n">
        <f aca="false">m*g</f>
        <v>77.9252275500517</v>
      </c>
      <c r="U124" s="421" t="n">
        <f aca="false">IF(pos_xz&lt;L_rampe,Poids*COS(Beta),0)</f>
        <v>0</v>
      </c>
      <c r="V124" s="418" t="n">
        <f aca="false">Rho_moyen*(20000-Alt_rampe-pos_z)/(20000+Alt_rampe+pos_z)</f>
        <v>1.21764343410533</v>
      </c>
      <c r="W124" s="417" t="n">
        <f aca="false">1/2*Rho*Sref*Cx*vit_xz^2</f>
        <v>37.8109210985318</v>
      </c>
      <c r="X124" s="401"/>
      <c r="Y124" s="422" t="str">
        <f aca="false">IF(AND(pos_z&lt;=0,K123&gt;0),"Impact balistique","") &amp; IF(AND(H125&lt;0,vit_z&gt;=0),"Apogée","") &amp; IF(AND(Poussee=0,Q123&gt;0),"Fin de propulsion","") &amp; IF(AND(L125&gt;L_rampe,pos_xz&lt;=L_rampe),"Sortie de rampe","")</f>
        <v/>
      </c>
      <c r="Z124" s="423" t="str">
        <f aca="false">IF(ABS(t-T_para)&lt;pas/2,"Para","")</f>
        <v/>
      </c>
      <c r="AA124" s="424" t="str">
        <f aca="false">IF(ABS(t-T_satellite)&lt;pas/2,"Satellite","")</f>
        <v/>
      </c>
      <c r="AB124" s="412"/>
      <c r="AC124" s="420" t="e">
        <f aca="false">IF(ABS(t-ROUND(t,0))&lt;0.001,t,NA())</f>
        <v>#N/A</v>
      </c>
      <c r="AD124" s="425" t="e">
        <f aca="false">IF(ABS(t-ROUND(t,0))&lt;0.001,pos_x,NA())</f>
        <v>#N/A</v>
      </c>
      <c r="AE124" s="426" t="n">
        <f aca="false">IF(t&lt;T_para, pos_z, NA())</f>
        <v>60.2344639578404</v>
      </c>
      <c r="AF124" s="412"/>
      <c r="AG124" s="418" t="n">
        <f aca="false">IF(AND(L123&lt;L_rampe,Poussee&lt;Poids*SIN(M123)),0,(-W123+Poussee)/m-Poids*SIN(M123)/m)</f>
        <v>74.8048285556394</v>
      </c>
      <c r="AH124" s="417" t="n">
        <f aca="false">IF(AND(L123&lt;L_rampe,Poussee&lt;Poids*SIN(M123)), g*SIN(M123), (-W123+Poussee)/m)</f>
        <v>84.4150081925643</v>
      </c>
    </row>
    <row r="125" customFormat="false" ht="12" hidden="false" customHeight="false" outlineLevel="0" collapsed="false">
      <c r="A125" s="416" t="n">
        <f aca="false">IF(B124+0.01&lt;=T_ini+ROUNDUP(Temps_fin_propu,0), 0.01, IF(K124&gt;0, 0.1, 0.0001))</f>
        <v>0.01</v>
      </c>
      <c r="B125" s="417" t="n">
        <f aca="false">B124+pas</f>
        <v>1.21</v>
      </c>
      <c r="C125" s="401"/>
      <c r="D125" s="418" t="n">
        <f aca="false">IF(AND(L124&lt;L_rampe,Poussee&lt;Poids*SIN(M124)),0,(-W124+Poussee)/m*COS(M124)-U124/m*SIN(M124))</f>
        <v>16.9202464693824</v>
      </c>
      <c r="E125" s="419" t="n">
        <f aca="false">IF(AND(L124&lt;L_rampe,Poussee&lt;Poids*SIN(M124)),0,(-W124+Poussee)/m*SIN(M124)+U124/m*COS(M124)-Poids/m)</f>
        <v>72.6529985084475</v>
      </c>
      <c r="F125" s="417" t="n">
        <f aca="false">SQRT(acc_x^2+acc_z^2)</f>
        <v>74.5972716180232</v>
      </c>
      <c r="G125" s="418" t="n">
        <f aca="false">G124+acc_x*pas</f>
        <v>20.3678973138972</v>
      </c>
      <c r="H125" s="419" t="n">
        <f aca="false">H124+acc_z*pas</f>
        <v>99.1674685515801</v>
      </c>
      <c r="I125" s="417" t="n">
        <f aca="false">SQRT(vit_x^2+vit_z^2)</f>
        <v>101.237532861672</v>
      </c>
      <c r="J125" s="418" t="n">
        <f aca="false">J124+0.5*(vit_x+G124)*pas*(K124&gt;=0)</f>
        <v>11.9266141037716</v>
      </c>
      <c r="K125" s="419" t="n">
        <f aca="false">K124+0.5*(vit_z+H124)*pas</f>
        <v>61.2225059934308</v>
      </c>
      <c r="L125" s="417" t="n">
        <f aca="false">SQRT(pos_x^2+pos_z^2)</f>
        <v>62.3733866652754</v>
      </c>
      <c r="M125" s="418" t="n">
        <f aca="false">IF(AND(L124&gt;L_rampe,G125&gt;0),ATAN2(G125,H125),$M$4)</f>
        <v>1.36822454255521</v>
      </c>
      <c r="N125" s="417" t="n">
        <f aca="false">DEGREES(Beta)</f>
        <v>78.3934917146314</v>
      </c>
      <c r="O125" s="401"/>
      <c r="P125" s="420" t="n">
        <f aca="false">MATCH(t-pas/2-T_ini,CdP_t)</f>
        <v>4</v>
      </c>
      <c r="Q125" s="417" t="n">
        <f aca="false">(INDEX(CdP,2,i_P+1)-INDEX(CdP,2,i_P+0))/(INDEX(CdP,1,i_P+1)-INDEX(CdP,1,i_P+0))*(t-pas/2-T_ini-INDEX(CdP,1,i_P+0))+INDEX(CdP,2,i_P+0)</f>
        <v>706.2</v>
      </c>
      <c r="R125" s="418" t="n">
        <f aca="false">Poussee/(g*ISP)</f>
        <v>0.354408876926889</v>
      </c>
      <c r="S125" s="419" t="n">
        <f aca="false">S124-Débit*pas</f>
        <v>7.93990418340726</v>
      </c>
      <c r="T125" s="417" t="n">
        <f aca="false">m*g</f>
        <v>77.8904600392252</v>
      </c>
      <c r="U125" s="421" t="n">
        <f aca="false">IF(pos_xz&lt;L_rampe,Poids*COS(Beta),0)</f>
        <v>0</v>
      </c>
      <c r="V125" s="418" t="n">
        <f aca="false">Rho_moyen*(20000-Alt_rampe-pos_z)/(20000+Alt_rampe+pos_z)</f>
        <v>1.21752313064974</v>
      </c>
      <c r="W125" s="417" t="n">
        <f aca="false">1/2*Rho*Sref*Cx*vit_xz^2</f>
        <v>38.3703745714184</v>
      </c>
      <c r="X125" s="401"/>
      <c r="Y125" s="422" t="str">
        <f aca="false">IF(AND(pos_z&lt;=0,K124&gt;0),"Impact balistique","") &amp; IF(AND(H126&lt;0,vit_z&gt;=0),"Apogée","") &amp; IF(AND(Poussee=0,Q124&gt;0),"Fin de propulsion","") &amp; IF(AND(L126&gt;L_rampe,pos_xz&lt;=L_rampe),"Sortie de rampe","")</f>
        <v/>
      </c>
      <c r="Z125" s="423" t="str">
        <f aca="false">IF(ABS(t-T_para)&lt;pas/2,"Para","")</f>
        <v/>
      </c>
      <c r="AA125" s="424" t="str">
        <f aca="false">IF(ABS(t-T_satellite)&lt;pas/2,"Satellite","")</f>
        <v/>
      </c>
      <c r="AB125" s="412"/>
      <c r="AC125" s="420" t="e">
        <f aca="false">IF(ABS(t-ROUND(t,0))&lt;0.001,t,NA())</f>
        <v>#N/A</v>
      </c>
      <c r="AD125" s="425" t="e">
        <f aca="false">IF(ABS(t-ROUND(t,0))&lt;0.001,pos_x,NA())</f>
        <v>#N/A</v>
      </c>
      <c r="AE125" s="426" t="n">
        <f aca="false">IF(t&lt;T_para, pos_z, NA())</f>
        <v>61.2225059934308</v>
      </c>
      <c r="AF125" s="412"/>
      <c r="AG125" s="418" t="n">
        <f aca="false">IF(AND(L124&lt;L_rampe,Poussee&lt;Poids*SIN(M124)),0,(-W124+Poussee)/m-Poids*SIN(M124)/m)</f>
        <v>74.571207312602</v>
      </c>
      <c r="AH125" s="417" t="n">
        <f aca="false">IF(AND(L124&lt;L_rampe,Poussee&lt;Poids*SIN(M124)), g*SIN(M124), (-W124+Poussee)/m)</f>
        <v>84.181000609335</v>
      </c>
    </row>
    <row r="126" customFormat="false" ht="12" hidden="false" customHeight="false" outlineLevel="0" collapsed="false">
      <c r="A126" s="416" t="n">
        <f aca="false">IF(B125+0.01&lt;=T_ini+ROUNDUP(Temps_fin_propu,0), 0.01, IF(K125&gt;0, 0.1, 0.0001))</f>
        <v>0.01</v>
      </c>
      <c r="B126" s="417" t="n">
        <f aca="false">B125+pas</f>
        <v>1.22</v>
      </c>
      <c r="C126" s="401"/>
      <c r="D126" s="418" t="n">
        <f aca="false">IF(AND(L125&lt;L_rampe,Poussee&lt;Poids*SIN(M125)),0,(-W125+Poussee)/m*COS(M125)-U125/m*SIN(M125))</f>
        <v>16.8891106259602</v>
      </c>
      <c r="E126" s="419" t="n">
        <f aca="false">IF(AND(L125&lt;L_rampe,Poussee&lt;Poids*SIN(M125)),0,(-W125+Poussee)/m*SIN(M125)+U125/m*COS(M125)-Poids/m)</f>
        <v>72.4199092072357</v>
      </c>
      <c r="F126" s="417" t="n">
        <f aca="false">SQRT(acc_x^2+acc_z^2)</f>
        <v>74.3631986087216</v>
      </c>
      <c r="G126" s="418" t="n">
        <f aca="false">G125+acc_x*pas</f>
        <v>20.5367884201568</v>
      </c>
      <c r="H126" s="419" t="n">
        <f aca="false">H125+acc_z*pas</f>
        <v>99.8916676436525</v>
      </c>
      <c r="I126" s="417" t="n">
        <f aca="false">SQRT(vit_x^2+vit_z^2)</f>
        <v>101.980904797144</v>
      </c>
      <c r="J126" s="418" t="n">
        <f aca="false">J125+0.5*(vit_x+G125)*pas*(K125&gt;=0)</f>
        <v>12.1311375324418</v>
      </c>
      <c r="K126" s="419" t="n">
        <f aca="false">K125+0.5*(vit_z+H125)*pas</f>
        <v>62.217801674407</v>
      </c>
      <c r="L126" s="417" t="n">
        <f aca="false">SQRT(pos_x^2+pos_z^2)</f>
        <v>63.3894261137207</v>
      </c>
      <c r="M126" s="418" t="n">
        <f aca="false">IF(AND(L125&gt;L_rampe,G126&gt;0),ATAN2(G126,H126),$M$4)</f>
        <v>1.36803100966022</v>
      </c>
      <c r="N126" s="417" t="n">
        <f aca="false">DEGREES(Beta)</f>
        <v>78.3824030965512</v>
      </c>
      <c r="O126" s="401"/>
      <c r="P126" s="420" t="n">
        <f aca="false">MATCH(t-pas/2-T_ini,CdP_t)</f>
        <v>4</v>
      </c>
      <c r="Q126" s="417" t="n">
        <f aca="false">(INDEX(CdP,2,i_P+1)-INDEX(CdP,2,i_P+0))/(INDEX(CdP,1,i_P+1)-INDEX(CdP,1,i_P+0))*(t-pas/2-T_ini-INDEX(CdP,1,i_P+0))+INDEX(CdP,2,i_P+0)</f>
        <v>704.6</v>
      </c>
      <c r="R126" s="418" t="n">
        <f aca="false">Poussee/(g*ISP)</f>
        <v>0.353605911473642</v>
      </c>
      <c r="S126" s="419" t="n">
        <f aca="false">S125-Débit*pas</f>
        <v>7.93636812429252</v>
      </c>
      <c r="T126" s="417" t="n">
        <f aca="false">m*g</f>
        <v>77.8557712993096</v>
      </c>
      <c r="U126" s="421" t="n">
        <f aca="false">IF(pos_xz&lt;L_rampe,Poids*COS(Beta),0)</f>
        <v>0</v>
      </c>
      <c r="V126" s="418" t="n">
        <f aca="false">Rho_moyen*(20000-Alt_rampe-pos_z)/(20000+Alt_rampe+pos_z)</f>
        <v>1.2174019559747</v>
      </c>
      <c r="W126" s="417" t="n">
        <f aca="false">1/2*Rho*Sref*Cx*vit_xz^2</f>
        <v>38.9320640294511</v>
      </c>
      <c r="X126" s="401"/>
      <c r="Y126" s="422" t="str">
        <f aca="false">IF(AND(pos_z&lt;=0,K125&gt;0),"Impact balistique","") &amp; IF(AND(H127&lt;0,vit_z&gt;=0),"Apogée","") &amp; IF(AND(Poussee=0,Q125&gt;0),"Fin de propulsion","") &amp; IF(AND(L127&gt;L_rampe,pos_xz&lt;=L_rampe),"Sortie de rampe","")</f>
        <v/>
      </c>
      <c r="Z126" s="423" t="str">
        <f aca="false">IF(ABS(t-T_para)&lt;pas/2,"Para","")</f>
        <v/>
      </c>
      <c r="AA126" s="424" t="str">
        <f aca="false">IF(ABS(t-T_satellite)&lt;pas/2,"Satellite","")</f>
        <v/>
      </c>
      <c r="AB126" s="412"/>
      <c r="AC126" s="420" t="e">
        <f aca="false">IF(ABS(t-ROUND(t,0))&lt;0.001,t,NA())</f>
        <v>#N/A</v>
      </c>
      <c r="AD126" s="425" t="e">
        <f aca="false">IF(ABS(t-ROUND(t,0))&lt;0.001,pos_x,NA())</f>
        <v>#N/A</v>
      </c>
      <c r="AE126" s="426" t="n">
        <f aca="false">IF(t&lt;T_para, pos_z, NA())</f>
        <v>62.217801674407</v>
      </c>
      <c r="AF126" s="412"/>
      <c r="AG126" s="418" t="n">
        <f aca="false">IF(AND(L125&lt;L_rampe,Poussee&lt;Poids*SIN(M125)),0,(-W125+Poussee)/m-Poids*SIN(M125)/m)</f>
        <v>74.3370025626003</v>
      </c>
      <c r="AH126" s="417" t="n">
        <f aca="false">IF(AND(L125&lt;L_rampe,Poussee&lt;Poids*SIN(M125)), g*SIN(M125), (-W125+Poussee)/m)</f>
        <v>83.9464116324584</v>
      </c>
    </row>
    <row r="127" customFormat="false" ht="12" hidden="false" customHeight="false" outlineLevel="0" collapsed="false">
      <c r="A127" s="416" t="n">
        <f aca="false">IF(B126+0.01&lt;=T_ini+ROUNDUP(Temps_fin_propu,0), 0.01, IF(K126&gt;0, 0.1, 0.0001))</f>
        <v>0.01</v>
      </c>
      <c r="B127" s="417" t="n">
        <f aca="false">B126+pas</f>
        <v>1.23</v>
      </c>
      <c r="C127" s="401"/>
      <c r="D127" s="418" t="n">
        <f aca="false">IF(AND(L126&lt;L_rampe,Poussee&lt;Poids*SIN(M126)),0,(-W126+Poussee)/m*COS(M126)-U126/m*SIN(M126))</f>
        <v>16.8576673235296</v>
      </c>
      <c r="E127" s="419" t="n">
        <f aca="false">IF(AND(L126&lt;L_rampe,Poussee&lt;Poids*SIN(M126)),0,(-W126+Poussee)/m*SIN(M126)+U126/m*COS(M126)-Poids/m)</f>
        <v>72.1862920724496</v>
      </c>
      <c r="F127" s="417" t="n">
        <f aca="false">SQRT(acc_x^2+acc_z^2)</f>
        <v>74.12854855425</v>
      </c>
      <c r="G127" s="418" t="n">
        <f aca="false">G126+acc_x*pas</f>
        <v>20.7053650933921</v>
      </c>
      <c r="H127" s="419" t="n">
        <f aca="false">H126+acc_z*pas</f>
        <v>100.613530564377</v>
      </c>
      <c r="I127" s="417" t="n">
        <f aca="false">SQRT(vit_x^2+vit_z^2)</f>
        <v>102.721928896801</v>
      </c>
      <c r="J127" s="418" t="n">
        <f aca="false">J126+0.5*(vit_x+G126)*pas*(K126&gt;=0)</f>
        <v>12.3373483000096</v>
      </c>
      <c r="K127" s="419" t="n">
        <f aca="false">K126+0.5*(vit_z+H126)*pas</f>
        <v>63.2203276654471</v>
      </c>
      <c r="L127" s="417" t="n">
        <f aca="false">SQRT(pos_x^2+pos_z^2)</f>
        <v>64.4128868566085</v>
      </c>
      <c r="M127" s="418" t="n">
        <f aca="false">IF(AND(L126&gt;L_rampe,G127&gt;0),ATAN2(G127,H127),$M$4)</f>
        <v>1.36783869184699</v>
      </c>
      <c r="N127" s="417" t="n">
        <f aca="false">DEGREES(Beta)</f>
        <v>78.3713840975281</v>
      </c>
      <c r="O127" s="401"/>
      <c r="P127" s="420" t="n">
        <f aca="false">MATCH(t-pas/2-T_ini,CdP_t)</f>
        <v>4</v>
      </c>
      <c r="Q127" s="417" t="n">
        <f aca="false">(INDEX(CdP,2,i_P+1)-INDEX(CdP,2,i_P+0))/(INDEX(CdP,1,i_P+1)-INDEX(CdP,1,i_P+0))*(t-pas/2-T_ini-INDEX(CdP,1,i_P+0))+INDEX(CdP,2,i_P+0)</f>
        <v>703</v>
      </c>
      <c r="R127" s="418" t="n">
        <f aca="false">Poussee/(g*ISP)</f>
        <v>0.352802946020395</v>
      </c>
      <c r="S127" s="419" t="n">
        <f aca="false">S126-Débit*pas</f>
        <v>7.93284009483231</v>
      </c>
      <c r="T127" s="417" t="n">
        <f aca="false">m*g</f>
        <v>77.821161330305</v>
      </c>
      <c r="U127" s="421" t="n">
        <f aca="false">IF(pos_xz&lt;L_rampe,Poids*COS(Beta),0)</f>
        <v>0</v>
      </c>
      <c r="V127" s="418" t="n">
        <f aca="false">Rho_moyen*(20000-Alt_rampe-pos_z)/(20000+Alt_rampe+pos_z)</f>
        <v>1.2172799131819</v>
      </c>
      <c r="W127" s="417" t="n">
        <f aca="false">1/2*Rho*Sref*Cx*vit_xz^2</f>
        <v>39.4959441063726</v>
      </c>
      <c r="X127" s="401"/>
      <c r="Y127" s="422" t="str">
        <f aca="false">IF(AND(pos_z&lt;=0,K126&gt;0),"Impact balistique","") &amp; IF(AND(H128&lt;0,vit_z&gt;=0),"Apogée","") &amp; IF(AND(Poussee=0,Q126&gt;0),"Fin de propulsion","") &amp; IF(AND(L128&gt;L_rampe,pos_xz&lt;=L_rampe),"Sortie de rampe","")</f>
        <v/>
      </c>
      <c r="Z127" s="423" t="str">
        <f aca="false">IF(ABS(t-T_para)&lt;pas/2,"Para","")</f>
        <v/>
      </c>
      <c r="AA127" s="424" t="str">
        <f aca="false">IF(ABS(t-T_satellite)&lt;pas/2,"Satellite","")</f>
        <v/>
      </c>
      <c r="AB127" s="412"/>
      <c r="AC127" s="420" t="e">
        <f aca="false">IF(ABS(t-ROUND(t,0))&lt;0.001,t,NA())</f>
        <v>#N/A</v>
      </c>
      <c r="AD127" s="425" t="e">
        <f aca="false">IF(ABS(t-ROUND(t,0))&lt;0.001,pos_x,NA())</f>
        <v>#N/A</v>
      </c>
      <c r="AE127" s="426" t="n">
        <f aca="false">IF(t&lt;T_para, pos_z, NA())</f>
        <v>63.2203276654471</v>
      </c>
      <c r="AF127" s="412"/>
      <c r="AG127" s="418" t="n">
        <f aca="false">IF(AND(L126&lt;L_rampe,Poussee&lt;Poids*SIN(M126)),0,(-W126+Poussee)/m-Poids*SIN(M126)/m)</f>
        <v>74.1022200012987</v>
      </c>
      <c r="AH127" s="417" t="n">
        <f aca="false">IF(AND(L126&lt;L_rampe,Poussee&lt;Poids*SIN(M126)), g*SIN(M126), (-W126+Poussee)/m)</f>
        <v>83.7112469219116</v>
      </c>
    </row>
    <row r="128" customFormat="false" ht="12" hidden="false" customHeight="false" outlineLevel="0" collapsed="false">
      <c r="A128" s="416" t="n">
        <f aca="false">IF(B127+0.01&lt;=T_ini+ROUNDUP(Temps_fin_propu,0), 0.01, IF(K127&gt;0, 0.1, 0.0001))</f>
        <v>0.01</v>
      </c>
      <c r="B128" s="417" t="n">
        <f aca="false">B127+pas</f>
        <v>1.24</v>
      </c>
      <c r="C128" s="401"/>
      <c r="D128" s="418" t="n">
        <f aca="false">IF(AND(L127&lt;L_rampe,Poussee&lt;Poids*SIN(M127)),0,(-W127+Poussee)/m*COS(M127)-U127/m*SIN(M127))</f>
        <v>16.8259199752331</v>
      </c>
      <c r="E128" s="419" t="n">
        <f aca="false">IF(AND(L127&lt;L_rampe,Poussee&lt;Poids*SIN(M127)),0,(-W127+Poussee)/m*SIN(M127)+U127/m*COS(M127)-Poids/m)</f>
        <v>71.9521522762793</v>
      </c>
      <c r="F128" s="417" t="n">
        <f aca="false">SQRT(acc_x^2+acc_z^2)</f>
        <v>73.893327169656</v>
      </c>
      <c r="G128" s="418" t="n">
        <f aca="false">G127+acc_x*pas</f>
        <v>20.8736242931444</v>
      </c>
      <c r="H128" s="419" t="n">
        <f aca="false">H127+acc_z*pas</f>
        <v>101.33305208714</v>
      </c>
      <c r="I128" s="417" t="n">
        <f aca="false">SQRT(vit_x^2+vit_z^2)</f>
        <v>103.460599439721</v>
      </c>
      <c r="J128" s="418" t="n">
        <f aca="false">J127+0.5*(vit_x+G127)*pas*(K127&gt;=0)</f>
        <v>12.5452432469423</v>
      </c>
      <c r="K128" s="419" t="n">
        <f aca="false">K127+0.5*(vit_z+H127)*pas</f>
        <v>64.2300605787047</v>
      </c>
      <c r="L128" s="417" t="n">
        <f aca="false">SQRT(pos_x^2+pos_z^2)</f>
        <v>65.4437453853997</v>
      </c>
      <c r="M128" s="418" t="n">
        <f aca="false">IF(AND(L127&gt;L_rampe,G128&gt;0),ATAN2(G128,H128),$M$4)</f>
        <v>1.36764756849813</v>
      </c>
      <c r="N128" s="417" t="n">
        <f aca="false">DEGREES(Beta)</f>
        <v>78.3604335362722</v>
      </c>
      <c r="O128" s="401"/>
      <c r="P128" s="420" t="n">
        <f aca="false">MATCH(t-pas/2-T_ini,CdP_t)</f>
        <v>4</v>
      </c>
      <c r="Q128" s="417" t="n">
        <f aca="false">(INDEX(CdP,2,i_P+1)-INDEX(CdP,2,i_P+0))/(INDEX(CdP,1,i_P+1)-INDEX(CdP,1,i_P+0))*(t-pas/2-T_ini-INDEX(CdP,1,i_P+0))+INDEX(CdP,2,i_P+0)</f>
        <v>701.4</v>
      </c>
      <c r="R128" s="418" t="n">
        <f aca="false">Poussee/(g*ISP)</f>
        <v>0.351999980567148</v>
      </c>
      <c r="S128" s="419" t="n">
        <f aca="false">S127-Débit*pas</f>
        <v>7.92932009502664</v>
      </c>
      <c r="T128" s="417" t="n">
        <f aca="false">m*g</f>
        <v>77.7866301322114</v>
      </c>
      <c r="U128" s="421" t="n">
        <f aca="false">IF(pos_xz&lt;L_rampe,Poids*COS(Beta),0)</f>
        <v>0</v>
      </c>
      <c r="V128" s="418" t="n">
        <f aca="false">Rho_moyen*(20000-Alt_rampe-pos_z)/(20000+Alt_rampe+pos_z)</f>
        <v>1.21715700538009</v>
      </c>
      <c r="W128" s="417" t="n">
        <f aca="false">1/2*Rho*Sref*Cx*vit_xz^2</f>
        <v>40.0619694889003</v>
      </c>
      <c r="X128" s="401"/>
      <c r="Y128" s="422" t="str">
        <f aca="false">IF(AND(pos_z&lt;=0,K127&gt;0),"Impact balistique","") &amp; IF(AND(H129&lt;0,vit_z&gt;=0),"Apogée","") &amp; IF(AND(Poussee=0,Q127&gt;0),"Fin de propulsion","") &amp; IF(AND(L129&gt;L_rampe,pos_xz&lt;=L_rampe),"Sortie de rampe","")</f>
        <v/>
      </c>
      <c r="Z128" s="423" t="str">
        <f aca="false">IF(ABS(t-T_para)&lt;pas/2,"Para","")</f>
        <v/>
      </c>
      <c r="AA128" s="424" t="str">
        <f aca="false">IF(ABS(t-T_satellite)&lt;pas/2,"Satellite","")</f>
        <v/>
      </c>
      <c r="AB128" s="412"/>
      <c r="AC128" s="420" t="e">
        <f aca="false">IF(ABS(t-ROUND(t,0))&lt;0.001,t,NA())</f>
        <v>#N/A</v>
      </c>
      <c r="AD128" s="425" t="e">
        <f aca="false">IF(ABS(t-ROUND(t,0))&lt;0.001,pos_x,NA())</f>
        <v>#N/A</v>
      </c>
      <c r="AE128" s="426" t="n">
        <f aca="false">IF(t&lt;T_para, pos_z, NA())</f>
        <v>64.2300605787047</v>
      </c>
      <c r="AF128" s="412"/>
      <c r="AG128" s="418" t="n">
        <f aca="false">IF(AND(L127&lt;L_rampe,Poussee&lt;Poids*SIN(M127)),0,(-W127+Poussee)/m-Poids*SIN(M127)/m)</f>
        <v>73.8668653308146</v>
      </c>
      <c r="AH128" s="417" t="n">
        <f aca="false">IF(AND(L127&lt;L_rampe,Poussee&lt;Poids*SIN(M127)), g*SIN(M127), (-W127+Poussee)/m)</f>
        <v>83.4755121449544</v>
      </c>
    </row>
    <row r="129" customFormat="false" ht="12" hidden="false" customHeight="false" outlineLevel="0" collapsed="false">
      <c r="A129" s="416" t="n">
        <f aca="false">IF(B128+0.01&lt;=T_ini+ROUNDUP(Temps_fin_propu,0), 0.01, IF(K128&gt;0, 0.1, 0.0001))</f>
        <v>0.01</v>
      </c>
      <c r="B129" s="417" t="n">
        <f aca="false">B128+pas</f>
        <v>1.25</v>
      </c>
      <c r="C129" s="401"/>
      <c r="D129" s="418" t="n">
        <f aca="false">IF(AND(L128&lt;L_rampe,Poussee&lt;Poids*SIN(M128)),0,(-W128+Poussee)/m*COS(M128)-U128/m*SIN(M128))</f>
        <v>16.7938719427607</v>
      </c>
      <c r="E129" s="419" t="n">
        <f aca="false">IF(AND(L128&lt;L_rampe,Poussee&lt;Poids*SIN(M128)),0,(-W128+Poussee)/m*SIN(M128)+U128/m*COS(M128)-Poids/m)</f>
        <v>71.7174950061955</v>
      </c>
      <c r="F129" s="417" t="n">
        <f aca="false">SQRT(acc_x^2+acc_z^2)</f>
        <v>73.6575401760982</v>
      </c>
      <c r="G129" s="418" t="n">
        <f aca="false">G128+acc_x*pas</f>
        <v>21.041563012572</v>
      </c>
      <c r="H129" s="419" t="n">
        <f aca="false">H128+acc_z*pas</f>
        <v>102.050227037202</v>
      </c>
      <c r="I129" s="417" t="n">
        <f aca="false">SQRT(vit_x^2+vit_z^2)</f>
        <v>104.196910762059</v>
      </c>
      <c r="J129" s="418" t="n">
        <f aca="false">J128+0.5*(vit_x+G128)*pas*(K128&gt;=0)</f>
        <v>12.7548191834708</v>
      </c>
      <c r="K129" s="419" t="n">
        <f aca="false">K128+0.5*(vit_z+H128)*pas</f>
        <v>65.2469769743264</v>
      </c>
      <c r="L129" s="417" t="n">
        <f aca="false">SQRT(pos_x^2+pos_z^2)</f>
        <v>66.4819781346142</v>
      </c>
      <c r="M129" s="418" t="n">
        <f aca="false">IF(AND(L128&gt;L_rampe,G129&gt;0),ATAN2(G129,H129),$M$4)</f>
        <v>1.36745761948621</v>
      </c>
      <c r="N129" s="417" t="n">
        <f aca="false">DEGREES(Beta)</f>
        <v>78.3495502595664</v>
      </c>
      <c r="O129" s="401"/>
      <c r="P129" s="420" t="n">
        <f aca="false">MATCH(t-pas/2-T_ini,CdP_t)</f>
        <v>4</v>
      </c>
      <c r="Q129" s="417" t="n">
        <f aca="false">(INDEX(CdP,2,i_P+1)-INDEX(CdP,2,i_P+0))/(INDEX(CdP,1,i_P+1)-INDEX(CdP,1,i_P+0))*(t-pas/2-T_ini-INDEX(CdP,1,i_P+0))+INDEX(CdP,2,i_P+0)</f>
        <v>699.8</v>
      </c>
      <c r="R129" s="418" t="n">
        <f aca="false">Poussee/(g*ISP)</f>
        <v>0.351197015113901</v>
      </c>
      <c r="S129" s="419" t="n">
        <f aca="false">S128-Débit*pas</f>
        <v>7.9258081248755</v>
      </c>
      <c r="T129" s="417" t="n">
        <f aca="false">m*g</f>
        <v>77.7521777050287</v>
      </c>
      <c r="U129" s="421" t="n">
        <f aca="false">IF(pos_xz&lt;L_rampe,Poids*COS(Beta),0)</f>
        <v>0</v>
      </c>
      <c r="V129" s="418" t="n">
        <f aca="false">Rho_moyen*(20000-Alt_rampe-pos_z)/(20000+Alt_rampe+pos_z)</f>
        <v>1.21703323568504</v>
      </c>
      <c r="W129" s="417" t="n">
        <f aca="false">1/2*Rho*Sref*Cx*vit_xz^2</f>
        <v>40.6300949197235</v>
      </c>
      <c r="X129" s="401"/>
      <c r="Y129" s="422" t="str">
        <f aca="false">IF(AND(pos_z&lt;=0,K128&gt;0),"Impact balistique","") &amp; IF(AND(H130&lt;0,vit_z&gt;=0),"Apogée","") &amp; IF(AND(Poussee=0,Q128&gt;0),"Fin de propulsion","") &amp; IF(AND(L130&gt;L_rampe,pos_xz&lt;=L_rampe),"Sortie de rampe","")</f>
        <v/>
      </c>
      <c r="Z129" s="423" t="str">
        <f aca="false">IF(ABS(t-T_para)&lt;pas/2,"Para","")</f>
        <v/>
      </c>
      <c r="AA129" s="424" t="str">
        <f aca="false">IF(ABS(t-T_satellite)&lt;pas/2,"Satellite","")</f>
        <v/>
      </c>
      <c r="AB129" s="412"/>
      <c r="AC129" s="420" t="e">
        <f aca="false">IF(ABS(t-ROUND(t,0))&lt;0.001,t,NA())</f>
        <v>#N/A</v>
      </c>
      <c r="AD129" s="425" t="e">
        <f aca="false">IF(ABS(t-ROUND(t,0))&lt;0.001,pos_x,NA())</f>
        <v>#N/A</v>
      </c>
      <c r="AE129" s="426" t="n">
        <f aca="false">IF(t&lt;T_para, pos_z, NA())</f>
        <v>65.2469769743264</v>
      </c>
      <c r="AF129" s="412"/>
      <c r="AG129" s="418" t="n">
        <f aca="false">IF(AND(L128&lt;L_rampe,Poussee&lt;Poids*SIN(M128)),0,(-W128+Poussee)/m-Poids*SIN(M128)/m)</f>
        <v>73.6309442593244</v>
      </c>
      <c r="AH129" s="417" t="n">
        <f aca="false">IF(AND(L128&lt;L_rampe,Poussee&lt;Poids*SIN(M128)), g*SIN(M128), (-W128+Poussee)/m)</f>
        <v>83.2392129757068</v>
      </c>
    </row>
    <row r="130" customFormat="false" ht="12" hidden="false" customHeight="false" outlineLevel="0" collapsed="false">
      <c r="A130" s="416" t="n">
        <f aca="false">IF(B129+0.01&lt;=T_ini+ROUNDUP(Temps_fin_propu,0), 0.01, IF(K129&gt;0, 0.1, 0.0001))</f>
        <v>0.01</v>
      </c>
      <c r="B130" s="417" t="n">
        <f aca="false">B129+pas</f>
        <v>1.26</v>
      </c>
      <c r="C130" s="401"/>
      <c r="D130" s="418" t="n">
        <f aca="false">IF(AND(L129&lt;L_rampe,Poussee&lt;Poids*SIN(M129)),0,(-W129+Poussee)/m*COS(M129)-U129/m*SIN(M129))</f>
        <v>16.7615265380168</v>
      </c>
      <c r="E130" s="419" t="n">
        <f aca="false">IF(AND(L129&lt;L_rampe,Poussee&lt;Poids*SIN(M129)),0,(-W129+Poussee)/m*SIN(M129)+U129/m*COS(M129)-Poids/m)</f>
        <v>71.4823254642582</v>
      </c>
      <c r="F130" s="417" t="n">
        <f aca="false">SQRT(acc_x^2+acc_z^2)</f>
        <v>73.421193300455</v>
      </c>
      <c r="G130" s="418" t="n">
        <f aca="false">G129+acc_x*pas</f>
        <v>21.2091782779522</v>
      </c>
      <c r="H130" s="419" t="n">
        <f aca="false">H129+acc_z*pas</f>
        <v>102.765050291844</v>
      </c>
      <c r="I130" s="417" t="n">
        <f aca="false">SQRT(vit_x^2+vit_z^2)</f>
        <v>104.930857257106</v>
      </c>
      <c r="J130" s="418" t="n">
        <f aca="false">J129+0.5*(vit_x+G129)*pas*(K129&gt;=0)</f>
        <v>12.9660728899235</v>
      </c>
      <c r="K130" s="419" t="n">
        <f aca="false">K129+0.5*(vit_z+H129)*pas</f>
        <v>66.2710533609717</v>
      </c>
      <c r="L130" s="417" t="n">
        <f aca="false">SQRT(pos_x^2+pos_z^2)</f>
        <v>67.5275614824018</v>
      </c>
      <c r="M130" s="418" t="n">
        <f aca="false">IF(AND(L129&gt;L_rampe,G130&gt;0),ATAN2(G130,H130),$M$4)</f>
        <v>1.36726882515807</v>
      </c>
      <c r="N130" s="417" t="n">
        <f aca="false">DEGREES(Beta)</f>
        <v>78.3387331413677</v>
      </c>
      <c r="O130" s="401"/>
      <c r="P130" s="420" t="n">
        <f aca="false">MATCH(t-pas/2-T_ini,CdP_t)</f>
        <v>4</v>
      </c>
      <c r="Q130" s="417" t="n">
        <f aca="false">(INDEX(CdP,2,i_P+1)-INDEX(CdP,2,i_P+0))/(INDEX(CdP,1,i_P+1)-INDEX(CdP,1,i_P+0))*(t-pas/2-T_ini-INDEX(CdP,1,i_P+0))+INDEX(CdP,2,i_P+0)</f>
        <v>698.2</v>
      </c>
      <c r="R130" s="418" t="n">
        <f aca="false">Poussee/(g*ISP)</f>
        <v>0.350394049660654</v>
      </c>
      <c r="S130" s="419" t="n">
        <f aca="false">S129-Débit*pas</f>
        <v>7.9223041843789</v>
      </c>
      <c r="T130" s="417" t="n">
        <f aca="false">m*g</f>
        <v>77.717804048757</v>
      </c>
      <c r="U130" s="421" t="n">
        <f aca="false">IF(pos_xz&lt;L_rampe,Poids*COS(Beta),0)</f>
        <v>0</v>
      </c>
      <c r="V130" s="418" t="n">
        <f aca="false">Rho_moyen*(20000-Alt_rampe-pos_z)/(20000+Alt_rampe+pos_z)</f>
        <v>1.21690860721942</v>
      </c>
      <c r="W130" s="417" t="n">
        <f aca="false">1/2*Rho*Sref*Cx*vit_xz^2</f>
        <v>41.2002752004828</v>
      </c>
      <c r="X130" s="401"/>
      <c r="Y130" s="422" t="str">
        <f aca="false">IF(AND(pos_z&lt;=0,K129&gt;0),"Impact balistique","") &amp; IF(AND(H131&lt;0,vit_z&gt;=0),"Apogée","") &amp; IF(AND(Poussee=0,Q129&gt;0),"Fin de propulsion","") &amp; IF(AND(L131&gt;L_rampe,pos_xz&lt;=L_rampe),"Sortie de rampe","")</f>
        <v/>
      </c>
      <c r="Z130" s="423" t="str">
        <f aca="false">IF(ABS(t-T_para)&lt;pas/2,"Para","")</f>
        <v/>
      </c>
      <c r="AA130" s="424" t="str">
        <f aca="false">IF(ABS(t-T_satellite)&lt;pas/2,"Satellite","")</f>
        <v/>
      </c>
      <c r="AB130" s="412"/>
      <c r="AC130" s="420" t="e">
        <f aca="false">IF(ABS(t-ROUND(t,0))&lt;0.001,t,NA())</f>
        <v>#N/A</v>
      </c>
      <c r="AD130" s="425" t="e">
        <f aca="false">IF(ABS(t-ROUND(t,0))&lt;0.001,pos_x,NA())</f>
        <v>#N/A</v>
      </c>
      <c r="AE130" s="426" t="n">
        <f aca="false">IF(t&lt;T_para, pos_z, NA())</f>
        <v>66.2710533609717</v>
      </c>
      <c r="AF130" s="412"/>
      <c r="AG130" s="418" t="n">
        <f aca="false">IF(AND(L129&lt;L_rampe,Poussee&lt;Poids*SIN(M129)),0,(-W129+Poussee)/m-Poids*SIN(M129)/m)</f>
        <v>73.394462500667</v>
      </c>
      <c r="AH130" s="417" t="n">
        <f aca="false">IF(AND(L129&lt;L_rampe,Poussee&lt;Poids*SIN(M129)), g*SIN(M129), (-W129+Poussee)/m)</f>
        <v>83.0023550947292</v>
      </c>
    </row>
    <row r="131" customFormat="false" ht="12" hidden="false" customHeight="false" outlineLevel="0" collapsed="false">
      <c r="A131" s="416" t="n">
        <f aca="false">IF(B130+0.01&lt;=T_ini+ROUNDUP(Temps_fin_propu,0), 0.01, IF(K130&gt;0, 0.1, 0.0001))</f>
        <v>0.01</v>
      </c>
      <c r="B131" s="417" t="n">
        <f aca="false">B130+pas</f>
        <v>1.27</v>
      </c>
      <c r="C131" s="401"/>
      <c r="D131" s="418" t="n">
        <f aca="false">IF(AND(L130&lt;L_rampe,Poussee&lt;Poids*SIN(M130)),0,(-W130+Poussee)/m*COS(M130)-U130/m*SIN(M130))</f>
        <v>16.7288870247169</v>
      </c>
      <c r="E131" s="419" t="n">
        <f aca="false">IF(AND(L130&lt;L_rampe,Poussee&lt;Poids*SIN(M130)),0,(-W130+Poussee)/m*SIN(M130)+U130/m*COS(M130)-Poids/m)</f>
        <v>71.246648866436</v>
      </c>
      <c r="F131" s="417" t="n">
        <f aca="false">SQRT(acc_x^2+acc_z^2)</f>
        <v>73.1842922749341</v>
      </c>
      <c r="G131" s="418" t="n">
        <f aca="false">G130+acc_x*pas</f>
        <v>21.3764671481993</v>
      </c>
      <c r="H131" s="419" t="n">
        <f aca="false">H130+acc_z*pas</f>
        <v>103.477516780509</v>
      </c>
      <c r="I131" s="417" t="n">
        <f aca="false">SQRT(vit_x^2+vit_z^2)</f>
        <v>105.662433375342</v>
      </c>
      <c r="J131" s="418" t="n">
        <f aca="false">J130+0.5*(vit_x+G130)*pas*(K130&gt;=0)</f>
        <v>13.1790011170542</v>
      </c>
      <c r="K131" s="419" t="n">
        <f aca="false">K130+0.5*(vit_z+H130)*pas</f>
        <v>67.3022661963334</v>
      </c>
      <c r="L131" s="417" t="n">
        <f aca="false">SQRT(pos_x^2+pos_z^2)</f>
        <v>68.5804717511147</v>
      </c>
      <c r="M131" s="418" t="n">
        <f aca="false">IF(AND(L130&gt;L_rampe,G131&gt;0),ATAN2(G131,H131),$M$4)</f>
        <v>1.36708116631977</v>
      </c>
      <c r="N131" s="417" t="n">
        <f aca="false">DEGREES(Beta)</f>
        <v>78.3279810819447</v>
      </c>
      <c r="O131" s="401"/>
      <c r="P131" s="420" t="n">
        <f aca="false">MATCH(t-pas/2-T_ini,CdP_t)</f>
        <v>4</v>
      </c>
      <c r="Q131" s="417" t="n">
        <f aca="false">(INDEX(CdP,2,i_P+1)-INDEX(CdP,2,i_P+0))/(INDEX(CdP,1,i_P+1)-INDEX(CdP,1,i_P+0))*(t-pas/2-T_ini-INDEX(CdP,1,i_P+0))+INDEX(CdP,2,i_P+0)</f>
        <v>696.6</v>
      </c>
      <c r="R131" s="418" t="n">
        <f aca="false">Poussee/(g*ISP)</f>
        <v>0.349591084207407</v>
      </c>
      <c r="S131" s="419" t="n">
        <f aca="false">S130-Débit*pas</f>
        <v>7.91880827353682</v>
      </c>
      <c r="T131" s="417" t="n">
        <f aca="false">m*g</f>
        <v>77.6835091633962</v>
      </c>
      <c r="U131" s="421" t="n">
        <f aca="false">IF(pos_xz&lt;L_rampe,Poids*COS(Beta),0)</f>
        <v>0</v>
      </c>
      <c r="V131" s="418" t="n">
        <f aca="false">Rho_moyen*(20000-Alt_rampe-pos_z)/(20000+Alt_rampe+pos_z)</f>
        <v>1.21678312311273</v>
      </c>
      <c r="W131" s="417" t="n">
        <f aca="false">1/2*Rho*Sref*Cx*vit_xz^2</f>
        <v>41.7724651947314</v>
      </c>
      <c r="X131" s="401"/>
      <c r="Y131" s="422" t="str">
        <f aca="false">IF(AND(pos_z&lt;=0,K130&gt;0),"Impact balistique","") &amp; IF(AND(H132&lt;0,vit_z&gt;=0),"Apogée","") &amp; IF(AND(Poussee=0,Q130&gt;0),"Fin de propulsion","") &amp; IF(AND(L132&gt;L_rampe,pos_xz&lt;=L_rampe),"Sortie de rampe","")</f>
        <v/>
      </c>
      <c r="Z131" s="423" t="str">
        <f aca="false">IF(ABS(t-T_para)&lt;pas/2,"Para","")</f>
        <v/>
      </c>
      <c r="AA131" s="424" t="str">
        <f aca="false">IF(ABS(t-T_satellite)&lt;pas/2,"Satellite","")</f>
        <v/>
      </c>
      <c r="AB131" s="412"/>
      <c r="AC131" s="420" t="e">
        <f aca="false">IF(ABS(t-ROUND(t,0))&lt;0.001,t,NA())</f>
        <v>#N/A</v>
      </c>
      <c r="AD131" s="425" t="e">
        <f aca="false">IF(ABS(t-ROUND(t,0))&lt;0.001,pos_x,NA())</f>
        <v>#N/A</v>
      </c>
      <c r="AE131" s="426" t="n">
        <f aca="false">IF(t&lt;T_para, pos_z, NA())</f>
        <v>67.3022661963334</v>
      </c>
      <c r="AF131" s="412"/>
      <c r="AG131" s="418" t="n">
        <f aca="false">IF(AND(L130&lt;L_rampe,Poussee&lt;Poids*SIN(M130)),0,(-W130+Poussee)/m-Poids*SIN(M130)/m)</f>
        <v>73.1574257739491</v>
      </c>
      <c r="AH131" s="417" t="n">
        <f aca="false">IF(AND(L130&lt;L_rampe,Poussee&lt;Poids*SIN(M130)), g*SIN(M130), (-W130+Poussee)/m)</f>
        <v>82.7649441886023</v>
      </c>
    </row>
    <row r="132" customFormat="false" ht="12" hidden="false" customHeight="false" outlineLevel="0" collapsed="false">
      <c r="A132" s="416" t="n">
        <f aca="false">IF(B131+0.01&lt;=T_ini+ROUNDUP(Temps_fin_propu,0), 0.01, IF(K131&gt;0, 0.1, 0.0001))</f>
        <v>0.01</v>
      </c>
      <c r="B132" s="417" t="n">
        <f aca="false">B131+pas</f>
        <v>1.28</v>
      </c>
      <c r="C132" s="401"/>
      <c r="D132" s="418" t="n">
        <f aca="false">IF(AND(L131&lt;L_rampe,Poussee&lt;Poids*SIN(M131)),0,(-W131+Poussee)/m*COS(M131)-U131/m*SIN(M131))</f>
        <v>16.6959566199171</v>
      </c>
      <c r="E132" s="419" t="n">
        <f aca="false">IF(AND(L131&lt;L_rampe,Poussee&lt;Poids*SIN(M131)),0,(-W131+Poussee)/m*SIN(M131)+U131/m*COS(M131)-Poids/m)</f>
        <v>71.0104704419384</v>
      </c>
      <c r="F132" s="417" t="n">
        <f aca="false">SQRT(acc_x^2+acc_z^2)</f>
        <v>72.9468428366819</v>
      </c>
      <c r="G132" s="418" t="n">
        <f aca="false">G131+acc_x*pas</f>
        <v>21.5434267143985</v>
      </c>
      <c r="H132" s="419" t="n">
        <f aca="false">H131+acc_z*pas</f>
        <v>104.187621484928</v>
      </c>
      <c r="I132" s="417" t="n">
        <f aca="false">SQRT(vit_x^2+vit_z^2)</f>
        <v>106.391633624479</v>
      </c>
      <c r="J132" s="418" t="n">
        <f aca="false">J131+0.5*(vit_x+G131)*pas*(K131&gt;=0)</f>
        <v>13.3936005863672</v>
      </c>
      <c r="K132" s="419" t="n">
        <f aca="false">K131+0.5*(vit_z+H131)*pas</f>
        <v>68.3405918876606</v>
      </c>
      <c r="L132" s="417" t="n">
        <f aca="false">SQRT(pos_x^2+pos_z^2)</f>
        <v>69.6406852078792</v>
      </c>
      <c r="M132" s="418" t="n">
        <f aca="false">IF(AND(L131&gt;L_rampe,G132&gt;0),ATAN2(G132,H132),$M$4)</f>
        <v>1.36689462422214</v>
      </c>
      <c r="N132" s="417" t="n">
        <f aca="false">DEGREES(Beta)</f>
        <v>78.3172930070492</v>
      </c>
      <c r="O132" s="401"/>
      <c r="P132" s="420" t="n">
        <f aca="false">MATCH(t-pas/2-T_ini,CdP_t)</f>
        <v>4</v>
      </c>
      <c r="Q132" s="417" t="n">
        <f aca="false">(INDEX(CdP,2,i_P+1)-INDEX(CdP,2,i_P+0))/(INDEX(CdP,1,i_P+1)-INDEX(CdP,1,i_P+0))*(t-pas/2-T_ini-INDEX(CdP,1,i_P+0))+INDEX(CdP,2,i_P+0)</f>
        <v>695</v>
      </c>
      <c r="R132" s="418" t="n">
        <f aca="false">Poussee/(g*ISP)</f>
        <v>0.34878811875416</v>
      </c>
      <c r="S132" s="419" t="n">
        <f aca="false">S131-Débit*pas</f>
        <v>7.91532039234928</v>
      </c>
      <c r="T132" s="417" t="n">
        <f aca="false">m*g</f>
        <v>77.6492930489465</v>
      </c>
      <c r="U132" s="421" t="n">
        <f aca="false">IF(pos_xz&lt;L_rampe,Poids*COS(Beta),0)</f>
        <v>0</v>
      </c>
      <c r="V132" s="418" t="n">
        <f aca="false">Rho_moyen*(20000-Alt_rampe-pos_z)/(20000+Alt_rampe+pos_z)</f>
        <v>1.2166567865012</v>
      </c>
      <c r="W132" s="417" t="n">
        <f aca="false">1/2*Rho*Sref*Cx*vit_xz^2</f>
        <v>42.3466198308774</v>
      </c>
      <c r="X132" s="401"/>
      <c r="Y132" s="422" t="str">
        <f aca="false">IF(AND(pos_z&lt;=0,K131&gt;0),"Impact balistique","") &amp; IF(AND(H133&lt;0,vit_z&gt;=0),"Apogée","") &amp; IF(AND(Poussee=0,Q131&gt;0),"Fin de propulsion","") &amp; IF(AND(L133&gt;L_rampe,pos_xz&lt;=L_rampe),"Sortie de rampe","")</f>
        <v/>
      </c>
      <c r="Z132" s="423" t="str">
        <f aca="false">IF(ABS(t-T_para)&lt;pas/2,"Para","")</f>
        <v/>
      </c>
      <c r="AA132" s="424" t="str">
        <f aca="false">IF(ABS(t-T_satellite)&lt;pas/2,"Satellite","")</f>
        <v/>
      </c>
      <c r="AB132" s="412"/>
      <c r="AC132" s="420" t="e">
        <f aca="false">IF(ABS(t-ROUND(t,0))&lt;0.001,t,NA())</f>
        <v>#N/A</v>
      </c>
      <c r="AD132" s="425" t="e">
        <f aca="false">IF(ABS(t-ROUND(t,0))&lt;0.001,pos_x,NA())</f>
        <v>#N/A</v>
      </c>
      <c r="AE132" s="426" t="n">
        <f aca="false">IF(t&lt;T_para, pos_z, NA())</f>
        <v>68.3405918876606</v>
      </c>
      <c r="AF132" s="412"/>
      <c r="AG132" s="418" t="n">
        <f aca="false">IF(AND(L131&lt;L_rampe,Poussee&lt;Poids*SIN(M131)),0,(-W131+Poussee)/m-Poids*SIN(M131)/m)</f>
        <v>72.91983980315</v>
      </c>
      <c r="AH132" s="417" t="n">
        <f aca="false">IF(AND(L131&lt;L_rampe,Poussee&lt;Poids*SIN(M131)), g*SIN(M131), (-W131+Poussee)/m)</f>
        <v>82.5269859495086</v>
      </c>
    </row>
    <row r="133" customFormat="false" ht="12" hidden="false" customHeight="false" outlineLevel="0" collapsed="false">
      <c r="A133" s="416" t="n">
        <f aca="false">IF(B132+0.01&lt;=T_ini+ROUNDUP(Temps_fin_propu,0), 0.01, IF(K132&gt;0, 0.1, 0.0001))</f>
        <v>0.01</v>
      </c>
      <c r="B133" s="417" t="n">
        <f aca="false">B132+pas</f>
        <v>1.29</v>
      </c>
      <c r="C133" s="401"/>
      <c r="D133" s="418" t="n">
        <f aca="false">IF(AND(L132&lt;L_rampe,Poussee&lt;Poids*SIN(M132)),0,(-W132+Poussee)/m*COS(M132)-U132/m*SIN(M132))</f>
        <v>16.6627384954799</v>
      </c>
      <c r="E133" s="419" t="n">
        <f aca="false">IF(AND(L132&lt;L_rampe,Poussee&lt;Poids*SIN(M132)),0,(-W132+Poussee)/m*SIN(M132)+U132/m*COS(M132)-Poids/m)</f>
        <v>70.7737954325583</v>
      </c>
      <c r="F133" s="417" t="n">
        <f aca="false">SQRT(acc_x^2+acc_z^2)</f>
        <v>72.7088507273932</v>
      </c>
      <c r="G133" s="418" t="n">
        <f aca="false">G132+acc_x*pas</f>
        <v>21.7100540993533</v>
      </c>
      <c r="H133" s="419" t="n">
        <f aca="false">H132+acc_z*pas</f>
        <v>104.895359439254</v>
      </c>
      <c r="I133" s="417" t="n">
        <f aca="false">SQRT(vit_x^2+vit_z^2)</f>
        <v>107.118452569513</v>
      </c>
      <c r="J133" s="418" t="n">
        <f aca="false">J132+0.5*(vit_x+G132)*pas*(K132&gt;=0)</f>
        <v>13.609867990436</v>
      </c>
      <c r="K133" s="419" t="n">
        <f aca="false">K132+0.5*(vit_z+H132)*pas</f>
        <v>69.3860067922815</v>
      </c>
      <c r="L133" s="417" t="n">
        <f aca="false">SQRT(pos_x^2+pos_z^2)</f>
        <v>70.7081780651689</v>
      </c>
      <c r="M133" s="418" t="n">
        <f aca="false">IF(AND(L132&gt;L_rampe,G133&gt;0),ATAN2(G133,H133),$M$4)</f>
        <v>1.36670918054689</v>
      </c>
      <c r="N133" s="417" t="n">
        <f aca="false">DEGREES(Beta)</f>
        <v>78.30666786712</v>
      </c>
      <c r="O133" s="401"/>
      <c r="P133" s="420" t="n">
        <f aca="false">MATCH(t-pas/2-T_ini,CdP_t)</f>
        <v>4</v>
      </c>
      <c r="Q133" s="417" t="n">
        <f aca="false">(INDEX(CdP,2,i_P+1)-INDEX(CdP,2,i_P+0))/(INDEX(CdP,1,i_P+1)-INDEX(CdP,1,i_P+0))*(t-pas/2-T_ini-INDEX(CdP,1,i_P+0))+INDEX(CdP,2,i_P+0)</f>
        <v>693.4</v>
      </c>
      <c r="R133" s="418" t="n">
        <f aca="false">Poussee/(g*ISP)</f>
        <v>0.347985153300913</v>
      </c>
      <c r="S133" s="419" t="n">
        <f aca="false">S132-Débit*pas</f>
        <v>7.91184054081627</v>
      </c>
      <c r="T133" s="417" t="n">
        <f aca="false">m*g</f>
        <v>77.6151557054076</v>
      </c>
      <c r="U133" s="421" t="n">
        <f aca="false">IF(pos_xz&lt;L_rampe,Poids*COS(Beta),0)</f>
        <v>0</v>
      </c>
      <c r="V133" s="418" t="n">
        <f aca="false">Rho_moyen*(20000-Alt_rampe-pos_z)/(20000+Alt_rampe+pos_z)</f>
        <v>1.21652960052771</v>
      </c>
      <c r="W133" s="417" t="n">
        <f aca="false">1/2*Rho*Sref*Cx*vit_xz^2</f>
        <v>42.9226941051071</v>
      </c>
      <c r="X133" s="401"/>
      <c r="Y133" s="422" t="str">
        <f aca="false">IF(AND(pos_z&lt;=0,K132&gt;0),"Impact balistique","") &amp; IF(AND(H134&lt;0,vit_z&gt;=0),"Apogée","") &amp; IF(AND(Poussee=0,Q132&gt;0),"Fin de propulsion","") &amp; IF(AND(L134&gt;L_rampe,pos_xz&lt;=L_rampe),"Sortie de rampe","")</f>
        <v/>
      </c>
      <c r="Z133" s="423" t="str">
        <f aca="false">IF(ABS(t-T_para)&lt;pas/2,"Para","")</f>
        <v/>
      </c>
      <c r="AA133" s="424" t="str">
        <f aca="false">IF(ABS(t-T_satellite)&lt;pas/2,"Satellite","")</f>
        <v/>
      </c>
      <c r="AB133" s="412"/>
      <c r="AC133" s="420" t="e">
        <f aca="false">IF(ABS(t-ROUND(t,0))&lt;0.001,t,NA())</f>
        <v>#N/A</v>
      </c>
      <c r="AD133" s="425" t="e">
        <f aca="false">IF(ABS(t-ROUND(t,0))&lt;0.001,pos_x,NA())</f>
        <v>#N/A</v>
      </c>
      <c r="AE133" s="426" t="n">
        <f aca="false">IF(t&lt;T_para, pos_z, NA())</f>
        <v>69.3860067922815</v>
      </c>
      <c r="AF133" s="412"/>
      <c r="AG133" s="418" t="n">
        <f aca="false">IF(AND(L132&lt;L_rampe,Poussee&lt;Poids*SIN(M132)),0,(-W132+Poussee)/m-Poids*SIN(M132)/m)</f>
        <v>72.6817103167266</v>
      </c>
      <c r="AH133" s="417" t="n">
        <f aca="false">IF(AND(L132&lt;L_rampe,Poussee&lt;Poids*SIN(M132)), g*SIN(M132), (-W132+Poussee)/m)</f>
        <v>82.2884860748157</v>
      </c>
    </row>
    <row r="134" customFormat="false" ht="12" hidden="false" customHeight="false" outlineLevel="0" collapsed="false">
      <c r="A134" s="416" t="n">
        <f aca="false">IF(B133+0.01&lt;=T_ini+ROUNDUP(Temps_fin_propu,0), 0.01, IF(K133&gt;0, 0.1, 0.0001))</f>
        <v>0.01</v>
      </c>
      <c r="B134" s="417" t="n">
        <f aca="false">B133+pas</f>
        <v>1.3</v>
      </c>
      <c r="C134" s="401"/>
      <c r="D134" s="418" t="n">
        <f aca="false">IF(AND(L133&lt;L_rampe,Poussee&lt;Poids*SIN(M133)),0,(-W133+Poussee)/m*COS(M133)-U133/m*SIN(M133))</f>
        <v>16.629235779479</v>
      </c>
      <c r="E134" s="419" t="n">
        <f aca="false">IF(AND(L133&lt;L_rampe,Poussee&lt;Poids*SIN(M133)),0,(-W133+Poussee)/m*SIN(M133)+U133/m*COS(M133)-Poids/m)</f>
        <v>70.5366290920256</v>
      </c>
      <c r="F134" s="417" t="n">
        <f aca="false">SQRT(acc_x^2+acc_z^2)</f>
        <v>72.4703216929213</v>
      </c>
      <c r="G134" s="418" t="n">
        <f aca="false">G133+acc_x*pas</f>
        <v>21.8763464571481</v>
      </c>
      <c r="H134" s="419" t="n">
        <f aca="false">H133+acc_z*pas</f>
        <v>105.600725730174</v>
      </c>
      <c r="I134" s="417" t="n">
        <f aca="false">SQRT(vit_x^2+vit_z^2)</f>
        <v>107.842884832763</v>
      </c>
      <c r="J134" s="418" t="n">
        <f aca="false">J133+0.5*(vit_x+G133)*pas*(K133&gt;=0)</f>
        <v>13.8277999932185</v>
      </c>
      <c r="K134" s="419" t="n">
        <f aca="false">K133+0.5*(vit_z+H133)*pas</f>
        <v>70.4384872181287</v>
      </c>
      <c r="L134" s="417" t="n">
        <f aca="false">SQRT(pos_x^2+pos_z^2)</f>
        <v>71.7829264813781</v>
      </c>
      <c r="M134" s="418" t="n">
        <f aca="false">IF(AND(L133&gt;L_rampe,G134&gt;0),ATAN2(G134,H134),$M$4)</f>
        <v>1.36652481739324</v>
      </c>
      <c r="N134" s="417" t="n">
        <f aca="false">DEGREES(Beta)</f>
        <v>78.296104636518</v>
      </c>
      <c r="O134" s="401"/>
      <c r="P134" s="420" t="n">
        <f aca="false">MATCH(t-pas/2-T_ini,CdP_t)</f>
        <v>4</v>
      </c>
      <c r="Q134" s="417" t="n">
        <f aca="false">(INDEX(CdP,2,i_P+1)-INDEX(CdP,2,i_P+0))/(INDEX(CdP,1,i_P+1)-INDEX(CdP,1,i_P+0))*(t-pas/2-T_ini-INDEX(CdP,1,i_P+0))+INDEX(CdP,2,i_P+0)</f>
        <v>691.8</v>
      </c>
      <c r="R134" s="418" t="n">
        <f aca="false">Poussee/(g*ISP)</f>
        <v>0.347182187847666</v>
      </c>
      <c r="S134" s="419" t="n">
        <f aca="false">S133-Débit*pas</f>
        <v>7.9083687189378</v>
      </c>
      <c r="T134" s="417" t="n">
        <f aca="false">m*g</f>
        <v>77.5810971327798</v>
      </c>
      <c r="U134" s="421" t="n">
        <f aca="false">IF(pos_xz&lt;L_rampe,Poids*COS(Beta),0)</f>
        <v>0</v>
      </c>
      <c r="V134" s="418" t="n">
        <f aca="false">Rho_moyen*(20000-Alt_rampe-pos_z)/(20000+Alt_rampe+pos_z)</f>
        <v>1.2164015683417</v>
      </c>
      <c r="W134" s="417" t="n">
        <f aca="false">1/2*Rho*Sref*Cx*vit_xz^2</f>
        <v>43.5006430842895</v>
      </c>
      <c r="X134" s="401"/>
      <c r="Y134" s="422" t="str">
        <f aca="false">IF(AND(pos_z&lt;=0,K133&gt;0),"Impact balistique","") &amp; IF(AND(H135&lt;0,vit_z&gt;=0),"Apogée","") &amp; IF(AND(Poussee=0,Q133&gt;0),"Fin de propulsion","") &amp; IF(AND(L135&gt;L_rampe,pos_xz&lt;=L_rampe),"Sortie de rampe","")</f>
        <v/>
      </c>
      <c r="Z134" s="423" t="str">
        <f aca="false">IF(ABS(t-T_para)&lt;pas/2,"Para","")</f>
        <v/>
      </c>
      <c r="AA134" s="424" t="str">
        <f aca="false">IF(ABS(t-T_satellite)&lt;pas/2,"Satellite","")</f>
        <v/>
      </c>
      <c r="AB134" s="412"/>
      <c r="AC134" s="420" t="e">
        <f aca="false">IF(ABS(t-ROUND(t,0))&lt;0.001,t,NA())</f>
        <v>#N/A</v>
      </c>
      <c r="AD134" s="425" t="e">
        <f aca="false">IF(ABS(t-ROUND(t,0))&lt;0.001,pos_x,NA())</f>
        <v>#N/A</v>
      </c>
      <c r="AE134" s="426" t="n">
        <f aca="false">IF(t&lt;T_para, pos_z, NA())</f>
        <v>70.4384872181287</v>
      </c>
      <c r="AF134" s="412"/>
      <c r="AG134" s="418" t="n">
        <f aca="false">IF(AND(L133&lt;L_rampe,Poussee&lt;Poids*SIN(M133)),0,(-W133+Poussee)/m-Poids*SIN(M133)/m)</f>
        <v>72.4430430472189</v>
      </c>
      <c r="AH134" s="417" t="n">
        <f aca="false">IF(AND(L133&lt;L_rampe,Poussee&lt;Poids*SIN(M133)), g*SIN(M133), (-W133+Poussee)/m)</f>
        <v>82.0494502666595</v>
      </c>
    </row>
    <row r="135" customFormat="false" ht="12" hidden="false" customHeight="false" outlineLevel="0" collapsed="false">
      <c r="A135" s="416" t="n">
        <f aca="false">IF(B134+0.01&lt;=T_ini+ROUNDUP(Temps_fin_propu,0), 0.01, IF(K134&gt;0, 0.1, 0.0001))</f>
        <v>0.01</v>
      </c>
      <c r="B135" s="417" t="n">
        <f aca="false">B134+pas</f>
        <v>1.31</v>
      </c>
      <c r="C135" s="401"/>
      <c r="D135" s="418" t="n">
        <f aca="false">IF(AND(L134&lt;L_rampe,Poussee&lt;Poids*SIN(M134)),0,(-W134+Poussee)/m*COS(M134)-U134/m*SIN(M134))</f>
        <v>16.5954515575459</v>
      </c>
      <c r="E135" s="419" t="n">
        <f aca="false">IF(AND(L134&lt;L_rampe,Poussee&lt;Poids*SIN(M134)),0,(-W134+Poussee)/m*SIN(M134)+U134/m*COS(M134)-Poids/m)</f>
        <v>70.2989766853719</v>
      </c>
      <c r="F135" s="417" t="n">
        <f aca="false">SQRT(acc_x^2+acc_z^2)</f>
        <v>72.2312614828879</v>
      </c>
      <c r="G135" s="418" t="n">
        <f aca="false">G134+acc_x*pas</f>
        <v>22.0423009727236</v>
      </c>
      <c r="H135" s="419" t="n">
        <f aca="false">H134+acc_z*pas</f>
        <v>106.303715497028</v>
      </c>
      <c r="I135" s="417" t="n">
        <f aca="false">SQRT(vit_x^2+vit_z^2)</f>
        <v>108.564925093905</v>
      </c>
      <c r="J135" s="418" t="n">
        <f aca="false">J134+0.5*(vit_x+G134)*pas*(K134&gt;=0)</f>
        <v>14.0473932303678</v>
      </c>
      <c r="K135" s="419" t="n">
        <f aca="false">K134+0.5*(vit_z+H134)*pas</f>
        <v>71.4980094242647</v>
      </c>
      <c r="L135" s="417" t="n">
        <f aca="false">SQRT(pos_x^2+pos_z^2)</f>
        <v>72.864906561395</v>
      </c>
      <c r="M135" s="418" t="n">
        <f aca="false">IF(AND(L134&gt;L_rampe,G135&gt;0),ATAN2(G135,H135),$M$4)</f>
        <v>1.36634151726508</v>
      </c>
      <c r="N135" s="417" t="n">
        <f aca="false">DEGREES(Beta)</f>
        <v>78.2856023127905</v>
      </c>
      <c r="O135" s="401"/>
      <c r="P135" s="420" t="n">
        <f aca="false">MATCH(t-pas/2-T_ini,CdP_t)</f>
        <v>4</v>
      </c>
      <c r="Q135" s="417" t="n">
        <f aca="false">(INDEX(CdP,2,i_P+1)-INDEX(CdP,2,i_P+0))/(INDEX(CdP,1,i_P+1)-INDEX(CdP,1,i_P+0))*(t-pas/2-T_ini-INDEX(CdP,1,i_P+0))+INDEX(CdP,2,i_P+0)</f>
        <v>690.2</v>
      </c>
      <c r="R135" s="418" t="n">
        <f aca="false">Poussee/(g*ISP)</f>
        <v>0.346379222394419</v>
      </c>
      <c r="S135" s="419" t="n">
        <f aca="false">S134-Débit*pas</f>
        <v>7.90490492671385</v>
      </c>
      <c r="T135" s="417" t="n">
        <f aca="false">m*g</f>
        <v>77.5471173310629</v>
      </c>
      <c r="U135" s="421" t="n">
        <f aca="false">IF(pos_xz&lt;L_rampe,Poids*COS(Beta),0)</f>
        <v>0</v>
      </c>
      <c r="V135" s="418" t="n">
        <f aca="false">Rho_moyen*(20000-Alt_rampe-pos_z)/(20000+Alt_rampe+pos_z)</f>
        <v>1.21627269309908</v>
      </c>
      <c r="W135" s="417" t="n">
        <f aca="false">1/2*Rho*Sref*Cx*vit_xz^2</f>
        <v>44.0804219088611</v>
      </c>
      <c r="X135" s="401"/>
      <c r="Y135" s="422" t="str">
        <f aca="false">IF(AND(pos_z&lt;=0,K134&gt;0),"Impact balistique","") &amp; IF(AND(H136&lt;0,vit_z&gt;=0),"Apogée","") &amp; IF(AND(Poussee=0,Q134&gt;0),"Fin de propulsion","") &amp; IF(AND(L136&gt;L_rampe,pos_xz&lt;=L_rampe),"Sortie de rampe","")</f>
        <v/>
      </c>
      <c r="Z135" s="423" t="str">
        <f aca="false">IF(ABS(t-T_para)&lt;pas/2,"Para","")</f>
        <v/>
      </c>
      <c r="AA135" s="424" t="str">
        <f aca="false">IF(ABS(t-T_satellite)&lt;pas/2,"Satellite","")</f>
        <v/>
      </c>
      <c r="AB135" s="412"/>
      <c r="AC135" s="420" t="e">
        <f aca="false">IF(ABS(t-ROUND(t,0))&lt;0.001,t,NA())</f>
        <v>#N/A</v>
      </c>
      <c r="AD135" s="425" t="e">
        <f aca="false">IF(ABS(t-ROUND(t,0))&lt;0.001,pos_x,NA())</f>
        <v>#N/A</v>
      </c>
      <c r="AE135" s="426" t="n">
        <f aca="false">IF(t&lt;T_para, pos_z, NA())</f>
        <v>71.4980094242647</v>
      </c>
      <c r="AF135" s="412"/>
      <c r="AG135" s="418" t="n">
        <f aca="false">IF(AND(L134&lt;L_rampe,Poussee&lt;Poids*SIN(M134)),0,(-W134+Poussee)/m-Poids*SIN(M134)/m)</f>
        <v>72.2038437308562</v>
      </c>
      <c r="AH135" s="417" t="n">
        <f aca="false">IF(AND(L134&lt;L_rampe,Poussee&lt;Poids*SIN(M134)), g*SIN(M134), (-W134+Poussee)/m)</f>
        <v>81.8098842315299</v>
      </c>
    </row>
    <row r="136" customFormat="false" ht="12" hidden="false" customHeight="false" outlineLevel="0" collapsed="false">
      <c r="A136" s="416" t="n">
        <f aca="false">IF(B135+0.01&lt;=T_ini+ROUNDUP(Temps_fin_propu,0), 0.01, IF(K135&gt;0, 0.1, 0.0001))</f>
        <v>0.01</v>
      </c>
      <c r="B136" s="417" t="n">
        <f aca="false">B135+pas</f>
        <v>1.32</v>
      </c>
      <c r="C136" s="401"/>
      <c r="D136" s="418" t="n">
        <f aca="false">IF(AND(L135&lt;L_rampe,Poussee&lt;Poids*SIN(M135)),0,(-W135+Poussee)/m*COS(M135)-U135/m*SIN(M135))</f>
        <v>16.5613888741615</v>
      </c>
      <c r="E136" s="419" t="n">
        <f aca="false">IF(AND(L135&lt;L_rampe,Poussee&lt;Poids*SIN(M135)),0,(-W135+Poussee)/m*SIN(M135)+U135/m*COS(M135)-Poids/m)</f>
        <v>70.0608434883043</v>
      </c>
      <c r="F136" s="417" t="n">
        <f aca="false">SQRT(acc_x^2+acc_z^2)</f>
        <v>71.9916758502944</v>
      </c>
      <c r="G136" s="418" t="n">
        <f aca="false">G135+acc_x*pas</f>
        <v>22.2079148614652</v>
      </c>
      <c r="H136" s="419" t="n">
        <f aca="false">H135+acc_z*pas</f>
        <v>107.004323931911</v>
      </c>
      <c r="I136" s="417" t="n">
        <f aca="false">SQRT(vit_x^2+vit_z^2)</f>
        <v>109.284568090007</v>
      </c>
      <c r="J136" s="418" t="n">
        <f aca="false">J135+0.5*(vit_x+G135)*pas*(K135&gt;=0)</f>
        <v>14.2686443095388</v>
      </c>
      <c r="K136" s="419" t="n">
        <f aca="false">K135+0.5*(vit_z+H135)*pas</f>
        <v>72.5645496214094</v>
      </c>
      <c r="L136" s="417" t="n">
        <f aca="false">SQRT(pos_x^2+pos_z^2)</f>
        <v>73.9540943571762</v>
      </c>
      <c r="M136" s="418" t="n">
        <f aca="false">IF(AND(L135&gt;L_rampe,G136&gt;0),ATAN2(G136,H136),$M$4)</f>
        <v>1.36615926305866</v>
      </c>
      <c r="N136" s="417" t="n">
        <f aca="false">DEGREES(Beta)</f>
        <v>78.2751599159638</v>
      </c>
      <c r="O136" s="401"/>
      <c r="P136" s="420" t="n">
        <f aca="false">MATCH(t-pas/2-T_ini,CdP_t)</f>
        <v>4</v>
      </c>
      <c r="Q136" s="417" t="n">
        <f aca="false">(INDEX(CdP,2,i_P+1)-INDEX(CdP,2,i_P+0))/(INDEX(CdP,1,i_P+1)-INDEX(CdP,1,i_P+0))*(t-pas/2-T_ini-INDEX(CdP,1,i_P+0))+INDEX(CdP,2,i_P+0)</f>
        <v>688.6</v>
      </c>
      <c r="R136" s="418" t="n">
        <f aca="false">Poussee/(g*ISP)</f>
        <v>0.345576256941172</v>
      </c>
      <c r="S136" s="419" t="n">
        <f aca="false">S135-Débit*pas</f>
        <v>7.90144916414444</v>
      </c>
      <c r="T136" s="417" t="n">
        <f aca="false">m*g</f>
        <v>77.513216300257</v>
      </c>
      <c r="U136" s="421" t="n">
        <f aca="false">IF(pos_xz&lt;L_rampe,Poids*COS(Beta),0)</f>
        <v>0</v>
      </c>
      <c r="V136" s="418" t="n">
        <f aca="false">Rho_moyen*(20000-Alt_rampe-pos_z)/(20000+Alt_rampe+pos_z)</f>
        <v>1.21614297796214</v>
      </c>
      <c r="W136" s="417" t="n">
        <f aca="false">1/2*Rho*Sref*Cx*vit_xz^2</f>
        <v>44.6619857956906</v>
      </c>
      <c r="X136" s="401"/>
      <c r="Y136" s="422" t="str">
        <f aca="false">IF(AND(pos_z&lt;=0,K135&gt;0),"Impact balistique","") &amp; IF(AND(H137&lt;0,vit_z&gt;=0),"Apogée","") &amp; IF(AND(Poussee=0,Q135&gt;0),"Fin de propulsion","") &amp; IF(AND(L137&gt;L_rampe,pos_xz&lt;=L_rampe),"Sortie de rampe","")</f>
        <v/>
      </c>
      <c r="Z136" s="423" t="str">
        <f aca="false">IF(ABS(t-T_para)&lt;pas/2,"Para","")</f>
        <v/>
      </c>
      <c r="AA136" s="424" t="str">
        <f aca="false">IF(ABS(t-T_satellite)&lt;pas/2,"Satellite","")</f>
        <v/>
      </c>
      <c r="AB136" s="412"/>
      <c r="AC136" s="420" t="e">
        <f aca="false">IF(ABS(t-ROUND(t,0))&lt;0.001,t,NA())</f>
        <v>#N/A</v>
      </c>
      <c r="AD136" s="425" t="e">
        <f aca="false">IF(ABS(t-ROUND(t,0))&lt;0.001,pos_x,NA())</f>
        <v>#N/A</v>
      </c>
      <c r="AE136" s="426" t="n">
        <f aca="false">IF(t&lt;T_para, pos_z, NA())</f>
        <v>72.5645496214094</v>
      </c>
      <c r="AF136" s="412"/>
      <c r="AG136" s="418" t="n">
        <f aca="false">IF(AND(L135&lt;L_rampe,Poussee&lt;Poids*SIN(M135)),0,(-W135+Poussee)/m-Poids*SIN(M135)/m)</f>
        <v>71.9641181071631</v>
      </c>
      <c r="AH136" s="417" t="n">
        <f aca="false">IF(AND(L135&lt;L_rampe,Poussee&lt;Poids*SIN(M135)), g*SIN(M135), (-W135+Poussee)/m)</f>
        <v>81.5697936798568</v>
      </c>
    </row>
    <row r="137" customFormat="false" ht="12" hidden="false" customHeight="false" outlineLevel="0" collapsed="false">
      <c r="A137" s="416" t="n">
        <f aca="false">IF(B136+0.01&lt;=T_ini+ROUNDUP(Temps_fin_propu,0), 0.01, IF(K136&gt;0, 0.1, 0.0001))</f>
        <v>0.01</v>
      </c>
      <c r="B137" s="417" t="n">
        <f aca="false">B136+pas</f>
        <v>1.33</v>
      </c>
      <c r="C137" s="401"/>
      <c r="D137" s="418" t="n">
        <f aca="false">IF(AND(L136&lt;L_rampe,Poussee&lt;Poids*SIN(M136)),0,(-W136+Poussee)/m*COS(M136)-U136/m*SIN(M136))</f>
        <v>16.5270507338946</v>
      </c>
      <c r="E137" s="419" t="n">
        <f aca="false">IF(AND(L136&lt;L_rampe,Poussee&lt;Poids*SIN(M136)),0,(-W136+Poussee)/m*SIN(M136)+U136/m*COS(M136)-Poids/m)</f>
        <v>69.822234786589</v>
      </c>
      <c r="F137" s="417" t="n">
        <f aca="false">SQRT(acc_x^2+acc_z^2)</f>
        <v>71.7515705511335</v>
      </c>
      <c r="G137" s="418" t="n">
        <f aca="false">G136+acc_x*pas</f>
        <v>22.3731853688041</v>
      </c>
      <c r="H137" s="419" t="n">
        <f aca="false">H136+acc_z*pas</f>
        <v>107.702546279777</v>
      </c>
      <c r="I137" s="417" t="n">
        <f aca="false">SQRT(vit_x^2+vit_z^2)</f>
        <v>110.00180861556</v>
      </c>
      <c r="J137" s="418" t="n">
        <f aca="false">J136+0.5*(vit_x+G136)*pas*(K136&gt;=0)</f>
        <v>14.4915498106901</v>
      </c>
      <c r="K137" s="419" t="n">
        <f aca="false">K136+0.5*(vit_z+H136)*pas</f>
        <v>73.6380839724678</v>
      </c>
      <c r="L137" s="417" t="n">
        <f aca="false">SQRT(pos_x^2+pos_z^2)</f>
        <v>75.0504658683204</v>
      </c>
      <c r="M137" s="418" t="n">
        <f aca="false">IF(AND(L136&gt;L_rampe,G137&gt;0),ATAN2(G137,H137),$M$4)</f>
        <v>1.36597803805065</v>
      </c>
      <c r="N137" s="417" t="n">
        <f aca="false">DEGREES(Beta)</f>
        <v>78.2647764878626</v>
      </c>
      <c r="O137" s="401"/>
      <c r="P137" s="420" t="n">
        <f aca="false">MATCH(t-pas/2-T_ini,CdP_t)</f>
        <v>4</v>
      </c>
      <c r="Q137" s="417" t="n">
        <f aca="false">(INDEX(CdP,2,i_P+1)-INDEX(CdP,2,i_P+0))/(INDEX(CdP,1,i_P+1)-INDEX(CdP,1,i_P+0))*(t-pas/2-T_ini-INDEX(CdP,1,i_P+0))+INDEX(CdP,2,i_P+0)</f>
        <v>687</v>
      </c>
      <c r="R137" s="418" t="n">
        <f aca="false">Poussee/(g*ISP)</f>
        <v>0.344773291487925</v>
      </c>
      <c r="S137" s="419" t="n">
        <f aca="false">S136-Débit*pas</f>
        <v>7.89800143122956</v>
      </c>
      <c r="T137" s="417" t="n">
        <f aca="false">m*g</f>
        <v>77.479394040362</v>
      </c>
      <c r="U137" s="421" t="n">
        <f aca="false">IF(pos_xz&lt;L_rampe,Poids*COS(Beta),0)</f>
        <v>0</v>
      </c>
      <c r="V137" s="418" t="n">
        <f aca="false">Rho_moyen*(20000-Alt_rampe-pos_z)/(20000+Alt_rampe+pos_z)</f>
        <v>1.21601242609945</v>
      </c>
      <c r="W137" s="417" t="n">
        <f aca="false">1/2*Rho*Sref*Cx*vit_xz^2</f>
        <v>45.2452900409242</v>
      </c>
      <c r="X137" s="401"/>
      <c r="Y137" s="422" t="str">
        <f aca="false">IF(AND(pos_z&lt;=0,K136&gt;0),"Impact balistique","") &amp; IF(AND(H138&lt;0,vit_z&gt;=0),"Apogée","") &amp; IF(AND(Poussee=0,Q136&gt;0),"Fin de propulsion","") &amp; IF(AND(L138&gt;L_rampe,pos_xz&lt;=L_rampe),"Sortie de rampe","")</f>
        <v/>
      </c>
      <c r="Z137" s="423" t="str">
        <f aca="false">IF(ABS(t-T_para)&lt;pas/2,"Para","")</f>
        <v/>
      </c>
      <c r="AA137" s="424" t="str">
        <f aca="false">IF(ABS(t-T_satellite)&lt;pas/2,"Satellite","")</f>
        <v/>
      </c>
      <c r="AB137" s="412"/>
      <c r="AC137" s="420" t="e">
        <f aca="false">IF(ABS(t-ROUND(t,0))&lt;0.001,t,NA())</f>
        <v>#N/A</v>
      </c>
      <c r="AD137" s="425" t="e">
        <f aca="false">IF(ABS(t-ROUND(t,0))&lt;0.001,pos_x,NA())</f>
        <v>#N/A</v>
      </c>
      <c r="AE137" s="426" t="n">
        <f aca="false">IF(t&lt;T_para, pos_z, NA())</f>
        <v>73.6380839724678</v>
      </c>
      <c r="AF137" s="412"/>
      <c r="AG137" s="418" t="n">
        <f aca="false">IF(AND(L136&lt;L_rampe,Poussee&lt;Poids*SIN(M136)),0,(-W136+Poussee)/m-Poids*SIN(M136)/m)</f>
        <v>71.7238719185667</v>
      </c>
      <c r="AH137" s="417" t="n">
        <f aca="false">IF(AND(L136&lt;L_rampe,Poussee&lt;Poids*SIN(M136)), g*SIN(M136), (-W136+Poussee)/m)</f>
        <v>81.3291843255984</v>
      </c>
    </row>
    <row r="138" customFormat="false" ht="12" hidden="false" customHeight="false" outlineLevel="0" collapsed="false">
      <c r="A138" s="416" t="n">
        <f aca="false">IF(B137+0.01&lt;=T_ini+ROUNDUP(Temps_fin_propu,0), 0.01, IF(K137&gt;0, 0.1, 0.0001))</f>
        <v>0.01</v>
      </c>
      <c r="B138" s="417" t="n">
        <f aca="false">B137+pas</f>
        <v>1.34</v>
      </c>
      <c r="C138" s="401"/>
      <c r="D138" s="418" t="n">
        <f aca="false">IF(AND(L137&lt;L_rampe,Poussee&lt;Poids*SIN(M137)),0,(-W137+Poussee)/m*COS(M137)-U137/m*SIN(M137))</f>
        <v>16.4924401025905</v>
      </c>
      <c r="E138" s="419" t="n">
        <f aca="false">IF(AND(L137&lt;L_rampe,Poussee&lt;Poids*SIN(M137)),0,(-W137+Poussee)/m*SIN(M137)+U137/m*COS(M137)-Poids/m)</f>
        <v>69.5831558754451</v>
      </c>
      <c r="F138" s="417" t="n">
        <f aca="false">SQRT(acc_x^2+acc_z^2)</f>
        <v>71.5109513440006</v>
      </c>
      <c r="G138" s="418" t="n">
        <f aca="false">G137+acc_x*pas</f>
        <v>22.53810976983</v>
      </c>
      <c r="H138" s="419" t="n">
        <f aca="false">H137+acc_z*pas</f>
        <v>108.398377838531</v>
      </c>
      <c r="I138" s="417" t="n">
        <f aca="false">SQRT(vit_x^2+vit_z^2)</f>
        <v>110.7166415225</v>
      </c>
      <c r="J138" s="418" t="n">
        <f aca="false">J137+0.5*(vit_x+G137)*pas*(K137&gt;=0)</f>
        <v>14.7161062863833</v>
      </c>
      <c r="K138" s="419" t="n">
        <f aca="false">K137+0.5*(vit_z+H137)*pas</f>
        <v>74.7185885930593</v>
      </c>
      <c r="L138" s="417" t="n">
        <f aca="false">SQRT(pos_x^2+pos_z^2)</f>
        <v>76.1539970426437</v>
      </c>
      <c r="M138" s="418" t="n">
        <f aca="false">IF(AND(L137&gt;L_rampe,G138&gt;0),ATAN2(G138,H138),$M$4)</f>
        <v>1.36579782588676</v>
      </c>
      <c r="N138" s="417" t="n">
        <f aca="false">DEGREES(Beta)</f>
        <v>78.2544510914549</v>
      </c>
      <c r="O138" s="401"/>
      <c r="P138" s="420" t="n">
        <f aca="false">MATCH(t-pas/2-T_ini,CdP_t)</f>
        <v>4</v>
      </c>
      <c r="Q138" s="417" t="n">
        <f aca="false">(INDEX(CdP,2,i_P+1)-INDEX(CdP,2,i_P+0))/(INDEX(CdP,1,i_P+1)-INDEX(CdP,1,i_P+0))*(t-pas/2-T_ini-INDEX(CdP,1,i_P+0))+INDEX(CdP,2,i_P+0)</f>
        <v>685.4</v>
      </c>
      <c r="R138" s="418" t="n">
        <f aca="false">Poussee/(g*ISP)</f>
        <v>0.343970326034678</v>
      </c>
      <c r="S138" s="419" t="n">
        <f aca="false">S137-Débit*pas</f>
        <v>7.89456172796921</v>
      </c>
      <c r="T138" s="417" t="n">
        <f aca="false">m*g</f>
        <v>77.445650551378</v>
      </c>
      <c r="U138" s="421" t="n">
        <f aca="false">IF(pos_xz&lt;L_rampe,Poids*COS(Beta),0)</f>
        <v>0</v>
      </c>
      <c r="V138" s="418" t="n">
        <f aca="false">Rho_moyen*(20000-Alt_rampe-pos_z)/(20000+Alt_rampe+pos_z)</f>
        <v>1.21588104068582</v>
      </c>
      <c r="W138" s="417" t="n">
        <f aca="false">1/2*Rho*Sref*Cx*vit_xz^2</f>
        <v>45.8302900228099</v>
      </c>
      <c r="X138" s="401"/>
      <c r="Y138" s="422" t="str">
        <f aca="false">IF(AND(pos_z&lt;=0,K137&gt;0),"Impact balistique","") &amp; IF(AND(H139&lt;0,vit_z&gt;=0),"Apogée","") &amp; IF(AND(Poussee=0,Q137&gt;0),"Fin de propulsion","") &amp; IF(AND(L139&gt;L_rampe,pos_xz&lt;=L_rampe),"Sortie de rampe","")</f>
        <v/>
      </c>
      <c r="Z138" s="423" t="str">
        <f aca="false">IF(ABS(t-T_para)&lt;pas/2,"Para","")</f>
        <v/>
      </c>
      <c r="AA138" s="424" t="str">
        <f aca="false">IF(ABS(t-T_satellite)&lt;pas/2,"Satellite","")</f>
        <v/>
      </c>
      <c r="AB138" s="412"/>
      <c r="AC138" s="420" t="e">
        <f aca="false">IF(ABS(t-ROUND(t,0))&lt;0.001,t,NA())</f>
        <v>#N/A</v>
      </c>
      <c r="AD138" s="425" t="e">
        <f aca="false">IF(ABS(t-ROUND(t,0))&lt;0.001,pos_x,NA())</f>
        <v>#N/A</v>
      </c>
      <c r="AE138" s="426" t="n">
        <f aca="false">IF(t&lt;T_para, pos_z, NA())</f>
        <v>74.7185885930593</v>
      </c>
      <c r="AF138" s="412"/>
      <c r="AG138" s="418" t="n">
        <f aca="false">IF(AND(L137&lt;L_rampe,Poussee&lt;Poids*SIN(M137)),0,(-W137+Poussee)/m-Poids*SIN(M137)/m)</f>
        <v>71.4831109100047</v>
      </c>
      <c r="AH138" s="417" t="n">
        <f aca="false">IF(AND(L137&lt;L_rampe,Poussee&lt;Poids*SIN(M137)), g*SIN(M137), (-W137+Poussee)/m)</f>
        <v>81.0880618858304</v>
      </c>
    </row>
    <row r="139" customFormat="false" ht="12" hidden="false" customHeight="false" outlineLevel="0" collapsed="false">
      <c r="A139" s="416" t="n">
        <f aca="false">IF(B138+0.01&lt;=T_ini+ROUNDUP(Temps_fin_propu,0), 0.01, IF(K138&gt;0, 0.1, 0.0001))</f>
        <v>0.01</v>
      </c>
      <c r="B139" s="417" t="n">
        <f aca="false">B138+pas</f>
        <v>1.35</v>
      </c>
      <c r="C139" s="401"/>
      <c r="D139" s="418" t="n">
        <f aca="false">IF(AND(L138&lt;L_rampe,Poussee&lt;Poids*SIN(M138)),0,(-W138+Poussee)/m*COS(M138)-U138/m*SIN(M138))</f>
        <v>16.4575599085113</v>
      </c>
      <c r="E139" s="419" t="n">
        <f aca="false">IF(AND(L138&lt;L_rampe,Poussee&lt;Poids*SIN(M138)),0,(-W138+Poussee)/m*SIN(M138)+U138/m*COS(M138)-Poids/m)</f>
        <v>69.3436120589463</v>
      </c>
      <c r="F139" s="417" t="n">
        <f aca="false">SQRT(acc_x^2+acc_z^2)</f>
        <v>71.2698239897075</v>
      </c>
      <c r="G139" s="418" t="n">
        <f aca="false">G138+acc_x*pas</f>
        <v>22.7026853689151</v>
      </c>
      <c r="H139" s="419" t="n">
        <f aca="false">H138+acc_z*pas</f>
        <v>109.09181395912</v>
      </c>
      <c r="I139" s="417" t="n">
        <f aca="false">SQRT(vit_x^2+vit_z^2)</f>
        <v>111.429061720232</v>
      </c>
      <c r="J139" s="418" t="n">
        <f aca="false">J138+0.5*(vit_x+G138)*pas*(K138&gt;=0)</f>
        <v>14.942310262077</v>
      </c>
      <c r="K139" s="419" t="n">
        <f aca="false">K138+0.5*(vit_z+H138)*pas</f>
        <v>75.8060395520476</v>
      </c>
      <c r="L139" s="417" t="n">
        <f aca="false">SQRT(pos_x^2+pos_z^2)</f>
        <v>77.2646637767536</v>
      </c>
      <c r="M139" s="418" t="n">
        <f aca="false">IF(AND(L138&gt;L_rampe,G139&gt;0),ATAN2(G139,H139),$M$4)</f>
        <v>1.36561861057072</v>
      </c>
      <c r="N139" s="417" t="n">
        <f aca="false">DEGREES(Beta)</f>
        <v>78.2441828102219</v>
      </c>
      <c r="O139" s="401"/>
      <c r="P139" s="420" t="n">
        <f aca="false">MATCH(t-pas/2-T_ini,CdP_t)</f>
        <v>4</v>
      </c>
      <c r="Q139" s="417" t="n">
        <f aca="false">(INDEX(CdP,2,i_P+1)-INDEX(CdP,2,i_P+0))/(INDEX(CdP,1,i_P+1)-INDEX(CdP,1,i_P+0))*(t-pas/2-T_ini-INDEX(CdP,1,i_P+0))+INDEX(CdP,2,i_P+0)</f>
        <v>683.8</v>
      </c>
      <c r="R139" s="418" t="n">
        <f aca="false">Poussee/(g*ISP)</f>
        <v>0.343167360581431</v>
      </c>
      <c r="S139" s="419" t="n">
        <f aca="false">S138-Débit*pas</f>
        <v>7.8911300543634</v>
      </c>
      <c r="T139" s="417" t="n">
        <f aca="false">m*g</f>
        <v>77.411985833305</v>
      </c>
      <c r="U139" s="421" t="n">
        <f aca="false">IF(pos_xz&lt;L_rampe,Poids*COS(Beta),0)</f>
        <v>0</v>
      </c>
      <c r="V139" s="418" t="n">
        <f aca="false">Rho_moyen*(20000-Alt_rampe-pos_z)/(20000+Alt_rampe+pos_z)</f>
        <v>1.21574882490214</v>
      </c>
      <c r="W139" s="417" t="n">
        <f aca="false">1/2*Rho*Sref*Cx*vit_xz^2</f>
        <v>46.4169412045019</v>
      </c>
      <c r="X139" s="401"/>
      <c r="Y139" s="422" t="str">
        <f aca="false">IF(AND(pos_z&lt;=0,K138&gt;0),"Impact balistique","") &amp; IF(AND(H140&lt;0,vit_z&gt;=0),"Apogée","") &amp; IF(AND(Poussee=0,Q138&gt;0),"Fin de propulsion","") &amp; IF(AND(L140&gt;L_rampe,pos_xz&lt;=L_rampe),"Sortie de rampe","")</f>
        <v/>
      </c>
      <c r="Z139" s="423" t="str">
        <f aca="false">IF(ABS(t-T_para)&lt;pas/2,"Para","")</f>
        <v/>
      </c>
      <c r="AA139" s="424" t="str">
        <f aca="false">IF(ABS(t-T_satellite)&lt;pas/2,"Satellite","")</f>
        <v/>
      </c>
      <c r="AB139" s="412"/>
      <c r="AC139" s="420" t="e">
        <f aca="false">IF(ABS(t-ROUND(t,0))&lt;0.001,t,NA())</f>
        <v>#N/A</v>
      </c>
      <c r="AD139" s="425" t="e">
        <f aca="false">IF(ABS(t-ROUND(t,0))&lt;0.001,pos_x,NA())</f>
        <v>#N/A</v>
      </c>
      <c r="AE139" s="426" t="n">
        <f aca="false">IF(t&lt;T_para, pos_z, NA())</f>
        <v>75.8060395520476</v>
      </c>
      <c r="AF139" s="412"/>
      <c r="AG139" s="418" t="n">
        <f aca="false">IF(AND(L138&lt;L_rampe,Poussee&lt;Poids*SIN(M138)),0,(-W138+Poussee)/m-Poids*SIN(M138)/m)</f>
        <v>71.2418408285334</v>
      </c>
      <c r="AH139" s="417" t="n">
        <f aca="false">IF(AND(L138&lt;L_rampe,Poussee&lt;Poids*SIN(M138)), g*SIN(M138), (-W138+Poussee)/m)</f>
        <v>80.8464320803362</v>
      </c>
    </row>
    <row r="140" customFormat="false" ht="12" hidden="false" customHeight="false" outlineLevel="0" collapsed="false">
      <c r="A140" s="416" t="n">
        <f aca="false">IF(B139+0.01&lt;=T_ini+ROUNDUP(Temps_fin_propu,0), 0.01, IF(K139&gt;0, 0.1, 0.0001))</f>
        <v>0.01</v>
      </c>
      <c r="B140" s="417" t="n">
        <f aca="false">B139+pas</f>
        <v>1.36</v>
      </c>
      <c r="C140" s="401"/>
      <c r="D140" s="418" t="n">
        <f aca="false">IF(AND(L139&lt;L_rampe,Poussee&lt;Poids*SIN(M139)),0,(-W139+Poussee)/m*COS(M139)-U139/m*SIN(M139))</f>
        <v>16.4224130434306</v>
      </c>
      <c r="E140" s="419" t="n">
        <f aca="false">IF(AND(L139&lt;L_rampe,Poussee&lt;Poids*SIN(M139)),0,(-W139+Poussee)/m*SIN(M139)+U139/m*COS(M139)-Poids/m)</f>
        <v>69.1036086494323</v>
      </c>
      <c r="F140" s="417" t="n">
        <f aca="false">SQRT(acc_x^2+acc_z^2)</f>
        <v>71.0281942508954</v>
      </c>
      <c r="G140" s="418" t="n">
        <f aca="false">G139+acc_x*pas</f>
        <v>22.8669094993494</v>
      </c>
      <c r="H140" s="419" t="n">
        <f aca="false">H139+acc_z*pas</f>
        <v>109.782850045615</v>
      </c>
      <c r="I140" s="417" t="n">
        <f aca="false">SQRT(vit_x^2+vit_z^2)</f>
        <v>112.139064175645</v>
      </c>
      <c r="J140" s="418" t="n">
        <f aca="false">J139+0.5*(vit_x+G139)*pas*(K139&gt;=0)</f>
        <v>15.1701582364183</v>
      </c>
      <c r="K140" s="419" t="n">
        <f aca="false">K139+0.5*(vit_z+H139)*pas</f>
        <v>76.9004128720713</v>
      </c>
      <c r="L140" s="417" t="n">
        <f aca="false">SQRT(pos_x^2+pos_z^2)</f>
        <v>78.3824419166244</v>
      </c>
      <c r="M140" s="418" t="n">
        <f aca="false">IF(AND(L139&gt;L_rampe,G140&gt;0),ATAN2(G140,H140),$M$4)</f>
        <v>1.36544037645369</v>
      </c>
      <c r="N140" s="417" t="n">
        <f aca="false">DEGREES(Beta)</f>
        <v>78.2339707475505</v>
      </c>
      <c r="O140" s="401"/>
      <c r="P140" s="420" t="n">
        <f aca="false">MATCH(t-pas/2-T_ini,CdP_t)</f>
        <v>4</v>
      </c>
      <c r="Q140" s="417" t="n">
        <f aca="false">(INDEX(CdP,2,i_P+1)-INDEX(CdP,2,i_P+0))/(INDEX(CdP,1,i_P+1)-INDEX(CdP,1,i_P+0))*(t-pas/2-T_ini-INDEX(CdP,1,i_P+0))+INDEX(CdP,2,i_P+0)</f>
        <v>682.2</v>
      </c>
      <c r="R140" s="418" t="n">
        <f aca="false">Poussee/(g*ISP)</f>
        <v>0.342364395128184</v>
      </c>
      <c r="S140" s="419" t="n">
        <f aca="false">S139-Débit*pas</f>
        <v>7.88770641041212</v>
      </c>
      <c r="T140" s="417" t="n">
        <f aca="false">m*g</f>
        <v>77.3783998861429</v>
      </c>
      <c r="U140" s="421" t="n">
        <f aca="false">IF(pos_xz&lt;L_rampe,Poids*COS(Beta),0)</f>
        <v>0</v>
      </c>
      <c r="V140" s="418" t="n">
        <f aca="false">Rho_moyen*(20000-Alt_rampe-pos_z)/(20000+Alt_rampe+pos_z)</f>
        <v>1.21561578193535</v>
      </c>
      <c r="W140" s="417" t="n">
        <f aca="false">1/2*Rho*Sref*Cx*vit_xz^2</f>
        <v>47.0051991368437</v>
      </c>
      <c r="X140" s="401"/>
      <c r="Y140" s="422" t="str">
        <f aca="false">IF(AND(pos_z&lt;=0,K139&gt;0),"Impact balistique","") &amp; IF(AND(H141&lt;0,vit_z&gt;=0),"Apogée","") &amp; IF(AND(Poussee=0,Q139&gt;0),"Fin de propulsion","") &amp; IF(AND(L141&gt;L_rampe,pos_xz&lt;=L_rampe),"Sortie de rampe","")</f>
        <v/>
      </c>
      <c r="Z140" s="423" t="str">
        <f aca="false">IF(ABS(t-T_para)&lt;pas/2,"Para","")</f>
        <v/>
      </c>
      <c r="AA140" s="424" t="str">
        <f aca="false">IF(ABS(t-T_satellite)&lt;pas/2,"Satellite","")</f>
        <v/>
      </c>
      <c r="AB140" s="412"/>
      <c r="AC140" s="420" t="e">
        <f aca="false">IF(ABS(t-ROUND(t,0))&lt;0.001,t,NA())</f>
        <v>#N/A</v>
      </c>
      <c r="AD140" s="425" t="e">
        <f aca="false">IF(ABS(t-ROUND(t,0))&lt;0.001,pos_x,NA())</f>
        <v>#N/A</v>
      </c>
      <c r="AE140" s="426" t="n">
        <f aca="false">IF(t&lt;T_para, pos_z, NA())</f>
        <v>76.9004128720713</v>
      </c>
      <c r="AF140" s="412"/>
      <c r="AG140" s="418" t="n">
        <f aca="false">IF(AND(L139&lt;L_rampe,Poussee&lt;Poids*SIN(M139)),0,(-W139+Poussee)/m-Poids*SIN(M139)/m)</f>
        <v>71.0000674229372</v>
      </c>
      <c r="AH140" s="417" t="n">
        <f aca="false">IF(AND(L139&lt;L_rampe,Poussee&lt;Poids*SIN(M139)), g*SIN(M139), (-W139+Poussee)/m)</f>
        <v>80.6043006311995</v>
      </c>
    </row>
    <row r="141" customFormat="false" ht="12" hidden="false" customHeight="false" outlineLevel="0" collapsed="false">
      <c r="A141" s="416" t="n">
        <f aca="false">IF(B140+0.01&lt;=T_ini+ROUNDUP(Temps_fin_propu,0), 0.01, IF(K140&gt;0, 0.1, 0.0001))</f>
        <v>0.01</v>
      </c>
      <c r="B141" s="417" t="n">
        <f aca="false">B140+pas</f>
        <v>1.37</v>
      </c>
      <c r="C141" s="401"/>
      <c r="D141" s="418" t="n">
        <f aca="false">IF(AND(L140&lt;L_rampe,Poussee&lt;Poids*SIN(M140)),0,(-W140+Poussee)/m*COS(M140)-U140/m*SIN(M140))</f>
        <v>16.3870023636835</v>
      </c>
      <c r="E141" s="419" t="n">
        <f aca="false">IF(AND(L140&lt;L_rampe,Poussee&lt;Poids*SIN(M140)),0,(-W140+Poussee)/m*SIN(M140)+U140/m*COS(M140)-Poids/m)</f>
        <v>68.8631509669281</v>
      </c>
      <c r="F141" s="417" t="n">
        <f aca="false">SQRT(acc_x^2+acc_z^2)</f>
        <v>70.7860678916502</v>
      </c>
      <c r="G141" s="418" t="n">
        <f aca="false">G140+acc_x*pas</f>
        <v>23.0307795229863</v>
      </c>
      <c r="H141" s="419" t="n">
        <f aca="false">H140+acc_z*pas</f>
        <v>110.471481555284</v>
      </c>
      <c r="I141" s="417" t="n">
        <f aca="false">SQRT(vit_x^2+vit_z^2)</f>
        <v>112.846643913126</v>
      </c>
      <c r="J141" s="418" t="n">
        <f aca="false">J140+0.5*(vit_x+G140)*pas*(K140&gt;=0)</f>
        <v>15.39964668153</v>
      </c>
      <c r="K141" s="419" t="n">
        <f aca="false">K140+0.5*(vit_z+H140)*pas</f>
        <v>78.0016845300758</v>
      </c>
      <c r="L141" s="417" t="n">
        <f aca="false">SQRT(pos_x^2+pos_z^2)</f>
        <v>79.5073072581723</v>
      </c>
      <c r="M141" s="418" t="n">
        <f aca="false">IF(AND(L140&gt;L_rampe,G141&gt;0),ATAN2(G141,H141),$M$4)</f>
        <v>1.36526310822402</v>
      </c>
      <c r="N141" s="417" t="n">
        <f aca="false">DEGREES(Beta)</f>
        <v>78.2238140261488</v>
      </c>
      <c r="O141" s="401"/>
      <c r="P141" s="420" t="n">
        <f aca="false">MATCH(t-pas/2-T_ini,CdP_t)</f>
        <v>4</v>
      </c>
      <c r="Q141" s="417" t="n">
        <f aca="false">(INDEX(CdP,2,i_P+1)-INDEX(CdP,2,i_P+0))/(INDEX(CdP,1,i_P+1)-INDEX(CdP,1,i_P+0))*(t-pas/2-T_ini-INDEX(CdP,1,i_P+0))+INDEX(CdP,2,i_P+0)</f>
        <v>680.6</v>
      </c>
      <c r="R141" s="418" t="n">
        <f aca="false">Poussee/(g*ISP)</f>
        <v>0.341561429674937</v>
      </c>
      <c r="S141" s="419" t="n">
        <f aca="false">S140-Débit*pas</f>
        <v>7.88429079611537</v>
      </c>
      <c r="T141" s="417" t="n">
        <f aca="false">m*g</f>
        <v>77.3448927098918</v>
      </c>
      <c r="U141" s="421" t="n">
        <f aca="false">IF(pos_xz&lt;L_rampe,Poids*COS(Beta),0)</f>
        <v>0</v>
      </c>
      <c r="V141" s="418" t="n">
        <f aca="false">Rho_moyen*(20000-Alt_rampe-pos_z)/(20000+Alt_rampe+pos_z)</f>
        <v>1.21548191497833</v>
      </c>
      <c r="W141" s="417" t="n">
        <f aca="false">1/2*Rho*Sref*Cx*vit_xz^2</f>
        <v>47.5950194611305</v>
      </c>
      <c r="X141" s="401"/>
      <c r="Y141" s="422" t="str">
        <f aca="false">IF(AND(pos_z&lt;=0,K140&gt;0),"Impact balistique","") &amp; IF(AND(H142&lt;0,vit_z&gt;=0),"Apogée","") &amp; IF(AND(Poussee=0,Q140&gt;0),"Fin de propulsion","") &amp; IF(AND(L142&gt;L_rampe,pos_xz&lt;=L_rampe),"Sortie de rampe","")</f>
        <v/>
      </c>
      <c r="Z141" s="423" t="str">
        <f aca="false">IF(ABS(t-T_para)&lt;pas/2,"Para","")</f>
        <v/>
      </c>
      <c r="AA141" s="424" t="str">
        <f aca="false">IF(ABS(t-T_satellite)&lt;pas/2,"Satellite","")</f>
        <v/>
      </c>
      <c r="AB141" s="412"/>
      <c r="AC141" s="420" t="e">
        <f aca="false">IF(ABS(t-ROUND(t,0))&lt;0.001,t,NA())</f>
        <v>#N/A</v>
      </c>
      <c r="AD141" s="425" t="e">
        <f aca="false">IF(ABS(t-ROUND(t,0))&lt;0.001,pos_x,NA())</f>
        <v>#N/A</v>
      </c>
      <c r="AE141" s="426" t="n">
        <f aca="false">IF(t&lt;T_para, pos_z, NA())</f>
        <v>78.0016845300758</v>
      </c>
      <c r="AF141" s="412"/>
      <c r="AG141" s="418" t="n">
        <f aca="false">IF(AND(L140&lt;L_rampe,Poussee&lt;Poids*SIN(M140)),0,(-W140+Poussee)/m-Poids*SIN(M140)/m)</f>
        <v>70.7577964433388</v>
      </c>
      <c r="AH141" s="417" t="n">
        <f aca="false">IF(AND(L140&lt;L_rampe,Poussee&lt;Poids*SIN(M140)), g*SIN(M140), (-W140+Poussee)/m)</f>
        <v>80.3616732623981</v>
      </c>
    </row>
    <row r="142" customFormat="false" ht="12" hidden="false" customHeight="false" outlineLevel="0" collapsed="false">
      <c r="A142" s="416" t="n">
        <f aca="false">IF(B141+0.01&lt;=T_ini+ROUNDUP(Temps_fin_propu,0), 0.01, IF(K141&gt;0, 0.1, 0.0001))</f>
        <v>0.01</v>
      </c>
      <c r="B142" s="417" t="n">
        <f aca="false">B141+pas</f>
        <v>1.38</v>
      </c>
      <c r="C142" s="401"/>
      <c r="D142" s="418" t="n">
        <f aca="false">IF(AND(L141&lt;L_rampe,Poussee&lt;Poids*SIN(M141)),0,(-W141+Poussee)/m*COS(M141)-U141/m*SIN(M141))</f>
        <v>16.3513306911764</v>
      </c>
      <c r="E142" s="419" t="n">
        <f aca="false">IF(AND(L141&lt;L_rampe,Poussee&lt;Poids*SIN(M141)),0,(-W141+Poussee)/m*SIN(M141)+U141/m*COS(M141)-Poids/m)</f>
        <v>68.6222443385721</v>
      </c>
      <c r="F142" s="417" t="n">
        <f aca="false">SQRT(acc_x^2+acc_z^2)</f>
        <v>70.5434506771174</v>
      </c>
      <c r="G142" s="418" t="n">
        <f aca="false">G141+acc_x*pas</f>
        <v>23.194292829898</v>
      </c>
      <c r="H142" s="419" t="n">
        <f aca="false">H141+acc_z*pas</f>
        <v>111.15770399867</v>
      </c>
      <c r="I142" s="417" t="n">
        <f aca="false">SQRT(vit_x^2+vit_z^2)</f>
        <v>113.551796014572</v>
      </c>
      <c r="J142" s="418" t="n">
        <f aca="false">J141+0.5*(vit_x+G141)*pas*(K141&gt;=0)</f>
        <v>15.6307720432944</v>
      </c>
      <c r="K142" s="419" t="n">
        <f aca="false">K141+0.5*(vit_z+H141)*pas</f>
        <v>79.1098304578455</v>
      </c>
      <c r="L142" s="417" t="n">
        <f aca="false">SQRT(pos_x^2+pos_z^2)</f>
        <v>80.6392355478306</v>
      </c>
      <c r="M142" s="418" t="n">
        <f aca="false">IF(AND(L141&gt;L_rampe,G142&gt;0),ATAN2(G142,H142),$M$4)</f>
        <v>1.36508679089748</v>
      </c>
      <c r="N142" s="417" t="n">
        <f aca="false">DEGREES(Beta)</f>
        <v>78.213711787483</v>
      </c>
      <c r="O142" s="401"/>
      <c r="P142" s="420" t="n">
        <f aca="false">MATCH(t-pas/2-T_ini,CdP_t)</f>
        <v>4</v>
      </c>
      <c r="Q142" s="417" t="n">
        <f aca="false">(INDEX(CdP,2,i_P+1)-INDEX(CdP,2,i_P+0))/(INDEX(CdP,1,i_P+1)-INDEX(CdP,1,i_P+0))*(t-pas/2-T_ini-INDEX(CdP,1,i_P+0))+INDEX(CdP,2,i_P+0)</f>
        <v>679</v>
      </c>
      <c r="R142" s="418" t="n">
        <f aca="false">Poussee/(g*ISP)</f>
        <v>0.34075846422169</v>
      </c>
      <c r="S142" s="419" t="n">
        <f aca="false">S141-Débit*pas</f>
        <v>7.88088321147315</v>
      </c>
      <c r="T142" s="417" t="n">
        <f aca="false">m*g</f>
        <v>77.3114643045516</v>
      </c>
      <c r="U142" s="421" t="n">
        <f aca="false">IF(pos_xz&lt;L_rampe,Poids*COS(Beta),0)</f>
        <v>0</v>
      </c>
      <c r="V142" s="418" t="n">
        <f aca="false">Rho_moyen*(20000-Alt_rampe-pos_z)/(20000+Alt_rampe+pos_z)</f>
        <v>1.21534722722978</v>
      </c>
      <c r="W142" s="417" t="n">
        <f aca="false">1/2*Rho*Sref*Cx*vit_xz^2</f>
        <v>48.1863579118498</v>
      </c>
      <c r="X142" s="401"/>
      <c r="Y142" s="422" t="str">
        <f aca="false">IF(AND(pos_z&lt;=0,K141&gt;0),"Impact balistique","") &amp; IF(AND(H143&lt;0,vit_z&gt;=0),"Apogée","") &amp; IF(AND(Poussee=0,Q141&gt;0),"Fin de propulsion","") &amp; IF(AND(L143&gt;L_rampe,pos_xz&lt;=L_rampe),"Sortie de rampe","")</f>
        <v/>
      </c>
      <c r="Z142" s="423" t="str">
        <f aca="false">IF(ABS(t-T_para)&lt;pas/2,"Para","")</f>
        <v/>
      </c>
      <c r="AA142" s="424" t="str">
        <f aca="false">IF(ABS(t-T_satellite)&lt;pas/2,"Satellite","")</f>
        <v/>
      </c>
      <c r="AB142" s="412"/>
      <c r="AC142" s="420" t="e">
        <f aca="false">IF(ABS(t-ROUND(t,0))&lt;0.001,t,NA())</f>
        <v>#N/A</v>
      </c>
      <c r="AD142" s="425" t="e">
        <f aca="false">IF(ABS(t-ROUND(t,0))&lt;0.001,pos_x,NA())</f>
        <v>#N/A</v>
      </c>
      <c r="AE142" s="426" t="n">
        <f aca="false">IF(t&lt;T_para, pos_z, NA())</f>
        <v>79.1098304578455</v>
      </c>
      <c r="AF142" s="412"/>
      <c r="AG142" s="418" t="n">
        <f aca="false">IF(AND(L141&lt;L_rampe,Poussee&lt;Poids*SIN(M141)),0,(-W141+Poussee)/m-Poids*SIN(M141)/m)</f>
        <v>70.5150336408108</v>
      </c>
      <c r="AH142" s="417" t="n">
        <f aca="false">IF(AND(L141&lt;L_rampe,Poussee&lt;Poids*SIN(M141)), g*SIN(M141), (-W141+Poussee)/m)</f>
        <v>80.1185556993989</v>
      </c>
    </row>
    <row r="143" customFormat="false" ht="12" hidden="false" customHeight="false" outlineLevel="0" collapsed="false">
      <c r="A143" s="416" t="n">
        <f aca="false">IF(B142+0.01&lt;=T_ini+ROUNDUP(Temps_fin_propu,0), 0.01, IF(K142&gt;0, 0.1, 0.0001))</f>
        <v>0.01</v>
      </c>
      <c r="B143" s="417" t="n">
        <f aca="false">B142+pas</f>
        <v>1.39</v>
      </c>
      <c r="C143" s="401"/>
      <c r="D143" s="418" t="n">
        <f aca="false">IF(AND(L142&lt;L_rampe,Poussee&lt;Poids*SIN(M142)),0,(-W142+Poussee)/m*COS(M142)-U142/m*SIN(M142))</f>
        <v>16.3154008143552</v>
      </c>
      <c r="E143" s="419" t="n">
        <f aca="false">IF(AND(L142&lt;L_rampe,Poussee&lt;Poids*SIN(M142)),0,(-W142+Poussee)/m*SIN(M142)+U142/m*COS(M142)-Poids/m)</f>
        <v>68.3808940980513</v>
      </c>
      <c r="F143" s="417" t="n">
        <f aca="false">SQRT(acc_x^2+acc_z^2)</f>
        <v>70.3003483731195</v>
      </c>
      <c r="G143" s="418" t="n">
        <f aca="false">G142+acc_x*pas</f>
        <v>23.3574468380416</v>
      </c>
      <c r="H143" s="419" t="n">
        <f aca="false">H142+acc_z*pas</f>
        <v>111.84151293965</v>
      </c>
      <c r="I143" s="417" t="n">
        <f aca="false">SQRT(vit_x^2+vit_z^2)</f>
        <v>114.254515619392</v>
      </c>
      <c r="J143" s="418" t="n">
        <f aca="false">J142+0.5*(vit_x+G142)*pas*(K142&gt;=0)</f>
        <v>15.8635307416341</v>
      </c>
      <c r="K143" s="419" t="n">
        <f aca="false">K142+0.5*(vit_z+H142)*pas</f>
        <v>80.2248265425371</v>
      </c>
      <c r="L143" s="417" t="n">
        <f aca="false">SQRT(pos_x^2+pos_z^2)</f>
        <v>81.7782024831247</v>
      </c>
      <c r="M143" s="418" t="n">
        <f aca="false">IF(AND(L142&gt;L_rampe,G143&gt;0),ATAN2(G143,H143),$M$4)</f>
        <v>1.36491140980773</v>
      </c>
      <c r="N143" s="417" t="n">
        <f aca="false">DEGREES(Beta)</f>
        <v>78.2036631912338</v>
      </c>
      <c r="O143" s="401"/>
      <c r="P143" s="420" t="n">
        <f aca="false">MATCH(t-pas/2-T_ini,CdP_t)</f>
        <v>4</v>
      </c>
      <c r="Q143" s="417" t="n">
        <f aca="false">(INDEX(CdP,2,i_P+1)-INDEX(CdP,2,i_P+0))/(INDEX(CdP,1,i_P+1)-INDEX(CdP,1,i_P+0))*(t-pas/2-T_ini-INDEX(CdP,1,i_P+0))+INDEX(CdP,2,i_P+0)</f>
        <v>677.4</v>
      </c>
      <c r="R143" s="418" t="n">
        <f aca="false">Poussee/(g*ISP)</f>
        <v>0.339955498768444</v>
      </c>
      <c r="S143" s="419" t="n">
        <f aca="false">S142-Débit*pas</f>
        <v>7.87748365648547</v>
      </c>
      <c r="T143" s="417" t="n">
        <f aca="false">m*g</f>
        <v>77.2781146701224</v>
      </c>
      <c r="U143" s="421" t="n">
        <f aca="false">IF(pos_xz&lt;L_rampe,Poids*COS(Beta),0)</f>
        <v>0</v>
      </c>
      <c r="V143" s="418" t="n">
        <f aca="false">Rho_moyen*(20000-Alt_rampe-pos_z)/(20000+Alt_rampe+pos_z)</f>
        <v>1.2152117218942</v>
      </c>
      <c r="W143" s="417" t="n">
        <f aca="false">1/2*Rho*Sref*Cx*vit_xz^2</f>
        <v>48.7791703194012</v>
      </c>
      <c r="X143" s="401"/>
      <c r="Y143" s="422" t="str">
        <f aca="false">IF(AND(pos_z&lt;=0,K142&gt;0),"Impact balistique","") &amp; IF(AND(H144&lt;0,vit_z&gt;=0),"Apogée","") &amp; IF(AND(Poussee=0,Q142&gt;0),"Fin de propulsion","") &amp; IF(AND(L144&gt;L_rampe,pos_xz&lt;=L_rampe),"Sortie de rampe","")</f>
        <v/>
      </c>
      <c r="Z143" s="423" t="str">
        <f aca="false">IF(ABS(t-T_para)&lt;pas/2,"Para","")</f>
        <v/>
      </c>
      <c r="AA143" s="424" t="str">
        <f aca="false">IF(ABS(t-T_satellite)&lt;pas/2,"Satellite","")</f>
        <v/>
      </c>
      <c r="AB143" s="412"/>
      <c r="AC143" s="420" t="e">
        <f aca="false">IF(ABS(t-ROUND(t,0))&lt;0.001,t,NA())</f>
        <v>#N/A</v>
      </c>
      <c r="AD143" s="425" t="e">
        <f aca="false">IF(ABS(t-ROUND(t,0))&lt;0.001,pos_x,NA())</f>
        <v>#N/A</v>
      </c>
      <c r="AE143" s="426" t="n">
        <f aca="false">IF(t&lt;T_para, pos_z, NA())</f>
        <v>80.2248265425371</v>
      </c>
      <c r="AF143" s="412"/>
      <c r="AG143" s="418" t="n">
        <f aca="false">IF(AND(L142&lt;L_rampe,Poussee&lt;Poids*SIN(M142)),0,(-W142+Poussee)/m-Poids*SIN(M142)/m)</f>
        <v>70.2717847669876</v>
      </c>
      <c r="AH143" s="417" t="n">
        <f aca="false">IF(AND(L142&lt;L_rampe,Poussee&lt;Poids*SIN(M142)), g*SIN(M142), (-W142+Poussee)/m)</f>
        <v>79.8749536687548</v>
      </c>
    </row>
    <row r="144" customFormat="false" ht="12" hidden="false" customHeight="false" outlineLevel="0" collapsed="false">
      <c r="A144" s="416" t="n">
        <f aca="false">IF(B143+0.01&lt;=T_ini+ROUNDUP(Temps_fin_propu,0), 0.01, IF(K143&gt;0, 0.1, 0.0001))</f>
        <v>0.01</v>
      </c>
      <c r="B144" s="417" t="n">
        <f aca="false">B143+pas</f>
        <v>1.4</v>
      </c>
      <c r="C144" s="401"/>
      <c r="D144" s="418" t="n">
        <f aca="false">IF(AND(L143&lt;L_rampe,Poussee&lt;Poids*SIN(M143)),0,(-W143+Poussee)/m*COS(M143)-U143/m*SIN(M143))</f>
        <v>16.2792154891362</v>
      </c>
      <c r="E144" s="419" t="n">
        <f aca="false">IF(AND(L143&lt;L_rampe,Poussee&lt;Poids*SIN(M143)),0,(-W143+Poussee)/m*SIN(M143)+U143/m*COS(M143)-Poids/m)</f>
        <v>68.1391055850451</v>
      </c>
      <c r="F144" s="417" t="n">
        <f aca="false">SQRT(acc_x^2+acc_z^2)</f>
        <v>70.0567667457731</v>
      </c>
      <c r="G144" s="418" t="n">
        <f aca="false">G143+acc_x*pas</f>
        <v>23.520238992933</v>
      </c>
      <c r="H144" s="419" t="n">
        <f aca="false">H143+acc_z*pas</f>
        <v>112.522903995501</v>
      </c>
      <c r="I144" s="417" t="n">
        <f aca="false">SQRT(vit_x^2+vit_z^2)</f>
        <v>114.954797924512</v>
      </c>
      <c r="J144" s="418" t="n">
        <f aca="false">J143+0.5*(vit_x+G143)*pas*(K143&gt;=0)</f>
        <v>16.097919170789</v>
      </c>
      <c r="K144" s="419" t="n">
        <f aca="false">K143+0.5*(vit_z+H143)*pas</f>
        <v>81.3466486272129</v>
      </c>
      <c r="L144" s="417" t="n">
        <f aca="false">SQRT(pos_x^2+pos_z^2)</f>
        <v>82.9241837132479</v>
      </c>
      <c r="M144" s="418" t="n">
        <f aca="false">IF(AND(L143&gt;L_rampe,G144&gt;0),ATAN2(G144,H144),$M$4)</f>
        <v>1.36473695059721</v>
      </c>
      <c r="N144" s="417" t="n">
        <f aca="false">DEGREES(Beta)</f>
        <v>78.1936674147739</v>
      </c>
      <c r="O144" s="401"/>
      <c r="P144" s="420" t="n">
        <f aca="false">MATCH(t-pas/2-T_ini,CdP_t)</f>
        <v>4</v>
      </c>
      <c r="Q144" s="417" t="n">
        <f aca="false">(INDEX(CdP,2,i_P+1)-INDEX(CdP,2,i_P+0))/(INDEX(CdP,1,i_P+1)-INDEX(CdP,1,i_P+0))*(t-pas/2-T_ini-INDEX(CdP,1,i_P+0))+INDEX(CdP,2,i_P+0)</f>
        <v>675.8</v>
      </c>
      <c r="R144" s="418" t="n">
        <f aca="false">Poussee/(g*ISP)</f>
        <v>0.339152533315196</v>
      </c>
      <c r="S144" s="419" t="n">
        <f aca="false">S143-Débit*pas</f>
        <v>7.87409213115232</v>
      </c>
      <c r="T144" s="417" t="n">
        <f aca="false">m*g</f>
        <v>77.2448438066042</v>
      </c>
      <c r="U144" s="421" t="n">
        <f aca="false">IF(pos_xz&lt;L_rampe,Poids*COS(Beta),0)</f>
        <v>0</v>
      </c>
      <c r="V144" s="418" t="n">
        <f aca="false">Rho_moyen*(20000-Alt_rampe-pos_z)/(20000+Alt_rampe+pos_z)</f>
        <v>1.21507540218174</v>
      </c>
      <c r="W144" s="417" t="n">
        <f aca="false">1/2*Rho*Sref*Cx*vit_xz^2</f>
        <v>49.3734126127936</v>
      </c>
      <c r="X144" s="401"/>
      <c r="Y144" s="422" t="str">
        <f aca="false">IF(AND(pos_z&lt;=0,K143&gt;0),"Impact balistique","") &amp; IF(AND(H145&lt;0,vit_z&gt;=0),"Apogée","") &amp; IF(AND(Poussee=0,Q143&gt;0),"Fin de propulsion","") &amp; IF(AND(L145&gt;L_rampe,pos_xz&lt;=L_rampe),"Sortie de rampe","")</f>
        <v/>
      </c>
      <c r="Z144" s="423" t="str">
        <f aca="false">IF(ABS(t-T_para)&lt;pas/2,"Para","")</f>
        <v/>
      </c>
      <c r="AA144" s="424" t="str">
        <f aca="false">IF(ABS(t-T_satellite)&lt;pas/2,"Satellite","")</f>
        <v/>
      </c>
      <c r="AB144" s="412"/>
      <c r="AC144" s="420" t="e">
        <f aca="false">IF(ABS(t-ROUND(t,0))&lt;0.001,t,NA())</f>
        <v>#N/A</v>
      </c>
      <c r="AD144" s="425" t="e">
        <f aca="false">IF(ABS(t-ROUND(t,0))&lt;0.001,pos_x,NA())</f>
        <v>#N/A</v>
      </c>
      <c r="AE144" s="426" t="n">
        <f aca="false">IF(t&lt;T_para, pos_z, NA())</f>
        <v>81.3466486272129</v>
      </c>
      <c r="AF144" s="412"/>
      <c r="AG144" s="418" t="n">
        <f aca="false">IF(AND(L143&lt;L_rampe,Poussee&lt;Poids*SIN(M143)),0,(-W143+Poussee)/m-Poids*SIN(M143)/m)</f>
        <v>70.0280555736788</v>
      </c>
      <c r="AH144" s="417" t="n">
        <f aca="false">IF(AND(L143&lt;L_rampe,Poussee&lt;Poids*SIN(M143)), g*SIN(M143), (-W143+Poussee)/m)</f>
        <v>79.6308728977037</v>
      </c>
    </row>
    <row r="145" customFormat="false" ht="12" hidden="false" customHeight="false" outlineLevel="0" collapsed="false">
      <c r="A145" s="416" t="n">
        <f aca="false">IF(B144+0.01&lt;=T_ini+ROUNDUP(Temps_fin_propu,0), 0.01, IF(K144&gt;0, 0.1, 0.0001))</f>
        <v>0.01</v>
      </c>
      <c r="B145" s="417" t="n">
        <f aca="false">B144+pas</f>
        <v>1.41</v>
      </c>
      <c r="C145" s="401"/>
      <c r="D145" s="418" t="n">
        <f aca="false">IF(AND(L144&lt;L_rampe,Poussee&lt;Poids*SIN(M144)),0,(-W144+Poussee)/m*COS(M144)-U144/m*SIN(M144))</f>
        <v>16.2427774398004</v>
      </c>
      <c r="E145" s="419" t="n">
        <f aca="false">IF(AND(L144&lt;L_rampe,Poussee&lt;Poids*SIN(M144)),0,(-W144+Poussee)/m*SIN(M144)+U144/m*COS(M144)-Poids/m)</f>
        <v>67.8968841446764</v>
      </c>
      <c r="F145" s="417" t="n">
        <f aca="false">SQRT(acc_x^2+acc_z^2)</f>
        <v>69.8127115611082</v>
      </c>
      <c r="G145" s="418" t="n">
        <f aca="false">G144+acc_x*pas</f>
        <v>23.682666767331</v>
      </c>
      <c r="H145" s="419" t="n">
        <f aca="false">H144+acc_z*pas</f>
        <v>113.201872836948</v>
      </c>
      <c r="I145" s="417" t="n">
        <f aca="false">SQRT(vit_x^2+vit_z^2)</f>
        <v>115.65263818437</v>
      </c>
      <c r="J145" s="418" t="n">
        <f aca="false">J144+0.5*(vit_x+G144)*pas*(K144&gt;=0)</f>
        <v>16.3339336995903</v>
      </c>
      <c r="K145" s="419" t="n">
        <f aca="false">K144+0.5*(vit_z+H144)*pas</f>
        <v>82.4752725113751</v>
      </c>
      <c r="L145" s="417" t="n">
        <f aca="false">SQRT(pos_x^2+pos_z^2)</f>
        <v>84.0771548396365</v>
      </c>
      <c r="M145" s="418" t="n">
        <f aca="false">IF(AND(L144&gt;L_rampe,G145&gt;0),ATAN2(G145,H145),$M$4)</f>
        <v>1.36456339920833</v>
      </c>
      <c r="N145" s="417" t="n">
        <f aca="false">DEGREES(Beta)</f>
        <v>78.1837236526625</v>
      </c>
      <c r="O145" s="401"/>
      <c r="P145" s="420" t="n">
        <f aca="false">MATCH(t-pas/2-T_ini,CdP_t)</f>
        <v>4</v>
      </c>
      <c r="Q145" s="417" t="n">
        <f aca="false">(INDEX(CdP,2,i_P+1)-INDEX(CdP,2,i_P+0))/(INDEX(CdP,1,i_P+1)-INDEX(CdP,1,i_P+0))*(t-pas/2-T_ini-INDEX(CdP,1,i_P+0))+INDEX(CdP,2,i_P+0)</f>
        <v>674.2</v>
      </c>
      <c r="R145" s="418" t="n">
        <f aca="false">Poussee/(g*ISP)</f>
        <v>0.33834956786195</v>
      </c>
      <c r="S145" s="419" t="n">
        <f aca="false">S144-Débit*pas</f>
        <v>7.8707086354737</v>
      </c>
      <c r="T145" s="417" t="n">
        <f aca="false">m*g</f>
        <v>77.211651713997</v>
      </c>
      <c r="U145" s="421" t="n">
        <f aca="false">IF(pos_xz&lt;L_rampe,Poids*COS(Beta),0)</f>
        <v>0</v>
      </c>
      <c r="V145" s="418" t="n">
        <f aca="false">Rho_moyen*(20000-Alt_rampe-pos_z)/(20000+Alt_rampe+pos_z)</f>
        <v>1.21493827130815</v>
      </c>
      <c r="W145" s="417" t="n">
        <f aca="false">1/2*Rho*Sref*Cx*vit_xz^2</f>
        <v>49.9690408223209</v>
      </c>
      <c r="X145" s="401"/>
      <c r="Y145" s="422" t="str">
        <f aca="false">IF(AND(pos_z&lt;=0,K144&gt;0),"Impact balistique","") &amp; IF(AND(H146&lt;0,vit_z&gt;=0),"Apogée","") &amp; IF(AND(Poussee=0,Q144&gt;0),"Fin de propulsion","") &amp; IF(AND(L146&gt;L_rampe,pos_xz&lt;=L_rampe),"Sortie de rampe","")</f>
        <v/>
      </c>
      <c r="Z145" s="423" t="str">
        <f aca="false">IF(ABS(t-T_para)&lt;pas/2,"Para","")</f>
        <v/>
      </c>
      <c r="AA145" s="424" t="str">
        <f aca="false">IF(ABS(t-T_satellite)&lt;pas/2,"Satellite","")</f>
        <v/>
      </c>
      <c r="AB145" s="412"/>
      <c r="AC145" s="420" t="e">
        <f aca="false">IF(ABS(t-ROUND(t,0))&lt;0.001,t,NA())</f>
        <v>#N/A</v>
      </c>
      <c r="AD145" s="425" t="e">
        <f aca="false">IF(ABS(t-ROUND(t,0))&lt;0.001,pos_x,NA())</f>
        <v>#N/A</v>
      </c>
      <c r="AE145" s="426" t="n">
        <f aca="false">IF(t&lt;T_para, pos_z, NA())</f>
        <v>82.4752725113751</v>
      </c>
      <c r="AF145" s="412"/>
      <c r="AG145" s="418" t="n">
        <f aca="false">IF(AND(L144&lt;L_rampe,Poussee&lt;Poids*SIN(M144)),0,(-W144+Poussee)/m-Poids*SIN(M144)/m)</f>
        <v>69.783851812484</v>
      </c>
      <c r="AH145" s="417" t="n">
        <f aca="false">IF(AND(L144&lt;L_rampe,Poussee&lt;Poids*SIN(M144)), g*SIN(M144), (-W144+Poussee)/m)</f>
        <v>79.3863191137682</v>
      </c>
    </row>
    <row r="146" customFormat="false" ht="12" hidden="false" customHeight="false" outlineLevel="0" collapsed="false">
      <c r="A146" s="416" t="n">
        <f aca="false">IF(B145+0.01&lt;=T_ini+ROUNDUP(Temps_fin_propu,0), 0.01, IF(K145&gt;0, 0.1, 0.0001))</f>
        <v>0.01</v>
      </c>
      <c r="B146" s="417" t="n">
        <f aca="false">B145+pas</f>
        <v>1.42</v>
      </c>
      <c r="C146" s="401"/>
      <c r="D146" s="418" t="n">
        <f aca="false">IF(AND(L145&lt;L_rampe,Poussee&lt;Poids*SIN(M145)),0,(-W145+Poussee)/m*COS(M145)-U145/m*SIN(M145))</f>
        <v>16.2060893598522</v>
      </c>
      <c r="E146" s="419" t="n">
        <f aca="false">IF(AND(L145&lt;L_rampe,Poussee&lt;Poids*SIN(M145)),0,(-W145+Poussee)/m*SIN(M145)+U145/m*COS(M145)-Poids/m)</f>
        <v>67.6542351269698</v>
      </c>
      <c r="F146" s="417" t="n">
        <f aca="false">SQRT(acc_x^2+acc_z^2)</f>
        <v>69.5681885846888</v>
      </c>
      <c r="G146" s="418" t="n">
        <f aca="false">G145+acc_x*pas</f>
        <v>23.8447276609295</v>
      </c>
      <c r="H146" s="419" t="n">
        <f aca="false">H145+acc_z*pas</f>
        <v>113.878415188217</v>
      </c>
      <c r="I146" s="417" t="n">
        <f aca="false">SQRT(vit_x^2+vit_z^2)</f>
        <v>116.348031710914</v>
      </c>
      <c r="J146" s="418" t="n">
        <f aca="false">J145+0.5*(vit_x+G145)*pas*(K145&gt;=0)</f>
        <v>16.5715706717316</v>
      </c>
      <c r="K146" s="419" t="n">
        <f aca="false">K145+0.5*(vit_z+H145)*pas</f>
        <v>83.6106739515009</v>
      </c>
      <c r="L146" s="417" t="n">
        <f aca="false">SQRT(pos_x^2+pos_z^2)</f>
        <v>85.2370914165447</v>
      </c>
      <c r="M146" s="418" t="n">
        <f aca="false">IF(AND(L145&gt;L_rampe,G146&gt;0),ATAN2(G146,H146),$M$4)</f>
        <v>1.36439074187497</v>
      </c>
      <c r="N146" s="417" t="n">
        <f aca="false">DEGREES(Beta)</f>
        <v>78.1738311161592</v>
      </c>
      <c r="O146" s="401"/>
      <c r="P146" s="420" t="n">
        <f aca="false">MATCH(t-pas/2-T_ini,CdP_t)</f>
        <v>4</v>
      </c>
      <c r="Q146" s="417" t="n">
        <f aca="false">(INDEX(CdP,2,i_P+1)-INDEX(CdP,2,i_P+0))/(INDEX(CdP,1,i_P+1)-INDEX(CdP,1,i_P+0))*(t-pas/2-T_ini-INDEX(CdP,1,i_P+0))+INDEX(CdP,2,i_P+0)</f>
        <v>672.6</v>
      </c>
      <c r="R146" s="418" t="n">
        <f aca="false">Poussee/(g*ISP)</f>
        <v>0.337546602408703</v>
      </c>
      <c r="S146" s="419" t="n">
        <f aca="false">S145-Débit*pas</f>
        <v>7.86733316944961</v>
      </c>
      <c r="T146" s="417" t="n">
        <f aca="false">m*g</f>
        <v>77.1785383923007</v>
      </c>
      <c r="U146" s="421" t="n">
        <f aca="false">IF(pos_xz&lt;L_rampe,Poids*COS(Beta),0)</f>
        <v>0</v>
      </c>
      <c r="V146" s="418" t="n">
        <f aca="false">Rho_moyen*(20000-Alt_rampe-pos_z)/(20000+Alt_rampe+pos_z)</f>
        <v>1.21480033249465</v>
      </c>
      <c r="W146" s="417" t="n">
        <f aca="false">1/2*Rho*Sref*Cx*vit_xz^2</f>
        <v>50.5660110822158</v>
      </c>
      <c r="X146" s="401"/>
      <c r="Y146" s="422" t="str">
        <f aca="false">IF(AND(pos_z&lt;=0,K145&gt;0),"Impact balistique","") &amp; IF(AND(H147&lt;0,vit_z&gt;=0),"Apogée","") &amp; IF(AND(Poussee=0,Q145&gt;0),"Fin de propulsion","") &amp; IF(AND(L147&gt;L_rampe,pos_xz&lt;=L_rampe),"Sortie de rampe","")</f>
        <v/>
      </c>
      <c r="Z146" s="423" t="str">
        <f aca="false">IF(ABS(t-T_para)&lt;pas/2,"Para","")</f>
        <v/>
      </c>
      <c r="AA146" s="424" t="str">
        <f aca="false">IF(ABS(t-T_satellite)&lt;pas/2,"Satellite","")</f>
        <v/>
      </c>
      <c r="AB146" s="412"/>
      <c r="AC146" s="420" t="e">
        <f aca="false">IF(ABS(t-ROUND(t,0))&lt;0.001,t,NA())</f>
        <v>#N/A</v>
      </c>
      <c r="AD146" s="425" t="e">
        <f aca="false">IF(ABS(t-ROUND(t,0))&lt;0.001,pos_x,NA())</f>
        <v>#N/A</v>
      </c>
      <c r="AE146" s="426" t="n">
        <f aca="false">IF(t&lt;T_para, pos_z, NA())</f>
        <v>83.6106739515009</v>
      </c>
      <c r="AF146" s="412"/>
      <c r="AG146" s="418" t="n">
        <f aca="false">IF(AND(L145&lt;L_rampe,Poussee&lt;Poids*SIN(M145)),0,(-W145+Poussee)/m-Poids*SIN(M145)/m)</f>
        <v>69.5391792344087</v>
      </c>
      <c r="AH146" s="417" t="n">
        <f aca="false">IF(AND(L145&lt;L_rampe,Poussee&lt;Poids*SIN(M145)), g*SIN(M145), (-W145+Poussee)/m)</f>
        <v>79.1412980443585</v>
      </c>
    </row>
    <row r="147" customFormat="false" ht="12" hidden="false" customHeight="false" outlineLevel="0" collapsed="false">
      <c r="A147" s="416" t="n">
        <f aca="false">IF(B146+0.01&lt;=T_ini+ROUNDUP(Temps_fin_propu,0), 0.01, IF(K146&gt;0, 0.1, 0.0001))</f>
        <v>0.01</v>
      </c>
      <c r="B147" s="417" t="n">
        <f aca="false">B146+pas</f>
        <v>1.43</v>
      </c>
      <c r="C147" s="401"/>
      <c r="D147" s="418" t="n">
        <f aca="false">IF(AND(L146&lt;L_rampe,Poussee&lt;Poids*SIN(M146)),0,(-W146+Poussee)/m*COS(M146)-U146/m*SIN(M146))</f>
        <v>16.1691539128458</v>
      </c>
      <c r="E147" s="419" t="n">
        <f aca="false">IF(AND(L146&lt;L_rampe,Poussee&lt;Poids*SIN(M146)),0,(-W146+Poussee)/m*SIN(M146)+U146/m*COS(M146)-Poids/m)</f>
        <v>67.4111638863172</v>
      </c>
      <c r="F147" s="417" t="n">
        <f aca="false">SQRT(acc_x^2+acc_z^2)</f>
        <v>69.323203581234</v>
      </c>
      <c r="G147" s="418" t="n">
        <f aca="false">G146+acc_x*pas</f>
        <v>24.0064192000579</v>
      </c>
      <c r="H147" s="419" t="n">
        <f aca="false">H146+acc_z*pas</f>
        <v>114.55252682708</v>
      </c>
      <c r="I147" s="417" t="n">
        <f aca="false">SQRT(vit_x^2+vit_z^2)</f>
        <v>117.040973873588</v>
      </c>
      <c r="J147" s="418" t="n">
        <f aca="false">J146+0.5*(vit_x+G146)*pas*(K146&gt;=0)</f>
        <v>16.8108264060366</v>
      </c>
      <c r="K147" s="419" t="n">
        <f aca="false">K146+0.5*(vit_z+H146)*pas</f>
        <v>84.7528286615774</v>
      </c>
      <c r="L147" s="417" t="n">
        <f aca="false">SQRT(pos_x^2+pos_z^2)</f>
        <v>86.4039689516205</v>
      </c>
      <c r="M147" s="418" t="n">
        <f aca="false">IF(AND(L146&gt;L_rampe,G147&gt;0),ATAN2(G147,H147),$M$4)</f>
        <v>1.3642189651143</v>
      </c>
      <c r="N147" s="417" t="n">
        <f aca="false">DEGREES(Beta)</f>
        <v>78.1639890327541</v>
      </c>
      <c r="O147" s="401"/>
      <c r="P147" s="420" t="n">
        <f aca="false">MATCH(t-pas/2-T_ini,CdP_t)</f>
        <v>4</v>
      </c>
      <c r="Q147" s="417" t="n">
        <f aca="false">(INDEX(CdP,2,i_P+1)-INDEX(CdP,2,i_P+0))/(INDEX(CdP,1,i_P+1)-INDEX(CdP,1,i_P+0))*(t-pas/2-T_ini-INDEX(CdP,1,i_P+0))+INDEX(CdP,2,i_P+0)</f>
        <v>671</v>
      </c>
      <c r="R147" s="418" t="n">
        <f aca="false">Poussee/(g*ISP)</f>
        <v>0.336743636955455</v>
      </c>
      <c r="S147" s="419" t="n">
        <f aca="false">S146-Débit*pas</f>
        <v>7.86396573308006</v>
      </c>
      <c r="T147" s="417" t="n">
        <f aca="false">m*g</f>
        <v>77.1455038415153</v>
      </c>
      <c r="U147" s="421" t="n">
        <f aca="false">IF(pos_xz&lt;L_rampe,Poids*COS(Beta),0)</f>
        <v>0</v>
      </c>
      <c r="V147" s="418" t="n">
        <f aca="false">Rho_moyen*(20000-Alt_rampe-pos_z)/(20000+Alt_rampe+pos_z)</f>
        <v>1.2146615889679</v>
      </c>
      <c r="W147" s="417" t="n">
        <f aca="false">1/2*Rho*Sref*Cx*vit_xz^2</f>
        <v>51.1642796332799</v>
      </c>
      <c r="X147" s="401"/>
      <c r="Y147" s="422" t="str">
        <f aca="false">IF(AND(pos_z&lt;=0,K146&gt;0),"Impact balistique","") &amp; IF(AND(H148&lt;0,vit_z&gt;=0),"Apogée","") &amp; IF(AND(Poussee=0,Q146&gt;0),"Fin de propulsion","") &amp; IF(AND(L148&gt;L_rampe,pos_xz&lt;=L_rampe),"Sortie de rampe","")</f>
        <v/>
      </c>
      <c r="Z147" s="423" t="str">
        <f aca="false">IF(ABS(t-T_para)&lt;pas/2,"Para","")</f>
        <v/>
      </c>
      <c r="AA147" s="424" t="str">
        <f aca="false">IF(ABS(t-T_satellite)&lt;pas/2,"Satellite","")</f>
        <v/>
      </c>
      <c r="AB147" s="412"/>
      <c r="AC147" s="420" t="e">
        <f aca="false">IF(ABS(t-ROUND(t,0))&lt;0.001,t,NA())</f>
        <v>#N/A</v>
      </c>
      <c r="AD147" s="425" t="e">
        <f aca="false">IF(ABS(t-ROUND(t,0))&lt;0.001,pos_x,NA())</f>
        <v>#N/A</v>
      </c>
      <c r="AE147" s="426" t="n">
        <f aca="false">IF(t&lt;T_para, pos_z, NA())</f>
        <v>84.7528286615774</v>
      </c>
      <c r="AF147" s="412"/>
      <c r="AG147" s="418" t="n">
        <f aca="false">IF(AND(L146&lt;L_rampe,Poussee&lt;Poids*SIN(M146)),0,(-W146+Poussee)/m-Poids*SIN(M146)/m)</f>
        <v>69.2940435894814</v>
      </c>
      <c r="AH147" s="417" t="n">
        <f aca="false">IF(AND(L146&lt;L_rampe,Poussee&lt;Poids*SIN(M146)), g*SIN(M146), (-W146+Poussee)/m)</f>
        <v>78.8958154163752</v>
      </c>
    </row>
    <row r="148" customFormat="false" ht="12" hidden="false" customHeight="false" outlineLevel="0" collapsed="false">
      <c r="A148" s="416" t="n">
        <f aca="false">IF(B147+0.01&lt;=T_ini+ROUNDUP(Temps_fin_propu,0), 0.01, IF(K147&gt;0, 0.1, 0.0001))</f>
        <v>0.01</v>
      </c>
      <c r="B148" s="417" t="n">
        <f aca="false">B147+pas</f>
        <v>1.44</v>
      </c>
      <c r="C148" s="401"/>
      <c r="D148" s="418" t="n">
        <f aca="false">IF(AND(L147&lt;L_rampe,Poussee&lt;Poids*SIN(M147)),0,(-W147+Poussee)/m*COS(M147)-U147/m*SIN(M147))</f>
        <v>16.1319737331781</v>
      </c>
      <c r="E148" s="419" t="n">
        <f aca="false">IF(AND(L147&lt;L_rampe,Poussee&lt;Poids*SIN(M147)),0,(-W147+Poussee)/m*SIN(M147)+U147/m*COS(M147)-Poids/m)</f>
        <v>67.1676757809501</v>
      </c>
      <c r="F148" s="417" t="n">
        <f aca="false">SQRT(acc_x^2+acc_z^2)</f>
        <v>69.0777623142411</v>
      </c>
      <c r="G148" s="418" t="n">
        <f aca="false">G147+acc_x*pas</f>
        <v>24.1677389373897</v>
      </c>
      <c r="H148" s="419" t="n">
        <f aca="false">H147+acc_z*pas</f>
        <v>115.22420358489</v>
      </c>
      <c r="I148" s="417" t="n">
        <f aca="false">SQRT(vit_x^2+vit_z^2)</f>
        <v>117.731460099321</v>
      </c>
      <c r="J148" s="418" t="n">
        <f aca="false">J147+0.5*(vit_x+G147)*pas*(K147&gt;=0)</f>
        <v>17.0516971967238</v>
      </c>
      <c r="K148" s="419" t="n">
        <f aca="false">K147+0.5*(vit_z+H147)*pas</f>
        <v>85.9017123136373</v>
      </c>
      <c r="L148" s="417" t="n">
        <f aca="false">SQRT(pos_x^2+pos_z^2)</f>
        <v>87.5777629064802</v>
      </c>
      <c r="M148" s="418" t="n">
        <f aca="false">IF(AND(L147&gt;L_rampe,G148&gt;0),ATAN2(G148,H148),$M$4)</f>
        <v>1.36404805571883</v>
      </c>
      <c r="N148" s="417" t="n">
        <f aca="false">DEGREES(Beta)</f>
        <v>78.1541966457146</v>
      </c>
      <c r="O148" s="401"/>
      <c r="P148" s="420" t="n">
        <f aca="false">MATCH(t-pas/2-T_ini,CdP_t)</f>
        <v>4</v>
      </c>
      <c r="Q148" s="417" t="n">
        <f aca="false">(INDEX(CdP,2,i_P+1)-INDEX(CdP,2,i_P+0))/(INDEX(CdP,1,i_P+1)-INDEX(CdP,1,i_P+0))*(t-pas/2-T_ini-INDEX(CdP,1,i_P+0))+INDEX(CdP,2,i_P+0)</f>
        <v>669.4</v>
      </c>
      <c r="R148" s="418" t="n">
        <f aca="false">Poussee/(g*ISP)</f>
        <v>0.335940671502209</v>
      </c>
      <c r="S148" s="419" t="n">
        <f aca="false">S147-Débit*pas</f>
        <v>7.86060632636503</v>
      </c>
      <c r="T148" s="417" t="n">
        <f aca="false">m*g</f>
        <v>77.112548061641</v>
      </c>
      <c r="U148" s="421" t="n">
        <f aca="false">IF(pos_xz&lt;L_rampe,Poids*COS(Beta),0)</f>
        <v>0</v>
      </c>
      <c r="V148" s="418" t="n">
        <f aca="false">Rho_moyen*(20000-Alt_rampe-pos_z)/(20000+Alt_rampe+pos_z)</f>
        <v>1.21452204395985</v>
      </c>
      <c r="W148" s="417" t="n">
        <f aca="false">1/2*Rho*Sref*Cx*vit_xz^2</f>
        <v>51.7638028254926</v>
      </c>
      <c r="X148" s="401"/>
      <c r="Y148" s="422" t="str">
        <f aca="false">IF(AND(pos_z&lt;=0,K147&gt;0),"Impact balistique","") &amp; IF(AND(H149&lt;0,vit_z&gt;=0),"Apogée","") &amp; IF(AND(Poussee=0,Q147&gt;0),"Fin de propulsion","") &amp; IF(AND(L149&gt;L_rampe,pos_xz&lt;=L_rampe),"Sortie de rampe","")</f>
        <v/>
      </c>
      <c r="Z148" s="423" t="str">
        <f aca="false">IF(ABS(t-T_para)&lt;pas/2,"Para","")</f>
        <v/>
      </c>
      <c r="AA148" s="424" t="str">
        <f aca="false">IF(ABS(t-T_satellite)&lt;pas/2,"Satellite","")</f>
        <v/>
      </c>
      <c r="AB148" s="412"/>
      <c r="AC148" s="420" t="e">
        <f aca="false">IF(ABS(t-ROUND(t,0))&lt;0.001,t,NA())</f>
        <v>#N/A</v>
      </c>
      <c r="AD148" s="425" t="e">
        <f aca="false">IF(ABS(t-ROUND(t,0))&lt;0.001,pos_x,NA())</f>
        <v>#N/A</v>
      </c>
      <c r="AE148" s="426" t="n">
        <f aca="false">IF(t&lt;T_para, pos_z, NA())</f>
        <v>85.9017123136373</v>
      </c>
      <c r="AF148" s="412"/>
      <c r="AG148" s="418" t="n">
        <f aca="false">IF(AND(L147&lt;L_rampe,Poussee&lt;Poids*SIN(M147)),0,(-W147+Poussee)/m-Poids*SIN(M147)/m)</f>
        <v>69.048450626372</v>
      </c>
      <c r="AH148" s="417" t="n">
        <f aca="false">IF(AND(L147&lt;L_rampe,Poussee&lt;Poids*SIN(M147)), g*SIN(M147), (-W147+Poussee)/m)</f>
        <v>78.6498769558162</v>
      </c>
    </row>
    <row r="149" customFormat="false" ht="12" hidden="false" customHeight="false" outlineLevel="0" collapsed="false">
      <c r="A149" s="416" t="n">
        <f aca="false">IF(B148+0.01&lt;=T_ini+ROUNDUP(Temps_fin_propu,0), 0.01, IF(K148&gt;0, 0.1, 0.0001))</f>
        <v>0.01</v>
      </c>
      <c r="B149" s="417" t="n">
        <f aca="false">B148+pas</f>
        <v>1.45</v>
      </c>
      <c r="C149" s="401"/>
      <c r="D149" s="418" t="n">
        <f aca="false">IF(AND(L148&lt;L_rampe,Poussee&lt;Poids*SIN(M148)),0,(-W148+Poussee)/m*COS(M148)-U148/m*SIN(M148))</f>
        <v>16.0945514268524</v>
      </c>
      <c r="E149" s="419" t="n">
        <f aca="false">IF(AND(L148&lt;L_rampe,Poussee&lt;Poids*SIN(M148)),0,(-W148+Poussee)/m*SIN(M148)+U148/m*COS(M148)-Poids/m)</f>
        <v>66.9237761724192</v>
      </c>
      <c r="F149" s="417" t="n">
        <f aca="false">SQRT(acc_x^2+acc_z^2)</f>
        <v>68.8318705456103</v>
      </c>
      <c r="G149" s="418" t="n">
        <f aca="false">G148+acc_x*pas</f>
        <v>24.3286844516582</v>
      </c>
      <c r="H149" s="419" t="n">
        <f aca="false">H148+acc_z*pas</f>
        <v>115.893441346614</v>
      </c>
      <c r="I149" s="417" t="n">
        <f aca="false">SQRT(vit_x^2+vit_z^2)</f>
        <v>118.419485872509</v>
      </c>
      <c r="J149" s="418" t="n">
        <f aca="false">J148+0.5*(vit_x+G148)*pas*(K148&gt;=0)</f>
        <v>17.294179313669</v>
      </c>
      <c r="K149" s="419" t="n">
        <f aca="false">K148+0.5*(vit_z+H148)*pas</f>
        <v>87.0573005382948</v>
      </c>
      <c r="L149" s="417" t="n">
        <f aca="false">SQRT(pos_x^2+pos_z^2)</f>
        <v>88.7584486972836</v>
      </c>
      <c r="M149" s="418" t="n">
        <f aca="false">IF(AND(L148&gt;L_rampe,G149&gt;0),ATAN2(G149,H149),$M$4)</f>
        <v>1.36387800074882</v>
      </c>
      <c r="N149" s="417" t="n">
        <f aca="false">DEGREES(Beta)</f>
        <v>78.1444532136481</v>
      </c>
      <c r="O149" s="401"/>
      <c r="P149" s="420" t="n">
        <f aca="false">MATCH(t-pas/2-T_ini,CdP_t)</f>
        <v>4</v>
      </c>
      <c r="Q149" s="417" t="n">
        <f aca="false">(INDEX(CdP,2,i_P+1)-INDEX(CdP,2,i_P+0))/(INDEX(CdP,1,i_P+1)-INDEX(CdP,1,i_P+0))*(t-pas/2-T_ini-INDEX(CdP,1,i_P+0))+INDEX(CdP,2,i_P+0)</f>
        <v>667.8</v>
      </c>
      <c r="R149" s="418" t="n">
        <f aca="false">Poussee/(g*ISP)</f>
        <v>0.335137706048962</v>
      </c>
      <c r="S149" s="419" t="n">
        <f aca="false">S148-Débit*pas</f>
        <v>7.85725494930454</v>
      </c>
      <c r="T149" s="417" t="n">
        <f aca="false">m*g</f>
        <v>77.0796710526776</v>
      </c>
      <c r="U149" s="421" t="n">
        <f aca="false">IF(pos_xz&lt;L_rampe,Poids*COS(Beta),0)</f>
        <v>0</v>
      </c>
      <c r="V149" s="418" t="n">
        <f aca="false">Rho_moyen*(20000-Alt_rampe-pos_z)/(20000+Alt_rampe+pos_z)</f>
        <v>1.21438170070769</v>
      </c>
      <c r="W149" s="417" t="n">
        <f aca="false">1/2*Rho*Sref*Cx*vit_xz^2</f>
        <v>52.3645371205962</v>
      </c>
      <c r="X149" s="401"/>
      <c r="Y149" s="422" t="str">
        <f aca="false">IF(AND(pos_z&lt;=0,K148&gt;0),"Impact balistique","") &amp; IF(AND(H150&lt;0,vit_z&gt;=0),"Apogée","") &amp; IF(AND(Poussee=0,Q148&gt;0),"Fin de propulsion","") &amp; IF(AND(L150&gt;L_rampe,pos_xz&lt;=L_rampe),"Sortie de rampe","")</f>
        <v/>
      </c>
      <c r="Z149" s="423" t="str">
        <f aca="false">IF(ABS(t-T_para)&lt;pas/2,"Para","")</f>
        <v/>
      </c>
      <c r="AA149" s="424" t="str">
        <f aca="false">IF(ABS(t-T_satellite)&lt;pas/2,"Satellite","")</f>
        <v/>
      </c>
      <c r="AB149" s="412"/>
      <c r="AC149" s="420" t="e">
        <f aca="false">IF(ABS(t-ROUND(t,0))&lt;0.001,t,NA())</f>
        <v>#N/A</v>
      </c>
      <c r="AD149" s="425" t="e">
        <f aca="false">IF(ABS(t-ROUND(t,0))&lt;0.001,pos_x,NA())</f>
        <v>#N/A</v>
      </c>
      <c r="AE149" s="426" t="n">
        <f aca="false">IF(t&lt;T_para, pos_z, NA())</f>
        <v>87.0573005382948</v>
      </c>
      <c r="AF149" s="412"/>
      <c r="AG149" s="418" t="n">
        <f aca="false">IF(AND(L148&lt;L_rampe,Poussee&lt;Poids*SIN(M148)),0,(-W148+Poussee)/m-Poids*SIN(M148)/m)</f>
        <v>68.8024060920121</v>
      </c>
      <c r="AH149" s="417" t="n">
        <f aca="false">IF(AND(L148&lt;L_rampe,Poussee&lt;Poids*SIN(M148)), g*SIN(M148), (-W148+Poussee)/m)</f>
        <v>78.4034883873831</v>
      </c>
    </row>
    <row r="150" customFormat="false" ht="12" hidden="false" customHeight="false" outlineLevel="0" collapsed="false">
      <c r="A150" s="416" t="n">
        <f aca="false">IF(B149+0.01&lt;=T_ini+ROUNDUP(Temps_fin_propu,0), 0.01, IF(K149&gt;0, 0.1, 0.0001))</f>
        <v>0.01</v>
      </c>
      <c r="B150" s="417" t="n">
        <f aca="false">B149+pas</f>
        <v>1.46</v>
      </c>
      <c r="C150" s="401"/>
      <c r="D150" s="418" t="n">
        <f aca="false">IF(AND(L149&lt;L_rampe,Poussee&lt;Poids*SIN(M149)),0,(-W149+Poussee)/m*COS(M149)-U149/m*SIN(M149))</f>
        <v>16.056889572212</v>
      </c>
      <c r="E150" s="419" t="n">
        <f aca="false">IF(AND(L149&lt;L_rampe,Poussee&lt;Poids*SIN(M149)),0,(-W149+Poussee)/m*SIN(M149)+U149/m*COS(M149)-Poids/m)</f>
        <v>66.6794704250797</v>
      </c>
      <c r="F150" s="417" t="n">
        <f aca="false">SQRT(acc_x^2+acc_z^2)</f>
        <v>68.5855340352708</v>
      </c>
      <c r="G150" s="418" t="n">
        <f aca="false">G149+acc_x*pas</f>
        <v>24.4892533473804</v>
      </c>
      <c r="H150" s="419" t="n">
        <f aca="false">H149+acc_z*pas</f>
        <v>116.560236050865</v>
      </c>
      <c r="I150" s="417" t="n">
        <f aca="false">SQRT(vit_x^2+vit_z^2)</f>
        <v>119.105046734996</v>
      </c>
      <c r="J150" s="418" t="n">
        <f aca="false">J149+0.5*(vit_x+G149)*pas*(K149&gt;=0)</f>
        <v>17.5382690026642</v>
      </c>
      <c r="K150" s="419" t="n">
        <f aca="false">K149+0.5*(vit_z+H149)*pas</f>
        <v>88.2195689252822</v>
      </c>
      <c r="L150" s="417" t="n">
        <f aca="false">SQRT(pos_x^2+pos_z^2)</f>
        <v>89.9460016953084</v>
      </c>
      <c r="M150" s="418" t="n">
        <f aca="false">IF(AND(L149&gt;L_rampe,G150&gt;0),ATAN2(G150,H150),$M$4)</f>
        <v>1.3637087875249</v>
      </c>
      <c r="N150" s="417" t="n">
        <f aca="false">DEGREES(Beta)</f>
        <v>78.1347580100795</v>
      </c>
      <c r="O150" s="401"/>
      <c r="P150" s="420" t="n">
        <f aca="false">MATCH(t-pas/2-T_ini,CdP_t)</f>
        <v>4</v>
      </c>
      <c r="Q150" s="417" t="n">
        <f aca="false">(INDEX(CdP,2,i_P+1)-INDEX(CdP,2,i_P+0))/(INDEX(CdP,1,i_P+1)-INDEX(CdP,1,i_P+0))*(t-pas/2-T_ini-INDEX(CdP,1,i_P+0))+INDEX(CdP,2,i_P+0)</f>
        <v>666.2</v>
      </c>
      <c r="R150" s="418" t="n">
        <f aca="false">Poussee/(g*ISP)</f>
        <v>0.334334740595715</v>
      </c>
      <c r="S150" s="419" t="n">
        <f aca="false">S149-Débit*pas</f>
        <v>7.85391160189859</v>
      </c>
      <c r="T150" s="417" t="n">
        <f aca="false">m*g</f>
        <v>77.0468728146251</v>
      </c>
      <c r="U150" s="421" t="n">
        <f aca="false">IF(pos_xz&lt;L_rampe,Poids*COS(Beta),0)</f>
        <v>0</v>
      </c>
      <c r="V150" s="418" t="n">
        <f aca="false">Rho_moyen*(20000-Alt_rampe-pos_z)/(20000+Alt_rampe+pos_z)</f>
        <v>1.21424056245376</v>
      </c>
      <c r="W150" s="417" t="n">
        <f aca="false">1/2*Rho*Sref*Cx*vit_xz^2</f>
        <v>52.9664390946583</v>
      </c>
      <c r="X150" s="401"/>
      <c r="Y150" s="422" t="str">
        <f aca="false">IF(AND(pos_z&lt;=0,K149&gt;0),"Impact balistique","") &amp; IF(AND(H151&lt;0,vit_z&gt;=0),"Apogée","") &amp; IF(AND(Poussee=0,Q149&gt;0),"Fin de propulsion","") &amp; IF(AND(L151&gt;L_rampe,pos_xz&lt;=L_rampe),"Sortie de rampe","")</f>
        <v/>
      </c>
      <c r="Z150" s="423" t="str">
        <f aca="false">IF(ABS(t-T_para)&lt;pas/2,"Para","")</f>
        <v/>
      </c>
      <c r="AA150" s="424" t="str">
        <f aca="false">IF(ABS(t-T_satellite)&lt;pas/2,"Satellite","")</f>
        <v/>
      </c>
      <c r="AB150" s="412"/>
      <c r="AC150" s="420" t="e">
        <f aca="false">IF(ABS(t-ROUND(t,0))&lt;0.001,t,NA())</f>
        <v>#N/A</v>
      </c>
      <c r="AD150" s="425" t="e">
        <f aca="false">IF(ABS(t-ROUND(t,0))&lt;0.001,pos_x,NA())</f>
        <v>#N/A</v>
      </c>
      <c r="AE150" s="426" t="n">
        <f aca="false">IF(t&lt;T_para, pos_z, NA())</f>
        <v>88.2195689252822</v>
      </c>
      <c r="AF150" s="412"/>
      <c r="AG150" s="418" t="n">
        <f aca="false">IF(AND(L149&lt;L_rampe,Poussee&lt;Poids*SIN(M149)),0,(-W149+Poussee)/m-Poids*SIN(M149)/m)</f>
        <v>68.5559157312165</v>
      </c>
      <c r="AH150" s="417" t="n">
        <f aca="false">IF(AND(L149&lt;L_rampe,Poussee&lt;Poids*SIN(M149)), g*SIN(M149), (-W149+Poussee)/m)</f>
        <v>78.1566554340918</v>
      </c>
    </row>
    <row r="151" customFormat="false" ht="12" hidden="false" customHeight="false" outlineLevel="0" collapsed="false">
      <c r="A151" s="416" t="n">
        <f aca="false">IF(B150+0.01&lt;=T_ini+ROUNDUP(Temps_fin_propu,0), 0.01, IF(K150&gt;0, 0.1, 0.0001))</f>
        <v>0.01</v>
      </c>
      <c r="B151" s="417" t="n">
        <f aca="false">B150+pas</f>
        <v>1.47</v>
      </c>
      <c r="C151" s="401"/>
      <c r="D151" s="418" t="n">
        <f aca="false">IF(AND(L150&lt;L_rampe,Poussee&lt;Poids*SIN(M150)),0,(-W150+Poussee)/m*COS(M150)-U150/m*SIN(M150))</f>
        <v>16.0189907206455</v>
      </c>
      <c r="E151" s="419" t="n">
        <f aca="false">IF(AND(L150&lt;L_rampe,Poussee&lt;Poids*SIN(M150)),0,(-W150+Poussee)/m*SIN(M150)+U150/m*COS(M150)-Poids/m)</f>
        <v>66.4347639055843</v>
      </c>
      <c r="F151" s="417" t="n">
        <f aca="false">SQRT(acc_x^2+acc_z^2)</f>
        <v>68.338758540808</v>
      </c>
      <c r="G151" s="418" t="n">
        <f aca="false">G150+acc_x*pas</f>
        <v>24.6494432545868</v>
      </c>
      <c r="H151" s="419" t="n">
        <f aca="false">H150+acc_z*pas</f>
        <v>117.224583689921</v>
      </c>
      <c r="I151" s="417" t="n">
        <f aca="false">SQRT(vit_x^2+vit_z^2)</f>
        <v>119.788138286044</v>
      </c>
      <c r="J151" s="418" t="n">
        <f aca="false">J150+0.5*(vit_x+G150)*pas*(K150&gt;=0)</f>
        <v>17.7839624856741</v>
      </c>
      <c r="K151" s="419" t="n">
        <f aca="false">K150+0.5*(vit_z+H150)*pas</f>
        <v>89.3884930239861</v>
      </c>
      <c r="L151" s="417" t="n">
        <f aca="false">SQRT(pos_x^2+pos_z^2)</f>
        <v>91.1403972275252</v>
      </c>
      <c r="M151" s="418" t="n">
        <f aca="false">IF(AND(L150&gt;L_rampe,G151&gt;0),ATAN2(G151,H151),$M$4)</f>
        <v>1.36354040362092</v>
      </c>
      <c r="N151" s="417" t="n">
        <f aca="false">DEGREES(Beta)</f>
        <v>78.1251103230434</v>
      </c>
      <c r="O151" s="401"/>
      <c r="P151" s="420" t="n">
        <f aca="false">MATCH(t-pas/2-T_ini,CdP_t)</f>
        <v>4</v>
      </c>
      <c r="Q151" s="417" t="n">
        <f aca="false">(INDEX(CdP,2,i_P+1)-INDEX(CdP,2,i_P+0))/(INDEX(CdP,1,i_P+1)-INDEX(CdP,1,i_P+0))*(t-pas/2-T_ini-INDEX(CdP,1,i_P+0))+INDEX(CdP,2,i_P+0)</f>
        <v>664.6</v>
      </c>
      <c r="R151" s="418" t="n">
        <f aca="false">Poussee/(g*ISP)</f>
        <v>0.333531775142468</v>
      </c>
      <c r="S151" s="419" t="n">
        <f aca="false">S150-Débit*pas</f>
        <v>7.85057628414716</v>
      </c>
      <c r="T151" s="417" t="n">
        <f aca="false">m*g</f>
        <v>77.0141533474836</v>
      </c>
      <c r="U151" s="421" t="n">
        <f aca="false">IF(pos_xz&lt;L_rampe,Poids*COS(Beta),0)</f>
        <v>0</v>
      </c>
      <c r="V151" s="418" t="n">
        <f aca="false">Rho_moyen*(20000-Alt_rampe-pos_z)/(20000+Alt_rampe+pos_z)</f>
        <v>1.21409863244544</v>
      </c>
      <c r="W151" s="417" t="n">
        <f aca="false">1/2*Rho*Sref*Cx*vit_xz^2</f>
        <v>53.5694654406109</v>
      </c>
      <c r="X151" s="401"/>
      <c r="Y151" s="422" t="str">
        <f aca="false">IF(AND(pos_z&lt;=0,K150&gt;0),"Impact balistique","") &amp; IF(AND(H152&lt;0,vit_z&gt;=0),"Apogée","") &amp; IF(AND(Poussee=0,Q150&gt;0),"Fin de propulsion","") &amp; IF(AND(L152&gt;L_rampe,pos_xz&lt;=L_rampe),"Sortie de rampe","")</f>
        <v/>
      </c>
      <c r="Z151" s="423" t="str">
        <f aca="false">IF(ABS(t-T_para)&lt;pas/2,"Para","")</f>
        <v/>
      </c>
      <c r="AA151" s="424" t="str">
        <f aca="false">IF(ABS(t-T_satellite)&lt;pas/2,"Satellite","")</f>
        <v/>
      </c>
      <c r="AB151" s="412"/>
      <c r="AC151" s="420" t="e">
        <f aca="false">IF(ABS(t-ROUND(t,0))&lt;0.001,t,NA())</f>
        <v>#N/A</v>
      </c>
      <c r="AD151" s="425" t="e">
        <f aca="false">IF(ABS(t-ROUND(t,0))&lt;0.001,pos_x,NA())</f>
        <v>#N/A</v>
      </c>
      <c r="AE151" s="426" t="n">
        <f aca="false">IF(t&lt;T_para, pos_z, NA())</f>
        <v>89.3884930239861</v>
      </c>
      <c r="AF151" s="412"/>
      <c r="AG151" s="418" t="n">
        <f aca="false">IF(AND(L150&lt;L_rampe,Poussee&lt;Poids*SIN(M150)),0,(-W150+Poussee)/m-Poids*SIN(M150)/m)</f>
        <v>68.3089852863059</v>
      </c>
      <c r="AH151" s="417" t="n">
        <f aca="false">IF(AND(L150&lt;L_rampe,Poussee&lt;Poids*SIN(M150)), g*SIN(M150), (-W150+Poussee)/m)</f>
        <v>77.9093838168832</v>
      </c>
    </row>
    <row r="152" customFormat="false" ht="12" hidden="false" customHeight="false" outlineLevel="0" collapsed="false">
      <c r="A152" s="416" t="n">
        <f aca="false">IF(B151+0.01&lt;=T_ini+ROUNDUP(Temps_fin_propu,0), 0.01, IF(K151&gt;0, 0.1, 0.0001))</f>
        <v>0.01</v>
      </c>
      <c r="B152" s="417" t="n">
        <f aca="false">B151+pas</f>
        <v>1.48</v>
      </c>
      <c r="C152" s="401"/>
      <c r="D152" s="418" t="n">
        <f aca="false">IF(AND(L151&lt;L_rampe,Poussee&lt;Poids*SIN(M151)),0,(-W151+Poussee)/m*COS(M151)-U151/m*SIN(M151))</f>
        <v>15.9808573972659</v>
      </c>
      <c r="E152" s="419" t="n">
        <f aca="false">IF(AND(L151&lt;L_rampe,Poussee&lt;Poids*SIN(M151)),0,(-W151+Poussee)/m*SIN(M151)+U151/m*COS(M151)-Poids/m)</f>
        <v>66.1896619823814</v>
      </c>
      <c r="F152" s="417" t="n">
        <f aca="false">SQRT(acc_x^2+acc_z^2)</f>
        <v>68.091549817093</v>
      </c>
      <c r="G152" s="418" t="n">
        <f aca="false">G151+acc_x*pas</f>
        <v>24.8092518285595</v>
      </c>
      <c r="H152" s="419" t="n">
        <f aca="false">H151+acc_z*pas</f>
        <v>117.886480309745</v>
      </c>
      <c r="I152" s="417" t="n">
        <f aca="false">SQRT(vit_x^2+vit_z^2)</f>
        <v>120.468756182309</v>
      </c>
      <c r="J152" s="418" t="n">
        <f aca="false">J151+0.5*(vit_x+G151)*pas*(K151&gt;=0)</f>
        <v>18.0312559610898</v>
      </c>
      <c r="K152" s="419" t="n">
        <f aca="false">K151+0.5*(vit_z+H151)*pas</f>
        <v>90.5640483439844</v>
      </c>
      <c r="L152" s="417" t="n">
        <f aca="false">SQRT(pos_x^2+pos_z^2)</f>
        <v>92.3416105771709</v>
      </c>
      <c r="M152" s="418" t="n">
        <f aca="false">IF(AND(L151&gt;L_rampe,G152&gt;0),ATAN2(G152,H152),$M$4)</f>
        <v>1.3633728368571</v>
      </c>
      <c r="N152" s="417" t="n">
        <f aca="false">DEGREES(Beta)</f>
        <v>78.1155094546901</v>
      </c>
      <c r="O152" s="401"/>
      <c r="P152" s="420" t="n">
        <f aca="false">MATCH(t-pas/2-T_ini,CdP_t)</f>
        <v>4</v>
      </c>
      <c r="Q152" s="417" t="n">
        <f aca="false">(INDEX(CdP,2,i_P+1)-INDEX(CdP,2,i_P+0))/(INDEX(CdP,1,i_P+1)-INDEX(CdP,1,i_P+0))*(t-pas/2-T_ini-INDEX(CdP,1,i_P+0))+INDEX(CdP,2,i_P+0)</f>
        <v>663</v>
      </c>
      <c r="R152" s="418" t="n">
        <f aca="false">Poussee/(g*ISP)</f>
        <v>0.332728809689221</v>
      </c>
      <c r="S152" s="419" t="n">
        <f aca="false">S151-Débit*pas</f>
        <v>7.84724899605027</v>
      </c>
      <c r="T152" s="417" t="n">
        <f aca="false">m*g</f>
        <v>76.9815126512531</v>
      </c>
      <c r="U152" s="421" t="n">
        <f aca="false">IF(pos_xz&lt;L_rampe,Poids*COS(Beta),0)</f>
        <v>0</v>
      </c>
      <c r="V152" s="418" t="n">
        <f aca="false">Rho_moyen*(20000-Alt_rampe-pos_z)/(20000+Alt_rampe+pos_z)</f>
        <v>1.21395591393508</v>
      </c>
      <c r="W152" s="417" t="n">
        <f aca="false">1/2*Rho*Sref*Cx*vit_xz^2</f>
        <v>54.1735729707656</v>
      </c>
      <c r="X152" s="401"/>
      <c r="Y152" s="422" t="str">
        <f aca="false">IF(AND(pos_z&lt;=0,K151&gt;0),"Impact balistique","") &amp; IF(AND(H153&lt;0,vit_z&gt;=0),"Apogée","") &amp; IF(AND(Poussee=0,Q151&gt;0),"Fin de propulsion","") &amp; IF(AND(L153&gt;L_rampe,pos_xz&lt;=L_rampe),"Sortie de rampe","")</f>
        <v/>
      </c>
      <c r="Z152" s="423" t="str">
        <f aca="false">IF(ABS(t-T_para)&lt;pas/2,"Para","")</f>
        <v/>
      </c>
      <c r="AA152" s="424" t="str">
        <f aca="false">IF(ABS(t-T_satellite)&lt;pas/2,"Satellite","")</f>
        <v/>
      </c>
      <c r="AB152" s="412"/>
      <c r="AC152" s="420" t="e">
        <f aca="false">IF(ABS(t-ROUND(t,0))&lt;0.001,t,NA())</f>
        <v>#N/A</v>
      </c>
      <c r="AD152" s="425" t="e">
        <f aca="false">IF(ABS(t-ROUND(t,0))&lt;0.001,pos_x,NA())</f>
        <v>#N/A</v>
      </c>
      <c r="AE152" s="426" t="n">
        <f aca="false">IF(t&lt;T_para, pos_z, NA())</f>
        <v>90.5640483439844</v>
      </c>
      <c r="AF152" s="412"/>
      <c r="AG152" s="418" t="n">
        <f aca="false">IF(AND(L151&lt;L_rampe,Poussee&lt;Poids*SIN(M151)),0,(-W151+Poussee)/m-Poids*SIN(M151)/m)</f>
        <v>68.0616204967322</v>
      </c>
      <c r="AH152" s="417" t="n">
        <f aca="false">IF(AND(L151&lt;L_rampe,Poussee&lt;Poids*SIN(M151)), g*SIN(M151), (-W151+Poussee)/m)</f>
        <v>77.661679254237</v>
      </c>
    </row>
    <row r="153" customFormat="false" ht="12" hidden="false" customHeight="false" outlineLevel="0" collapsed="false">
      <c r="A153" s="416" t="n">
        <f aca="false">IF(B152+0.01&lt;=T_ini+ROUNDUP(Temps_fin_propu,0), 0.01, IF(K152&gt;0, 0.1, 0.0001))</f>
        <v>0.01</v>
      </c>
      <c r="B153" s="417" t="n">
        <f aca="false">B152+pas</f>
        <v>1.49</v>
      </c>
      <c r="C153" s="401"/>
      <c r="D153" s="418" t="n">
        <f aca="false">IF(AND(L152&lt;L_rampe,Poussee&lt;Poids*SIN(M152)),0,(-W152+Poussee)/m*COS(M152)-U152/m*SIN(M152))</f>
        <v>15.9424921015633</v>
      </c>
      <c r="E153" s="419" t="n">
        <f aca="false">IF(AND(L152&lt;L_rampe,Poussee&lt;Poids*SIN(M152)),0,(-W152+Poussee)/m*SIN(M152)+U152/m*COS(M152)-Poids/m)</f>
        <v>65.9441700252203</v>
      </c>
      <c r="F153" s="417" t="n">
        <f aca="false">SQRT(acc_x^2+acc_z^2)</f>
        <v>67.8439136159138</v>
      </c>
      <c r="G153" s="418" t="n">
        <f aca="false">G152+acc_x*pas</f>
        <v>24.9686767495751</v>
      </c>
      <c r="H153" s="419" t="n">
        <f aca="false">H152+acc_z*pas</f>
        <v>118.545922009997</v>
      </c>
      <c r="I153" s="417" t="n">
        <f aca="false">SQRT(vit_x^2+vit_z^2)</f>
        <v>121.146896137809</v>
      </c>
      <c r="J153" s="418" t="n">
        <f aca="false">J152+0.5*(vit_x+G152)*pas*(K152&gt;=0)</f>
        <v>18.2801456039805</v>
      </c>
      <c r="K153" s="419" t="n">
        <f aca="false">K152+0.5*(vit_z+H152)*pas</f>
        <v>91.7462103555831</v>
      </c>
      <c r="L153" s="417" t="n">
        <f aca="false">SQRT(pos_x^2+pos_z^2)</f>
        <v>93.5496169843236</v>
      </c>
      <c r="M153" s="418" t="n">
        <f aca="false">IF(AND(L152&gt;L_rampe,G153&gt;0),ATAN2(G153,H153),$M$4)</f>
        <v>1.3632060752934</v>
      </c>
      <c r="N153" s="417" t="n">
        <f aca="false">DEGREES(Beta)</f>
        <v>78.105954720905</v>
      </c>
      <c r="O153" s="401"/>
      <c r="P153" s="420" t="n">
        <f aca="false">MATCH(t-pas/2-T_ini,CdP_t)</f>
        <v>4</v>
      </c>
      <c r="Q153" s="417" t="n">
        <f aca="false">(INDEX(CdP,2,i_P+1)-INDEX(CdP,2,i_P+0))/(INDEX(CdP,1,i_P+1)-INDEX(CdP,1,i_P+0))*(t-pas/2-T_ini-INDEX(CdP,1,i_P+0))+INDEX(CdP,2,i_P+0)</f>
        <v>661.4</v>
      </c>
      <c r="R153" s="418" t="n">
        <f aca="false">Poussee/(g*ISP)</f>
        <v>0.331925844235974</v>
      </c>
      <c r="S153" s="419" t="n">
        <f aca="false">S152-Débit*pas</f>
        <v>7.84392973760791</v>
      </c>
      <c r="T153" s="417" t="n">
        <f aca="false">m*g</f>
        <v>76.9489507259336</v>
      </c>
      <c r="U153" s="421" t="n">
        <f aca="false">IF(pos_xz&lt;L_rampe,Poids*COS(Beta),0)</f>
        <v>0</v>
      </c>
      <c r="V153" s="418" t="n">
        <f aca="false">Rho_moyen*(20000-Alt_rampe-pos_z)/(20000+Alt_rampe+pos_z)</f>
        <v>1.21381241017989</v>
      </c>
      <c r="W153" s="417" t="n">
        <f aca="false">1/2*Rho*Sref*Cx*vit_xz^2</f>
        <v>54.778718619306</v>
      </c>
      <c r="X153" s="401"/>
      <c r="Y153" s="422" t="str">
        <f aca="false">IF(AND(pos_z&lt;=0,K152&gt;0),"Impact balistique","") &amp; IF(AND(H154&lt;0,vit_z&gt;=0),"Apogée","") &amp; IF(AND(Poussee=0,Q152&gt;0),"Fin de propulsion","") &amp; IF(AND(L154&gt;L_rampe,pos_xz&lt;=L_rampe),"Sortie de rampe","")</f>
        <v/>
      </c>
      <c r="Z153" s="423" t="str">
        <f aca="false">IF(ABS(t-T_para)&lt;pas/2,"Para","")</f>
        <v/>
      </c>
      <c r="AA153" s="424" t="str">
        <f aca="false">IF(ABS(t-T_satellite)&lt;pas/2,"Satellite","")</f>
        <v/>
      </c>
      <c r="AB153" s="412"/>
      <c r="AC153" s="420" t="e">
        <f aca="false">IF(ABS(t-ROUND(t,0))&lt;0.001,t,NA())</f>
        <v>#N/A</v>
      </c>
      <c r="AD153" s="425" t="e">
        <f aca="false">IF(ABS(t-ROUND(t,0))&lt;0.001,pos_x,NA())</f>
        <v>#N/A</v>
      </c>
      <c r="AE153" s="426" t="n">
        <f aca="false">IF(t&lt;T_para, pos_z, NA())</f>
        <v>91.7462103555831</v>
      </c>
      <c r="AF153" s="412"/>
      <c r="AG153" s="418" t="n">
        <f aca="false">IF(AND(L152&lt;L_rampe,Poussee&lt;Poids*SIN(M152)),0,(-W152+Poussee)/m-Poids*SIN(M152)/m)</f>
        <v>67.8138270987043</v>
      </c>
      <c r="AH153" s="417" t="n">
        <f aca="false">IF(AND(L152&lt;L_rampe,Poussee&lt;Poids*SIN(M152)), g*SIN(M152), (-W152+Poussee)/m)</f>
        <v>77.4135474617873</v>
      </c>
    </row>
    <row r="154" customFormat="false" ht="12" hidden="false" customHeight="false" outlineLevel="0" collapsed="false">
      <c r="A154" s="416" t="n">
        <f aca="false">IF(B153+0.01&lt;=T_ini+ROUNDUP(Temps_fin_propu,0), 0.01, IF(K153&gt;0, 0.1, 0.0001))</f>
        <v>0.01</v>
      </c>
      <c r="B154" s="417" t="n">
        <f aca="false">B153+pas</f>
        <v>1.5</v>
      </c>
      <c r="C154" s="401"/>
      <c r="D154" s="418" t="n">
        <f aca="false">IF(AND(L153&lt;L_rampe,Poussee&lt;Poids*SIN(M153)),0,(-W153+Poussee)/m*COS(M153)-U153/m*SIN(M153))</f>
        <v>15.903897308033</v>
      </c>
      <c r="E154" s="419" t="n">
        <f aca="false">IF(AND(L153&lt;L_rampe,Poussee&lt;Poids*SIN(M153)),0,(-W153+Poussee)/m*SIN(M153)+U153/m*COS(M153)-Poids/m)</f>
        <v>65.6982934046617</v>
      </c>
      <c r="F154" s="417" t="n">
        <f aca="false">SQRT(acc_x^2+acc_z^2)</f>
        <v>67.5958556856074</v>
      </c>
      <c r="G154" s="418" t="n">
        <f aca="false">G153+acc_x*pas</f>
        <v>25.1277157226554</v>
      </c>
      <c r="H154" s="419" t="n">
        <f aca="false">H153+acc_z*pas</f>
        <v>119.202904944043</v>
      </c>
      <c r="I154" s="417" t="n">
        <f aca="false">SQRT(vit_x^2+vit_z^2)</f>
        <v>121.822553923882</v>
      </c>
      <c r="J154" s="418" t="n">
        <f aca="false">J153+0.5*(vit_x+G153)*pas*(K153&gt;=0)</f>
        <v>18.5306275663416</v>
      </c>
      <c r="K154" s="419" t="n">
        <f aca="false">K153+0.5*(vit_z+H153)*pas</f>
        <v>92.9349544903534</v>
      </c>
      <c r="L154" s="417" t="n">
        <f aca="false">SQRT(pos_x^2+pos_z^2)</f>
        <v>94.764391646475</v>
      </c>
      <c r="M154" s="418" t="n">
        <f aca="false">IF(AND(L153&gt;L_rampe,G154&gt;0),ATAN2(G154,H154),$M$4)</f>
        <v>1.36304010722305</v>
      </c>
      <c r="N154" s="417" t="n">
        <f aca="false">DEGREES(Beta)</f>
        <v>78.09644545094</v>
      </c>
      <c r="O154" s="401"/>
      <c r="P154" s="420" t="n">
        <f aca="false">MATCH(t-pas/2-T_ini,CdP_t)</f>
        <v>4</v>
      </c>
      <c r="Q154" s="417" t="n">
        <f aca="false">(INDEX(CdP,2,i_P+1)-INDEX(CdP,2,i_P+0))/(INDEX(CdP,1,i_P+1)-INDEX(CdP,1,i_P+0))*(t-pas/2-T_ini-INDEX(CdP,1,i_P+0))+INDEX(CdP,2,i_P+0)</f>
        <v>659.8</v>
      </c>
      <c r="R154" s="418" t="n">
        <f aca="false">Poussee/(g*ISP)</f>
        <v>0.331122878782727</v>
      </c>
      <c r="S154" s="419" t="n">
        <f aca="false">S153-Débit*pas</f>
        <v>7.84061850882008</v>
      </c>
      <c r="T154" s="417" t="n">
        <f aca="false">m*g</f>
        <v>76.916467571525</v>
      </c>
      <c r="U154" s="421" t="n">
        <f aca="false">IF(pos_xz&lt;L_rampe,Poids*COS(Beta),0)</f>
        <v>0</v>
      </c>
      <c r="V154" s="418" t="n">
        <f aca="false">Rho_moyen*(20000-Alt_rampe-pos_z)/(20000+Alt_rampe+pos_z)</f>
        <v>1.2136681244419</v>
      </c>
      <c r="W154" s="417" t="n">
        <f aca="false">1/2*Rho*Sref*Cx*vit_xz^2</f>
        <v>55.3848594447555</v>
      </c>
      <c r="X154" s="401"/>
      <c r="Y154" s="422" t="str">
        <f aca="false">IF(AND(pos_z&lt;=0,K153&gt;0),"Impact balistique","") &amp; IF(AND(H155&lt;0,vit_z&gt;=0),"Apogée","") &amp; IF(AND(Poussee=0,Q153&gt;0),"Fin de propulsion","") &amp; IF(AND(L155&gt;L_rampe,pos_xz&lt;=L_rampe),"Sortie de rampe","")</f>
        <v/>
      </c>
      <c r="Z154" s="423" t="str">
        <f aca="false">IF(ABS(t-T_para)&lt;pas/2,"Para","")</f>
        <v/>
      </c>
      <c r="AA154" s="424" t="str">
        <f aca="false">IF(ABS(t-T_satellite)&lt;pas/2,"Satellite","")</f>
        <v/>
      </c>
      <c r="AB154" s="412"/>
      <c r="AC154" s="420" t="e">
        <f aca="false">IF(ABS(t-ROUND(t,0))&lt;0.001,t,NA())</f>
        <v>#N/A</v>
      </c>
      <c r="AD154" s="425" t="e">
        <f aca="false">IF(ABS(t-ROUND(t,0))&lt;0.001,pos_x,NA())</f>
        <v>#N/A</v>
      </c>
      <c r="AE154" s="426" t="n">
        <f aca="false">IF(t&lt;T_para, pos_z, NA())</f>
        <v>92.9349544903534</v>
      </c>
      <c r="AF154" s="412"/>
      <c r="AG154" s="418" t="n">
        <f aca="false">IF(AND(L153&lt;L_rampe,Poussee&lt;Poids*SIN(M153)),0,(-W153+Poussee)/m-Poids*SIN(M153)/m)</f>
        <v>67.5656108248163</v>
      </c>
      <c r="AH154" s="417" t="n">
        <f aca="false">IF(AND(L153&lt;L_rampe,Poussee&lt;Poids*SIN(M153)), g*SIN(M153), (-W153+Poussee)/m)</f>
        <v>77.16499415194</v>
      </c>
    </row>
    <row r="155" customFormat="false" ht="12" hidden="false" customHeight="false" outlineLevel="0" collapsed="false">
      <c r="A155" s="416" t="n">
        <f aca="false">IF(B154+0.01&lt;=T_ini+ROUNDUP(Temps_fin_propu,0), 0.01, IF(K154&gt;0, 0.1, 0.0001))</f>
        <v>0.01</v>
      </c>
      <c r="B155" s="417" t="n">
        <f aca="false">B154+pas</f>
        <v>1.51</v>
      </c>
      <c r="C155" s="401"/>
      <c r="D155" s="418" t="n">
        <f aca="false">IF(AND(L154&lt;L_rampe,Poussee&lt;Poids*SIN(M154)),0,(-W154+Poussee)/m*COS(M154)-U154/m*SIN(M154))</f>
        <v>15.8669184596617</v>
      </c>
      <c r="E155" s="419" t="n">
        <f aca="false">IF(AND(L154&lt;L_rampe,Poussee&lt;Poids*SIN(M154)),0,(-W154+Poussee)/m*SIN(M154)+U154/m*COS(M154)-Poids/m)</f>
        <v>65.4607804313726</v>
      </c>
      <c r="F155" s="417" t="n">
        <f aca="false">SQRT(acc_x^2+acc_z^2)</f>
        <v>67.356312815429</v>
      </c>
      <c r="G155" s="418" t="n">
        <f aca="false">G154+acc_x*pas</f>
        <v>25.2863849072521</v>
      </c>
      <c r="H155" s="419" t="n">
        <f aca="false">H154+acc_z*pas</f>
        <v>119.857512748357</v>
      </c>
      <c r="I155" s="417" t="n">
        <f aca="false">SQRT(vit_x^2+vit_z^2)</f>
        <v>122.495814719934</v>
      </c>
      <c r="J155" s="418" t="n">
        <f aca="false">J154+0.5*(vit_x+G154)*pas*(K154&gt;=0)</f>
        <v>18.7826980694912</v>
      </c>
      <c r="K155" s="419" t="n">
        <f aca="false">K154+0.5*(vit_z+H154)*pas</f>
        <v>94.1302565788154</v>
      </c>
      <c r="L155" s="417" t="n">
        <f aca="false">SQRT(pos_x^2+pos_z^2)</f>
        <v>95.9859101658326</v>
      </c>
      <c r="M155" s="418" t="n">
        <f aca="false">IF(AND(L154&gt;L_rampe,G155&gt;0),ATAN2(G155,H155),$M$4)</f>
        <v>1.36287492128688</v>
      </c>
      <c r="N155" s="417" t="n">
        <f aca="false">DEGREES(Beta)</f>
        <v>78.0869809939625</v>
      </c>
      <c r="O155" s="401"/>
      <c r="P155" s="420" t="n">
        <f aca="false">MATCH(t-pas/2-T_ini,CdP_t)</f>
        <v>5</v>
      </c>
      <c r="Q155" s="417" t="n">
        <f aca="false">(INDEX(CdP,2,i_P+1)-INDEX(CdP,2,i_P+0))/(INDEX(CdP,1,i_P+1)-INDEX(CdP,1,i_P+0))*(t-pas/2-T_ini-INDEX(CdP,1,i_P+0))+INDEX(CdP,2,i_P+0)</f>
        <v>658.27</v>
      </c>
      <c r="R155" s="418" t="n">
        <f aca="false">Poussee/(g*ISP)</f>
        <v>0.330355043068059</v>
      </c>
      <c r="S155" s="419" t="n">
        <f aca="false">S154-Débit*pas</f>
        <v>7.8373149583894</v>
      </c>
      <c r="T155" s="417" t="n">
        <f aca="false">m*g</f>
        <v>76.8840597418</v>
      </c>
      <c r="U155" s="421" t="n">
        <f aca="false">IF(pos_xz&lt;L_rampe,Poids*COS(Beta),0)</f>
        <v>0</v>
      </c>
      <c r="V155" s="418" t="n">
        <f aca="false">Rho_moyen*(20000-Alt_rampe-pos_z)/(20000+Alt_rampe+pos_z)</f>
        <v>1.21352305993475</v>
      </c>
      <c r="W155" s="417" t="n">
        <f aca="false">1/2*Rho*Sref*Cx*vit_xz^2</f>
        <v>55.9920343132548</v>
      </c>
      <c r="X155" s="401"/>
      <c r="Y155" s="422" t="str">
        <f aca="false">IF(AND(pos_z&lt;=0,K154&gt;0),"Impact balistique","") &amp; IF(AND(H156&lt;0,vit_z&gt;=0),"Apogée","") &amp; IF(AND(Poussee=0,Q154&gt;0),"Fin de propulsion","") &amp; IF(AND(L156&gt;L_rampe,pos_xz&lt;=L_rampe),"Sortie de rampe","")</f>
        <v/>
      </c>
      <c r="Z155" s="423" t="str">
        <f aca="false">IF(ABS(t-T_para)&lt;pas/2,"Para","")</f>
        <v/>
      </c>
      <c r="AA155" s="424" t="str">
        <f aca="false">IF(ABS(t-T_satellite)&lt;pas/2,"Satellite","")</f>
        <v/>
      </c>
      <c r="AB155" s="412"/>
      <c r="AC155" s="420" t="e">
        <f aca="false">IF(ABS(t-ROUND(t,0))&lt;0.001,t,NA())</f>
        <v>#N/A</v>
      </c>
      <c r="AD155" s="425" t="e">
        <f aca="false">IF(ABS(t-ROUND(t,0))&lt;0.001,pos_x,NA())</f>
        <v>#N/A</v>
      </c>
      <c r="AE155" s="426" t="n">
        <f aca="false">IF(t&lt;T_para, pos_z, NA())</f>
        <v>94.1302565788154</v>
      </c>
      <c r="AF155" s="412"/>
      <c r="AG155" s="418" t="n">
        <f aca="false">IF(AND(L154&lt;L_rampe,Poussee&lt;Poids*SIN(M154)),0,(-W154+Poussee)/m-Poids*SIN(M154)/m)</f>
        <v>67.3259124816693</v>
      </c>
      <c r="AH155" s="417" t="n">
        <f aca="false">IF(AND(L154&lt;L_rampe,Poussee&lt;Poids*SIN(M154)), g*SIN(M154), (-W154+Poussee)/m)</f>
        <v>76.9249601114844</v>
      </c>
    </row>
    <row r="156" customFormat="false" ht="12" hidden="false" customHeight="false" outlineLevel="0" collapsed="false">
      <c r="A156" s="416" t="n">
        <f aca="false">IF(B155+0.01&lt;=T_ini+ROUNDUP(Temps_fin_propu,0), 0.01, IF(K155&gt;0, 0.1, 0.0001))</f>
        <v>0.01</v>
      </c>
      <c r="B156" s="417" t="n">
        <f aca="false">B155+pas</f>
        <v>1.52</v>
      </c>
      <c r="C156" s="401"/>
      <c r="D156" s="418" t="n">
        <f aca="false">IF(AND(L155&lt;L_rampe,Poussee&lt;Poids*SIN(M155)),0,(-W155+Poussee)/m*COS(M155)-U155/m*SIN(M155))</f>
        <v>15.8315631849102</v>
      </c>
      <c r="E156" s="419" t="n">
        <f aca="false">IF(AND(L155&lt;L_rampe,Poussee&lt;Poids*SIN(M155)),0,(-W155+Poussee)/m*SIN(M155)+U155/m*COS(M155)-Poids/m)</f>
        <v>65.2316397291169</v>
      </c>
      <c r="F156" s="417" t="n">
        <f aca="false">SQRT(acc_x^2+acc_z^2)</f>
        <v>67.1252948941538</v>
      </c>
      <c r="G156" s="418" t="n">
        <f aca="false">G155+acc_x*pas</f>
        <v>25.4447005391012</v>
      </c>
      <c r="H156" s="419" t="n">
        <f aca="false">H155+acc_z*pas</f>
        <v>120.509829145648</v>
      </c>
      <c r="I156" s="417" t="n">
        <f aca="false">SQRT(vit_x^2+vit_z^2)</f>
        <v>123.166763805167</v>
      </c>
      <c r="J156" s="418" t="n">
        <f aca="false">J155+0.5*(vit_x+G155)*pas*(K155&gt;=0)</f>
        <v>19.0363534967229</v>
      </c>
      <c r="K156" s="419" t="n">
        <f aca="false">K155+0.5*(vit_z+H155)*pas</f>
        <v>95.3320932882854</v>
      </c>
      <c r="L156" s="417" t="n">
        <f aca="false">SQRT(pos_x^2+pos_z^2)</f>
        <v>97.2141489968335</v>
      </c>
      <c r="M156" s="418" t="n">
        <f aca="false">IF(AND(L155&gt;L_rampe,G156&gt;0),ATAN2(G156,H156),$M$4)</f>
        <v>1.36271050646257</v>
      </c>
      <c r="N156" s="417" t="n">
        <f aca="false">DEGREES(Beta)</f>
        <v>78.0775607184403</v>
      </c>
      <c r="O156" s="401"/>
      <c r="P156" s="420" t="n">
        <f aca="false">MATCH(t-pas/2-T_ini,CdP_t)</f>
        <v>5</v>
      </c>
      <c r="Q156" s="417" t="n">
        <f aca="false">(INDEX(CdP,2,i_P+1)-INDEX(CdP,2,i_P+0))/(INDEX(CdP,1,i_P+1)-INDEX(CdP,1,i_P+0))*(t-pas/2-T_ini-INDEX(CdP,1,i_P+0))+INDEX(CdP,2,i_P+0)</f>
        <v>656.81</v>
      </c>
      <c r="R156" s="418" t="n">
        <f aca="false">Poussee/(g*ISP)</f>
        <v>0.329622337091971</v>
      </c>
      <c r="S156" s="419" t="n">
        <f aca="false">S155-Débit*pas</f>
        <v>7.83401873501848</v>
      </c>
      <c r="T156" s="417" t="n">
        <f aca="false">m*g</f>
        <v>76.8517237905313</v>
      </c>
      <c r="U156" s="421" t="n">
        <f aca="false">IF(pos_xz&lt;L_rampe,Poids*COS(Beta),0)</f>
        <v>0</v>
      </c>
      <c r="V156" s="418" t="n">
        <f aca="false">Rho_moyen*(20000-Alt_rampe-pos_z)/(20000+Alt_rampe+pos_z)</f>
        <v>1.21337721977064</v>
      </c>
      <c r="W156" s="417" t="n">
        <f aca="false">1/2*Rho*Sref*Cx*vit_xz^2</f>
        <v>56.6002840039939</v>
      </c>
      <c r="X156" s="401"/>
      <c r="Y156" s="422" t="str">
        <f aca="false">IF(AND(pos_z&lt;=0,K155&gt;0),"Impact balistique","") &amp; IF(AND(H157&lt;0,vit_z&gt;=0),"Apogée","") &amp; IF(AND(Poussee=0,Q155&gt;0),"Fin de propulsion","") &amp; IF(AND(L157&gt;L_rampe,pos_xz&lt;=L_rampe),"Sortie de rampe","")</f>
        <v/>
      </c>
      <c r="Z156" s="423" t="str">
        <f aca="false">IF(ABS(t-T_para)&lt;pas/2,"Para","")</f>
        <v/>
      </c>
      <c r="AA156" s="424" t="str">
        <f aca="false">IF(ABS(t-T_satellite)&lt;pas/2,"Satellite","")</f>
        <v/>
      </c>
      <c r="AB156" s="412"/>
      <c r="AC156" s="420" t="e">
        <f aca="false">IF(ABS(t-ROUND(t,0))&lt;0.001,t,NA())</f>
        <v>#N/A</v>
      </c>
      <c r="AD156" s="425" t="e">
        <f aca="false">IF(ABS(t-ROUND(t,0))&lt;0.001,pos_x,NA())</f>
        <v>#N/A</v>
      </c>
      <c r="AE156" s="426" t="n">
        <f aca="false">IF(t&lt;T_para, pos_z, NA())</f>
        <v>95.3320932882854</v>
      </c>
      <c r="AF156" s="412"/>
      <c r="AG156" s="418" t="n">
        <f aca="false">IF(AND(L155&lt;L_rampe,Poussee&lt;Poids*SIN(M155)),0,(-W155+Poussee)/m-Poids*SIN(M155)/m)</f>
        <v>67.0947420497343</v>
      </c>
      <c r="AH156" s="417" t="n">
        <f aca="false">IF(AND(L155&lt;L_rampe,Poussee&lt;Poids*SIN(M155)), g*SIN(M155), (-W155+Poussee)/m)</f>
        <v>76.6934553016904</v>
      </c>
    </row>
    <row r="157" customFormat="false" ht="12" hidden="false" customHeight="false" outlineLevel="0" collapsed="false">
      <c r="A157" s="416" t="n">
        <f aca="false">IF(B156+0.01&lt;=T_ini+ROUNDUP(Temps_fin_propu,0), 0.01, IF(K156&gt;0, 0.1, 0.0001))</f>
        <v>0.01</v>
      </c>
      <c r="B157" s="417" t="n">
        <f aca="false">B156+pas</f>
        <v>1.53</v>
      </c>
      <c r="C157" s="401"/>
      <c r="D157" s="418" t="n">
        <f aca="false">IF(AND(L156&lt;L_rampe,Poussee&lt;Poids*SIN(M156)),0,(-W156+Poussee)/m*COS(M156)-U156/m*SIN(M156))</f>
        <v>15.7959915551207</v>
      </c>
      <c r="E157" s="419" t="n">
        <f aca="false">IF(AND(L156&lt;L_rampe,Poussee&lt;Poids*SIN(M156)),0,(-W156+Poussee)/m*SIN(M156)+U156/m*COS(M156)-Poids/m)</f>
        <v>65.0021299587888</v>
      </c>
      <c r="F157" s="417" t="n">
        <f aca="false">SQRT(acc_x^2+acc_z^2)</f>
        <v>66.8938730257765</v>
      </c>
      <c r="G157" s="418" t="n">
        <f aca="false">G156+acc_x*pas</f>
        <v>25.6026604546524</v>
      </c>
      <c r="H157" s="419" t="n">
        <f aca="false">H156+acc_z*pas</f>
        <v>121.159850445236</v>
      </c>
      <c r="I157" s="417" t="n">
        <f aca="false">SQRT(vit_x^2+vit_z^2)</f>
        <v>123.835397129691</v>
      </c>
      <c r="J157" s="418" t="n">
        <f aca="false">J156+0.5*(vit_x+G156)*pas*(K156&gt;=0)</f>
        <v>19.2915903016917</v>
      </c>
      <c r="K157" s="419" t="n">
        <f aca="false">K156+0.5*(vit_z+H156)*pas</f>
        <v>96.5404416862398</v>
      </c>
      <c r="L157" s="417" t="n">
        <f aca="false">SQRT(pos_x^2+pos_z^2)</f>
        <v>98.4490850000273</v>
      </c>
      <c r="M157" s="418" t="n">
        <f aca="false">IF(AND(L156&gt;L_rampe,G157&gt;0),ATAN2(G157,H157),$M$4)</f>
        <v>1.36254685193621</v>
      </c>
      <c r="N157" s="417" t="n">
        <f aca="false">DEGREES(Beta)</f>
        <v>78.0681840047814</v>
      </c>
      <c r="O157" s="401"/>
      <c r="P157" s="420" t="n">
        <f aca="false">MATCH(t-pas/2-T_ini,CdP_t)</f>
        <v>5</v>
      </c>
      <c r="Q157" s="417" t="n">
        <f aca="false">(INDEX(CdP,2,i_P+1)-INDEX(CdP,2,i_P+0))/(INDEX(CdP,1,i_P+1)-INDEX(CdP,1,i_P+0))*(t-pas/2-T_ini-INDEX(CdP,1,i_P+0))+INDEX(CdP,2,i_P+0)</f>
        <v>655.35</v>
      </c>
      <c r="R157" s="418" t="n">
        <f aca="false">Poussee/(g*ISP)</f>
        <v>0.328889631115883</v>
      </c>
      <c r="S157" s="419" t="n">
        <f aca="false">S156-Débit*pas</f>
        <v>7.83072983870732</v>
      </c>
      <c r="T157" s="417" t="n">
        <f aca="false">m*g</f>
        <v>76.8194597177188</v>
      </c>
      <c r="U157" s="421" t="n">
        <f aca="false">IF(pos_xz&lt;L_rampe,Poids*COS(Beta),0)</f>
        <v>0</v>
      </c>
      <c r="V157" s="418" t="n">
        <f aca="false">Rho_moyen*(20000-Alt_rampe-pos_z)/(20000+Alt_rampe+pos_z)</f>
        <v>1.2132306070133</v>
      </c>
      <c r="W157" s="417" t="n">
        <f aca="false">1/2*Rho*Sref*Cx*vit_xz^2</f>
        <v>57.2095685686976</v>
      </c>
      <c r="X157" s="401"/>
      <c r="Y157" s="422" t="str">
        <f aca="false">IF(AND(pos_z&lt;=0,K156&gt;0),"Impact balistique","") &amp; IF(AND(H158&lt;0,vit_z&gt;=0),"Apogée","") &amp; IF(AND(Poussee=0,Q156&gt;0),"Fin de propulsion","") &amp; IF(AND(L158&gt;L_rampe,pos_xz&lt;=L_rampe),"Sortie de rampe","")</f>
        <v/>
      </c>
      <c r="Z157" s="423" t="str">
        <f aca="false">IF(ABS(t-T_para)&lt;pas/2,"Para","")</f>
        <v/>
      </c>
      <c r="AA157" s="424" t="str">
        <f aca="false">IF(ABS(t-T_satellite)&lt;pas/2,"Satellite","")</f>
        <v/>
      </c>
      <c r="AB157" s="412"/>
      <c r="AC157" s="420" t="e">
        <f aca="false">IF(ABS(t-ROUND(t,0))&lt;0.001,t,NA())</f>
        <v>#N/A</v>
      </c>
      <c r="AD157" s="425" t="e">
        <f aca="false">IF(ABS(t-ROUND(t,0))&lt;0.001,pos_x,NA())</f>
        <v>#N/A</v>
      </c>
      <c r="AE157" s="426" t="n">
        <f aca="false">IF(t&lt;T_para, pos_z, NA())</f>
        <v>96.5404416862398</v>
      </c>
      <c r="AF157" s="412"/>
      <c r="AG157" s="418" t="n">
        <f aca="false">IF(AND(L156&lt;L_rampe,Poussee&lt;Poids*SIN(M156)),0,(-W156+Poussee)/m-Poids*SIN(M156)/m)</f>
        <v>66.8631666193829</v>
      </c>
      <c r="AH157" s="417" t="n">
        <f aca="false">IF(AND(L156&lt;L_rampe,Poussee&lt;Poids*SIN(M156)), g*SIN(M156), (-W156+Poussee)/m)</f>
        <v>76.461546794321</v>
      </c>
    </row>
    <row r="158" customFormat="false" ht="12" hidden="false" customHeight="false" outlineLevel="0" collapsed="false">
      <c r="A158" s="416" t="n">
        <f aca="false">IF(B157+0.01&lt;=T_ini+ROUNDUP(Temps_fin_propu,0), 0.01, IF(K157&gt;0, 0.1, 0.0001))</f>
        <v>0.01</v>
      </c>
      <c r="B158" s="417" t="n">
        <f aca="false">B157+pas</f>
        <v>1.54</v>
      </c>
      <c r="C158" s="401"/>
      <c r="D158" s="418" t="n">
        <f aca="false">IF(AND(L157&lt;L_rampe,Poussee&lt;Poids*SIN(M157)),0,(-W157+Poussee)/m*COS(M157)-U157/m*SIN(M157))</f>
        <v>15.7602058010705</v>
      </c>
      <c r="E158" s="419" t="n">
        <f aca="false">IF(AND(L157&lt;L_rampe,Poussee&lt;Poids*SIN(M157)),0,(-W157+Poussee)/m*SIN(M157)+U157/m*COS(M157)-Poids/m)</f>
        <v>64.7722560599112</v>
      </c>
      <c r="F158" s="417" t="n">
        <f aca="false">SQRT(acc_x^2+acc_z^2)</f>
        <v>66.6620524885246</v>
      </c>
      <c r="G158" s="418" t="n">
        <f aca="false">G157+acc_x*pas</f>
        <v>25.7602625126631</v>
      </c>
      <c r="H158" s="419" t="n">
        <f aca="false">H157+acc_z*pas</f>
        <v>121.807573005835</v>
      </c>
      <c r="I158" s="417" t="n">
        <f aca="false">SQRT(vit_x^2+vit_z^2)</f>
        <v>124.501710696252</v>
      </c>
      <c r="J158" s="418" t="n">
        <f aca="false">J157+0.5*(vit_x+G157)*pas*(K157&gt;=0)</f>
        <v>19.5484049165283</v>
      </c>
      <c r="K158" s="419" t="n">
        <f aca="false">K157+0.5*(vit_z+H157)*pas</f>
        <v>97.7552788034952</v>
      </c>
      <c r="L158" s="417" t="n">
        <f aca="false">SQRT(pos_x^2+pos_z^2)</f>
        <v>99.6906949957197</v>
      </c>
      <c r="M158" s="418" t="n">
        <f aca="false">IF(AND(L157&gt;L_rampe,G158&gt;0),ATAN2(G158,H158),$M$4)</f>
        <v>1.36238394709689</v>
      </c>
      <c r="N158" s="417" t="n">
        <f aca="false">DEGREES(Beta)</f>
        <v>78.0588502450263</v>
      </c>
      <c r="O158" s="401"/>
      <c r="P158" s="420" t="n">
        <f aca="false">MATCH(t-pas/2-T_ini,CdP_t)</f>
        <v>5</v>
      </c>
      <c r="Q158" s="417" t="n">
        <f aca="false">(INDEX(CdP,2,i_P+1)-INDEX(CdP,2,i_P+0))/(INDEX(CdP,1,i_P+1)-INDEX(CdP,1,i_P+0))*(t-pas/2-T_ini-INDEX(CdP,1,i_P+0))+INDEX(CdP,2,i_P+0)</f>
        <v>653.89</v>
      </c>
      <c r="R158" s="418" t="n">
        <f aca="false">Poussee/(g*ISP)</f>
        <v>0.328156925139796</v>
      </c>
      <c r="S158" s="419" t="n">
        <f aca="false">S157-Débit*pas</f>
        <v>7.82744826945592</v>
      </c>
      <c r="T158" s="417" t="n">
        <f aca="false">m*g</f>
        <v>76.7872675233626</v>
      </c>
      <c r="U158" s="421" t="n">
        <f aca="false">IF(pos_xz&lt;L_rampe,Poids*COS(Beta),0)</f>
        <v>0</v>
      </c>
      <c r="V158" s="418" t="n">
        <f aca="false">Rho_moyen*(20000-Alt_rampe-pos_z)/(20000+Alt_rampe+pos_z)</f>
        <v>1.21308322473101</v>
      </c>
      <c r="W158" s="417" t="n">
        <f aca="false">1/2*Rho*Sref*Cx*vit_xz^2</f>
        <v>57.8198481673788</v>
      </c>
      <c r="X158" s="401"/>
      <c r="Y158" s="422" t="str">
        <f aca="false">IF(AND(pos_z&lt;=0,K157&gt;0),"Impact balistique","") &amp; IF(AND(H159&lt;0,vit_z&gt;=0),"Apogée","") &amp; IF(AND(Poussee=0,Q157&gt;0),"Fin de propulsion","") &amp; IF(AND(L159&gt;L_rampe,pos_xz&lt;=L_rampe),"Sortie de rampe","")</f>
        <v/>
      </c>
      <c r="Z158" s="423" t="str">
        <f aca="false">IF(ABS(t-T_para)&lt;pas/2,"Para","")</f>
        <v/>
      </c>
      <c r="AA158" s="424" t="str">
        <f aca="false">IF(ABS(t-T_satellite)&lt;pas/2,"Satellite","")</f>
        <v/>
      </c>
      <c r="AB158" s="412"/>
      <c r="AC158" s="420" t="e">
        <f aca="false">IF(ABS(t-ROUND(t,0))&lt;0.001,t,NA())</f>
        <v>#N/A</v>
      </c>
      <c r="AD158" s="425" t="e">
        <f aca="false">IF(ABS(t-ROUND(t,0))&lt;0.001,pos_x,NA())</f>
        <v>#N/A</v>
      </c>
      <c r="AE158" s="426" t="n">
        <f aca="false">IF(t&lt;T_para, pos_z, NA())</f>
        <v>97.7552788034952</v>
      </c>
      <c r="AF158" s="412"/>
      <c r="AG158" s="418" t="n">
        <f aca="false">IF(AND(L157&lt;L_rampe,Poussee&lt;Poids*SIN(M157)),0,(-W157+Poussee)/m-Poids*SIN(M157)/m)</f>
        <v>66.6311914548809</v>
      </c>
      <c r="AH158" s="417" t="n">
        <f aca="false">IF(AND(L157&lt;L_rampe,Poussee&lt;Poids*SIN(M157)), g*SIN(M157), (-W157+Poussee)/m)</f>
        <v>76.2292398353693</v>
      </c>
    </row>
    <row r="159" customFormat="false" ht="12" hidden="false" customHeight="false" outlineLevel="0" collapsed="false">
      <c r="A159" s="416" t="n">
        <f aca="false">IF(B158+0.01&lt;=T_ini+ROUNDUP(Temps_fin_propu,0), 0.01, IF(K158&gt;0, 0.1, 0.0001))</f>
        <v>0.01</v>
      </c>
      <c r="B159" s="417" t="n">
        <f aca="false">B158+pas</f>
        <v>1.55</v>
      </c>
      <c r="C159" s="401"/>
      <c r="D159" s="418" t="n">
        <f aca="false">IF(AND(L158&lt;L_rampe,Poussee&lt;Poids*SIN(M158)),0,(-W158+Poussee)/m*COS(M158)-U158/m*SIN(M158))</f>
        <v>15.724208133002</v>
      </c>
      <c r="E159" s="419" t="n">
        <f aca="false">IF(AND(L158&lt;L_rampe,Poussee&lt;Poids*SIN(M158)),0,(-W158+Poussee)/m*SIN(M158)+U158/m*COS(M158)-Poids/m)</f>
        <v>64.5420229725168</v>
      </c>
      <c r="F159" s="417" t="n">
        <f aca="false">SQRT(acc_x^2+acc_z^2)</f>
        <v>66.4298385576456</v>
      </c>
      <c r="G159" s="418" t="n">
        <f aca="false">G158+acc_x*pas</f>
        <v>25.9175045939931</v>
      </c>
      <c r="H159" s="419" t="n">
        <f aca="false">H158+acc_z*pas</f>
        <v>122.45299323556</v>
      </c>
      <c r="I159" s="417" t="n">
        <f aca="false">SQRT(vit_x^2+vit_z^2)</f>
        <v>125.165700560209</v>
      </c>
      <c r="J159" s="418" t="n">
        <f aca="false">J158+0.5*(vit_x+G158)*pas*(K158&gt;=0)</f>
        <v>19.8067937520616</v>
      </c>
      <c r="K159" s="419" t="n">
        <f aca="false">K158+0.5*(vit_z+H158)*pas</f>
        <v>98.9765816347021</v>
      </c>
      <c r="L159" s="417" t="n">
        <f aca="false">SQRT(pos_x^2+pos_z^2)</f>
        <v>100.938955764499</v>
      </c>
      <c r="M159" s="418" t="n">
        <f aca="false">IF(AND(L158&gt;L_rampe,G159&gt;0),ATAN2(G159,H159),$M$4)</f>
        <v>1.36222178153156</v>
      </c>
      <c r="N159" s="417" t="n">
        <f aca="false">DEGREES(Beta)</f>
        <v>78.0495588425506</v>
      </c>
      <c r="O159" s="401"/>
      <c r="P159" s="420" t="n">
        <f aca="false">MATCH(t-pas/2-T_ini,CdP_t)</f>
        <v>5</v>
      </c>
      <c r="Q159" s="417" t="n">
        <f aca="false">(INDEX(CdP,2,i_P+1)-INDEX(CdP,2,i_P+0))/(INDEX(CdP,1,i_P+1)-INDEX(CdP,1,i_P+0))*(t-pas/2-T_ini-INDEX(CdP,1,i_P+0))+INDEX(CdP,2,i_P+0)</f>
        <v>652.43</v>
      </c>
      <c r="R159" s="418" t="n">
        <f aca="false">Poussee/(g*ISP)</f>
        <v>0.327424219163708</v>
      </c>
      <c r="S159" s="419" t="n">
        <f aca="false">S158-Débit*pas</f>
        <v>7.82417402726429</v>
      </c>
      <c r="T159" s="417" t="n">
        <f aca="false">m*g</f>
        <v>76.7551472074627</v>
      </c>
      <c r="U159" s="421" t="n">
        <f aca="false">IF(pos_xz&lt;L_rampe,Poids*COS(Beta),0)</f>
        <v>0</v>
      </c>
      <c r="V159" s="418" t="n">
        <f aca="false">Rho_moyen*(20000-Alt_rampe-pos_z)/(20000+Alt_rampe+pos_z)</f>
        <v>1.21293507599653</v>
      </c>
      <c r="W159" s="417" t="n">
        <f aca="false">1/2*Rho*Sref*Cx*vit_xz^2</f>
        <v>58.4310830705417</v>
      </c>
      <c r="X159" s="401"/>
      <c r="Y159" s="422" t="str">
        <f aca="false">IF(AND(pos_z&lt;=0,K158&gt;0),"Impact balistique","") &amp; IF(AND(H160&lt;0,vit_z&gt;=0),"Apogée","") &amp; IF(AND(Poussee=0,Q158&gt;0),"Fin de propulsion","") &amp; IF(AND(L160&gt;L_rampe,pos_xz&lt;=L_rampe),"Sortie de rampe","")</f>
        <v/>
      </c>
      <c r="Z159" s="423" t="str">
        <f aca="false">IF(ABS(t-T_para)&lt;pas/2,"Para","")</f>
        <v/>
      </c>
      <c r="AA159" s="424" t="str">
        <f aca="false">IF(ABS(t-T_satellite)&lt;pas/2,"Satellite","")</f>
        <v/>
      </c>
      <c r="AB159" s="412"/>
      <c r="AC159" s="420" t="e">
        <f aca="false">IF(ABS(t-ROUND(t,0))&lt;0.001,t,NA())</f>
        <v>#N/A</v>
      </c>
      <c r="AD159" s="425" t="e">
        <f aca="false">IF(ABS(t-ROUND(t,0))&lt;0.001,pos_x,NA())</f>
        <v>#N/A</v>
      </c>
      <c r="AE159" s="426" t="n">
        <f aca="false">IF(t&lt;T_para, pos_z, NA())</f>
        <v>98.9765816347021</v>
      </c>
      <c r="AF159" s="412"/>
      <c r="AG159" s="418" t="n">
        <f aca="false">IF(AND(L158&lt;L_rampe,Poussee&lt;Poids*SIN(M158)),0,(-W158+Poussee)/m-Poids*SIN(M158)/m)</f>
        <v>66.3988218173768</v>
      </c>
      <c r="AH159" s="417" t="n">
        <f aca="false">IF(AND(L158&lt;L_rampe,Poussee&lt;Poids*SIN(M158)), g*SIN(M158), (-W158+Poussee)/m)</f>
        <v>75.9965396680378</v>
      </c>
    </row>
    <row r="160" customFormat="false" ht="12" hidden="false" customHeight="false" outlineLevel="0" collapsed="false">
      <c r="A160" s="416" t="n">
        <f aca="false">IF(B159+0.01&lt;=T_ini+ROUNDUP(Temps_fin_propu,0), 0.01, IF(K159&gt;0, 0.1, 0.0001))</f>
        <v>0.01</v>
      </c>
      <c r="B160" s="417" t="n">
        <f aca="false">B159+pas</f>
        <v>1.56</v>
      </c>
      <c r="C160" s="401"/>
      <c r="D160" s="418" t="n">
        <f aca="false">IF(AND(L159&lt;L_rampe,Poussee&lt;Poids*SIN(M159)),0,(-W159+Poussee)/m*COS(M159)-U159/m*SIN(M159))</f>
        <v>15.6880007410915</v>
      </c>
      <c r="E160" s="419" t="n">
        <f aca="false">IF(AND(L159&lt;L_rampe,Poussee&lt;Poids*SIN(M159)),0,(-W159+Poussee)/m*SIN(M159)+U159/m*COS(M159)-Poids/m)</f>
        <v>64.3114356367311</v>
      </c>
      <c r="F160" s="417" t="n">
        <f aca="false">SQRT(acc_x^2+acc_z^2)</f>
        <v>66.197236505083</v>
      </c>
      <c r="G160" s="418" t="n">
        <f aca="false">G159+acc_x*pas</f>
        <v>26.074384601404</v>
      </c>
      <c r="H160" s="419" t="n">
        <f aca="false">H159+acc_z*pas</f>
        <v>123.096107591928</v>
      </c>
      <c r="I160" s="417" t="n">
        <f aca="false">SQRT(vit_x^2+vit_z^2)</f>
        <v>125.827362829495</v>
      </c>
      <c r="J160" s="418" t="n">
        <f aca="false">J159+0.5*(vit_x+G159)*pas*(K159&gt;=0)</f>
        <v>20.0667531980385</v>
      </c>
      <c r="K160" s="419" t="n">
        <f aca="false">K159+0.5*(vit_z+H159)*pas</f>
        <v>100.20432713884</v>
      </c>
      <c r="L160" s="417" t="n">
        <f aca="false">SQRT(pos_x^2+pos_z^2)</f>
        <v>102.193844047763</v>
      </c>
      <c r="M160" s="418" t="n">
        <f aca="false">IF(AND(L159&gt;L_rampe,G160&gt;0),ATAN2(G160,H160),$M$4)</f>
        <v>1.36206034501998</v>
      </c>
      <c r="N160" s="417" t="n">
        <f aca="false">DEGREES(Beta)</f>
        <v>78.0403092117775</v>
      </c>
      <c r="O160" s="401"/>
      <c r="P160" s="420" t="n">
        <f aca="false">MATCH(t-pas/2-T_ini,CdP_t)</f>
        <v>5</v>
      </c>
      <c r="Q160" s="417" t="n">
        <f aca="false">(INDEX(CdP,2,i_P+1)-INDEX(CdP,2,i_P+0))/(INDEX(CdP,1,i_P+1)-INDEX(CdP,1,i_P+0))*(t-pas/2-T_ini-INDEX(CdP,1,i_P+0))+INDEX(CdP,2,i_P+0)</f>
        <v>650.97</v>
      </c>
      <c r="R160" s="418" t="n">
        <f aca="false">Poussee/(g*ISP)</f>
        <v>0.32669151318762</v>
      </c>
      <c r="S160" s="419" t="n">
        <f aca="false">S159-Débit*pas</f>
        <v>7.82090711213241</v>
      </c>
      <c r="T160" s="417" t="n">
        <f aca="false">m*g</f>
        <v>76.723098770019</v>
      </c>
      <c r="U160" s="421" t="n">
        <f aca="false">IF(pos_xz&lt;L_rampe,Poids*COS(Beta),0)</f>
        <v>0</v>
      </c>
      <c r="V160" s="418" t="n">
        <f aca="false">Rho_moyen*(20000-Alt_rampe-pos_z)/(20000+Alt_rampe+pos_z)</f>
        <v>1.21278616388697</v>
      </c>
      <c r="W160" s="417" t="n">
        <f aca="false">1/2*Rho*Sref*Cx*vit_xz^2</f>
        <v>59.043233661365</v>
      </c>
      <c r="X160" s="401"/>
      <c r="Y160" s="422" t="str">
        <f aca="false">IF(AND(pos_z&lt;=0,K159&gt;0),"Impact balistique","") &amp; IF(AND(H161&lt;0,vit_z&gt;=0),"Apogée","") &amp; IF(AND(Poussee=0,Q159&gt;0),"Fin de propulsion","") &amp; IF(AND(L161&gt;L_rampe,pos_xz&lt;=L_rampe),"Sortie de rampe","")</f>
        <v/>
      </c>
      <c r="Z160" s="423" t="str">
        <f aca="false">IF(ABS(t-T_para)&lt;pas/2,"Para","")</f>
        <v/>
      </c>
      <c r="AA160" s="424" t="str">
        <f aca="false">IF(ABS(t-T_satellite)&lt;pas/2,"Satellite","")</f>
        <v/>
      </c>
      <c r="AB160" s="412"/>
      <c r="AC160" s="420" t="e">
        <f aca="false">IF(ABS(t-ROUND(t,0))&lt;0.001,t,NA())</f>
        <v>#N/A</v>
      </c>
      <c r="AD160" s="425" t="e">
        <f aca="false">IF(ABS(t-ROUND(t,0))&lt;0.001,pos_x,NA())</f>
        <v>#N/A</v>
      </c>
      <c r="AE160" s="426" t="n">
        <f aca="false">IF(t&lt;T_para, pos_z, NA())</f>
        <v>100.20432713884</v>
      </c>
      <c r="AF160" s="412"/>
      <c r="AG160" s="418" t="n">
        <f aca="false">IF(AND(L159&lt;L_rampe,Poussee&lt;Poids*SIN(M159)),0,(-W159+Poussee)/m-Poids*SIN(M159)/m)</f>
        <v>66.1660629645726</v>
      </c>
      <c r="AH160" s="417" t="n">
        <f aca="false">IF(AND(L159&lt;L_rampe,Poussee&lt;Poids*SIN(M159)), g*SIN(M159), (-W159+Poussee)/m)</f>
        <v>75.7634515324015</v>
      </c>
    </row>
    <row r="161" customFormat="false" ht="12" hidden="false" customHeight="false" outlineLevel="0" collapsed="false">
      <c r="A161" s="416" t="n">
        <f aca="false">IF(B160+0.01&lt;=T_ini+ROUNDUP(Temps_fin_propu,0), 0.01, IF(K160&gt;0, 0.1, 0.0001))</f>
        <v>0.01</v>
      </c>
      <c r="B161" s="417" t="n">
        <f aca="false">B160+pas</f>
        <v>1.57</v>
      </c>
      <c r="C161" s="401"/>
      <c r="D161" s="418" t="n">
        <f aca="false">IF(AND(L160&lt;L_rampe,Poussee&lt;Poids*SIN(M160)),0,(-W160+Poussee)/m*COS(M160)-U160/m*SIN(M160))</f>
        <v>15.6515857959005</v>
      </c>
      <c r="E161" s="419" t="n">
        <f aca="false">IF(AND(L160&lt;L_rampe,Poussee&lt;Poids*SIN(M160)),0,(-W160+Poussee)/m*SIN(M160)+U160/m*COS(M160)-Poids/m)</f>
        <v>64.0804989923601</v>
      </c>
      <c r="F161" s="417" t="n">
        <f aca="false">SQRT(acc_x^2+acc_z^2)</f>
        <v>65.9642515991525</v>
      </c>
      <c r="G161" s="418" t="n">
        <f aca="false">G160+acc_x*pas</f>
        <v>26.230900459363</v>
      </c>
      <c r="H161" s="419" t="n">
        <f aca="false">H160+acc_z*pas</f>
        <v>123.736912581851</v>
      </c>
      <c r="I161" s="417" t="n">
        <f aca="false">SQRT(vit_x^2+vit_z^2)</f>
        <v>126.486693664582</v>
      </c>
      <c r="J161" s="418" t="n">
        <f aca="false">J160+0.5*(vit_x+G160)*pas*(K160&gt;=0)</f>
        <v>20.3282796233424</v>
      </c>
      <c r="K161" s="419" t="n">
        <f aca="false">K160+0.5*(vit_z+H160)*pas</f>
        <v>101.438492239708</v>
      </c>
      <c r="L161" s="417" t="n">
        <f aca="false">SQRT(pos_x^2+pos_z^2)</f>
        <v>103.455336548243</v>
      </c>
      <c r="M161" s="418" t="n">
        <f aca="false">IF(AND(L160&gt;L_rampe,G161&gt;0),ATAN2(G161,H161),$M$4)</f>
        <v>1.36189962752985</v>
      </c>
      <c r="N161" s="417" t="n">
        <f aca="false">DEGREES(Beta)</f>
        <v>78.0311007778991</v>
      </c>
      <c r="O161" s="401"/>
      <c r="P161" s="420" t="n">
        <f aca="false">MATCH(t-pas/2-T_ini,CdP_t)</f>
        <v>5</v>
      </c>
      <c r="Q161" s="417" t="n">
        <f aca="false">(INDEX(CdP,2,i_P+1)-INDEX(CdP,2,i_P+0))/(INDEX(CdP,1,i_P+1)-INDEX(CdP,1,i_P+0))*(t-pas/2-T_ini-INDEX(CdP,1,i_P+0))+INDEX(CdP,2,i_P+0)</f>
        <v>649.51</v>
      </c>
      <c r="R161" s="418" t="n">
        <f aca="false">Poussee/(g*ISP)</f>
        <v>0.325958807211532</v>
      </c>
      <c r="S161" s="419" t="n">
        <f aca="false">S160-Débit*pas</f>
        <v>7.8176475240603</v>
      </c>
      <c r="T161" s="417" t="n">
        <f aca="false">m*g</f>
        <v>76.6911222110315</v>
      </c>
      <c r="U161" s="421" t="n">
        <f aca="false">IF(pos_xz&lt;L_rampe,Poids*COS(Beta),0)</f>
        <v>0</v>
      </c>
      <c r="V161" s="418" t="n">
        <f aca="false">Rho_moyen*(20000-Alt_rampe-pos_z)/(20000+Alt_rampe+pos_z)</f>
        <v>1.21263649148377</v>
      </c>
      <c r="W161" s="417" t="n">
        <f aca="false">1/2*Rho*Sref*Cx*vit_xz^2</f>
        <v>59.6562604378624</v>
      </c>
      <c r="X161" s="401"/>
      <c r="Y161" s="422" t="str">
        <f aca="false">IF(AND(pos_z&lt;=0,K160&gt;0),"Impact balistique","") &amp; IF(AND(H162&lt;0,vit_z&gt;=0),"Apogée","") &amp; IF(AND(Poussee=0,Q160&gt;0),"Fin de propulsion","") &amp; IF(AND(L162&gt;L_rampe,pos_xz&lt;=L_rampe),"Sortie de rampe","")</f>
        <v/>
      </c>
      <c r="Z161" s="423" t="str">
        <f aca="false">IF(ABS(t-T_para)&lt;pas/2,"Para","")</f>
        <v/>
      </c>
      <c r="AA161" s="424" t="str">
        <f aca="false">IF(ABS(t-T_satellite)&lt;pas/2,"Satellite","")</f>
        <v/>
      </c>
      <c r="AB161" s="412"/>
      <c r="AC161" s="420" t="e">
        <f aca="false">IF(ABS(t-ROUND(t,0))&lt;0.001,t,NA())</f>
        <v>#N/A</v>
      </c>
      <c r="AD161" s="425" t="e">
        <f aca="false">IF(ABS(t-ROUND(t,0))&lt;0.001,pos_x,NA())</f>
        <v>#N/A</v>
      </c>
      <c r="AE161" s="426" t="n">
        <f aca="false">IF(t&lt;T_para, pos_z, NA())</f>
        <v>101.438492239708</v>
      </c>
      <c r="AF161" s="412"/>
      <c r="AG161" s="418" t="n">
        <f aca="false">IF(AND(L160&lt;L_rampe,Poussee&lt;Poids*SIN(M160)),0,(-W160+Poussee)/m-Poids*SIN(M160)/m)</f>
        <v>65.9329201503972</v>
      </c>
      <c r="AH161" s="417" t="n">
        <f aca="false">IF(AND(L160&lt;L_rampe,Poussee&lt;Poids*SIN(M160)), g*SIN(M160), (-W160+Poussee)/m)</f>
        <v>75.5299806650736</v>
      </c>
    </row>
    <row r="162" customFormat="false" ht="12" hidden="false" customHeight="false" outlineLevel="0" collapsed="false">
      <c r="A162" s="416" t="n">
        <f aca="false">IF(B161+0.01&lt;=T_ini+ROUNDUP(Temps_fin_propu,0), 0.01, IF(K161&gt;0, 0.1, 0.0001))</f>
        <v>0.01</v>
      </c>
      <c r="B162" s="417" t="n">
        <f aca="false">B161+pas</f>
        <v>1.58</v>
      </c>
      <c r="C162" s="401"/>
      <c r="D162" s="418" t="n">
        <f aca="false">IF(AND(L161&lt;L_rampe,Poussee&lt;Poids*SIN(M161)),0,(-W161+Poussee)/m*COS(M161)-U161/m*SIN(M161))</f>
        <v>15.6149654488107</v>
      </c>
      <c r="E162" s="419" t="n">
        <f aca="false">IF(AND(L161&lt;L_rampe,Poussee&lt;Poids*SIN(M161)),0,(-W161+Poussee)/m*SIN(M161)+U161/m*COS(M161)-Poids/m)</f>
        <v>63.8492179784832</v>
      </c>
      <c r="F162" s="417" t="n">
        <f aca="false">SQRT(acc_x^2+acc_z^2)</f>
        <v>65.7308891042211</v>
      </c>
      <c r="G162" s="418" t="n">
        <f aca="false">G161+acc_x*pas</f>
        <v>26.3870501138511</v>
      </c>
      <c r="H162" s="419" t="n">
        <f aca="false">H161+acc_z*pas</f>
        <v>124.375404761636</v>
      </c>
      <c r="I162" s="417" t="n">
        <f aca="false">SQRT(vit_x^2+vit_z^2)</f>
        <v>127.143689278437</v>
      </c>
      <c r="J162" s="418" t="n">
        <f aca="false">J161+0.5*(vit_x+G161)*pas*(K161&gt;=0)</f>
        <v>20.5913693762085</v>
      </c>
      <c r="K162" s="419" t="n">
        <f aca="false">K161+0.5*(vit_z+H161)*pas</f>
        <v>102.679053826426</v>
      </c>
      <c r="L162" s="417" t="n">
        <f aca="false">SQRT(pos_x^2+pos_z^2)</f>
        <v>104.723409930529</v>
      </c>
      <c r="M162" s="418" t="n">
        <f aca="false">IF(AND(L161&gt;L_rampe,G162&gt;0),ATAN2(G162,H162),$M$4)</f>
        <v>1.36173961921211</v>
      </c>
      <c r="N162" s="417" t="n">
        <f aca="false">DEGREES(Beta)</f>
        <v>78.0219329766059</v>
      </c>
      <c r="O162" s="401"/>
      <c r="P162" s="420" t="n">
        <f aca="false">MATCH(t-pas/2-T_ini,CdP_t)</f>
        <v>5</v>
      </c>
      <c r="Q162" s="417" t="n">
        <f aca="false">(INDEX(CdP,2,i_P+1)-INDEX(CdP,2,i_P+0))/(INDEX(CdP,1,i_P+1)-INDEX(CdP,1,i_P+0))*(t-pas/2-T_ini-INDEX(CdP,1,i_P+0))+INDEX(CdP,2,i_P+0)</f>
        <v>648.05</v>
      </c>
      <c r="R162" s="418" t="n">
        <f aca="false">Poussee/(g*ISP)</f>
        <v>0.325226101235444</v>
      </c>
      <c r="S162" s="419" t="n">
        <f aca="false">S161-Débit*pas</f>
        <v>7.81439526304794</v>
      </c>
      <c r="T162" s="417" t="n">
        <f aca="false">m*g</f>
        <v>76.6592175305003</v>
      </c>
      <c r="U162" s="421" t="n">
        <f aca="false">IF(pos_xz&lt;L_rampe,Poids*COS(Beta),0)</f>
        <v>0</v>
      </c>
      <c r="V162" s="418" t="n">
        <f aca="false">Rho_moyen*(20000-Alt_rampe-pos_z)/(20000+Alt_rampe+pos_z)</f>
        <v>1.21248606187259</v>
      </c>
      <c r="W162" s="417" t="n">
        <f aca="false">1/2*Rho*Sref*Cx*vit_xz^2</f>
        <v>60.2701240150238</v>
      </c>
      <c r="X162" s="401"/>
      <c r="Y162" s="422" t="str">
        <f aca="false">IF(AND(pos_z&lt;=0,K161&gt;0),"Impact balistique","") &amp; IF(AND(H163&lt;0,vit_z&gt;=0),"Apogée","") &amp; IF(AND(Poussee=0,Q161&gt;0),"Fin de propulsion","") &amp; IF(AND(L163&gt;L_rampe,pos_xz&lt;=L_rampe),"Sortie de rampe","")</f>
        <v/>
      </c>
      <c r="Z162" s="423" t="str">
        <f aca="false">IF(ABS(t-T_para)&lt;pas/2,"Para","")</f>
        <v/>
      </c>
      <c r="AA162" s="424" t="str">
        <f aca="false">IF(ABS(t-T_satellite)&lt;pas/2,"Satellite","")</f>
        <v/>
      </c>
      <c r="AB162" s="412"/>
      <c r="AC162" s="420" t="e">
        <f aca="false">IF(ABS(t-ROUND(t,0))&lt;0.001,t,NA())</f>
        <v>#N/A</v>
      </c>
      <c r="AD162" s="425" t="e">
        <f aca="false">IF(ABS(t-ROUND(t,0))&lt;0.001,pos_x,NA())</f>
        <v>#N/A</v>
      </c>
      <c r="AE162" s="426" t="n">
        <f aca="false">IF(t&lt;T_para, pos_z, NA())</f>
        <v>102.679053826426</v>
      </c>
      <c r="AF162" s="412"/>
      <c r="AG162" s="418" t="n">
        <f aca="false">IF(AND(L161&lt;L_rampe,Poussee&lt;Poids*SIN(M161)),0,(-W161+Poussee)/m-Poids*SIN(M161)/m)</f>
        <v>65.6993986246812</v>
      </c>
      <c r="AH162" s="417" t="n">
        <f aca="false">IF(AND(L161&lt;L_rampe,Poussee&lt;Poids*SIN(M161)), g*SIN(M161), (-W161+Poussee)/m)</f>
        <v>75.2961322988721</v>
      </c>
    </row>
    <row r="163" customFormat="false" ht="12" hidden="false" customHeight="false" outlineLevel="0" collapsed="false">
      <c r="A163" s="416" t="n">
        <f aca="false">IF(B162+0.01&lt;=T_ini+ROUNDUP(Temps_fin_propu,0), 0.01, IF(K162&gt;0, 0.1, 0.0001))</f>
        <v>0.01</v>
      </c>
      <c r="B163" s="417" t="n">
        <f aca="false">B162+pas</f>
        <v>1.59</v>
      </c>
      <c r="C163" s="401"/>
      <c r="D163" s="418" t="n">
        <f aca="false">IF(AND(L162&lt;L_rampe,Poussee&lt;Poids*SIN(M162)),0,(-W162+Poussee)/m*COS(M162)-U162/m*SIN(M162))</f>
        <v>15.5781418324431</v>
      </c>
      <c r="E163" s="419" t="n">
        <f aca="false">IF(AND(L162&lt;L_rampe,Poussee&lt;Poids*SIN(M162)),0,(-W162+Poussee)/m*SIN(M162)+U162/m*COS(M162)-Poids/m)</f>
        <v>63.61759753305</v>
      </c>
      <c r="F163" s="417" t="n">
        <f aca="false">SQRT(acc_x^2+acc_z^2)</f>
        <v>65.4971542803872</v>
      </c>
      <c r="G163" s="418" t="n">
        <f aca="false">G162+acc_x*pas</f>
        <v>26.5428315321755</v>
      </c>
      <c r="H163" s="419" t="n">
        <f aca="false">H162+acc_z*pas</f>
        <v>125.011580736967</v>
      </c>
      <c r="I163" s="417" t="n">
        <f aca="false">SQRT(vit_x^2+vit_z^2)</f>
        <v>127.798345936481</v>
      </c>
      <c r="J163" s="418" t="n">
        <f aca="false">J162+0.5*(vit_x+G162)*pas*(K162&gt;=0)</f>
        <v>20.8560187844386</v>
      </c>
      <c r="K163" s="419" t="n">
        <f aca="false">K162+0.5*(vit_z+H162)*pas</f>
        <v>103.925988753919</v>
      </c>
      <c r="L163" s="417" t="n">
        <f aca="false">SQRT(pos_x^2+pos_z^2)</f>
        <v>105.998040821595</v>
      </c>
      <c r="M163" s="418" t="n">
        <f aca="false">IF(AND(L162&gt;L_rampe,G163&gt;0),ATAN2(G163,H163),$M$4)</f>
        <v>1.36158031039638</v>
      </c>
      <c r="N163" s="417" t="n">
        <f aca="false">DEGREES(Beta)</f>
        <v>78.0128052538255</v>
      </c>
      <c r="O163" s="401"/>
      <c r="P163" s="420" t="n">
        <f aca="false">MATCH(t-pas/2-T_ini,CdP_t)</f>
        <v>5</v>
      </c>
      <c r="Q163" s="417" t="n">
        <f aca="false">(INDEX(CdP,2,i_P+1)-INDEX(CdP,2,i_P+0))/(INDEX(CdP,1,i_P+1)-INDEX(CdP,1,i_P+0))*(t-pas/2-T_ini-INDEX(CdP,1,i_P+0))+INDEX(CdP,2,i_P+0)</f>
        <v>646.59</v>
      </c>
      <c r="R163" s="418" t="n">
        <f aca="false">Poussee/(g*ISP)</f>
        <v>0.324493395259356</v>
      </c>
      <c r="S163" s="419" t="n">
        <f aca="false">S162-Débit*pas</f>
        <v>7.81115032909535</v>
      </c>
      <c r="T163" s="417" t="n">
        <f aca="false">m*g</f>
        <v>76.6273847284254</v>
      </c>
      <c r="U163" s="421" t="n">
        <f aca="false">IF(pos_xz&lt;L_rampe,Poids*COS(Beta),0)</f>
        <v>0</v>
      </c>
      <c r="V163" s="418" t="n">
        <f aca="false">Rho_moyen*(20000-Alt_rampe-pos_z)/(20000+Alt_rampe+pos_z)</f>
        <v>1.21233487814323</v>
      </c>
      <c r="W163" s="417" t="n">
        <f aca="false">1/2*Rho*Sref*Cx*vit_xz^2</f>
        <v>60.8847851269338</v>
      </c>
      <c r="X163" s="401"/>
      <c r="Y163" s="422" t="str">
        <f aca="false">IF(AND(pos_z&lt;=0,K162&gt;0),"Impact balistique","") &amp; IF(AND(H164&lt;0,vit_z&gt;=0),"Apogée","") &amp; IF(AND(Poussee=0,Q162&gt;0),"Fin de propulsion","") &amp; IF(AND(L164&gt;L_rampe,pos_xz&lt;=L_rampe),"Sortie de rampe","")</f>
        <v/>
      </c>
      <c r="Z163" s="423" t="str">
        <f aca="false">IF(ABS(t-T_para)&lt;pas/2,"Para","")</f>
        <v/>
      </c>
      <c r="AA163" s="424" t="str">
        <f aca="false">IF(ABS(t-T_satellite)&lt;pas/2,"Satellite","")</f>
        <v/>
      </c>
      <c r="AB163" s="412"/>
      <c r="AC163" s="420" t="e">
        <f aca="false">IF(ABS(t-ROUND(t,0))&lt;0.001,t,NA())</f>
        <v>#N/A</v>
      </c>
      <c r="AD163" s="425" t="e">
        <f aca="false">IF(ABS(t-ROUND(t,0))&lt;0.001,pos_x,NA())</f>
        <v>#N/A</v>
      </c>
      <c r="AE163" s="426" t="n">
        <f aca="false">IF(t&lt;T_para, pos_z, NA())</f>
        <v>103.925988753919</v>
      </c>
      <c r="AF163" s="412"/>
      <c r="AG163" s="418" t="n">
        <f aca="false">IF(AND(L162&lt;L_rampe,Poussee&lt;Poids*SIN(M162)),0,(-W162+Poussee)/m-Poids*SIN(M162)/m)</f>
        <v>65.4655036328331</v>
      </c>
      <c r="AH163" s="417" t="n">
        <f aca="false">IF(AND(L162&lt;L_rampe,Poussee&lt;Poids*SIN(M162)), g*SIN(M162), (-W162+Poussee)/m)</f>
        <v>75.0619116624889</v>
      </c>
    </row>
    <row r="164" customFormat="false" ht="12" hidden="false" customHeight="false" outlineLevel="0" collapsed="false">
      <c r="A164" s="416" t="n">
        <f aca="false">IF(B163+0.01&lt;=T_ini+ROUNDUP(Temps_fin_propu,0), 0.01, IF(K163&gt;0, 0.1, 0.0001))</f>
        <v>0.01</v>
      </c>
      <c r="B164" s="417" t="n">
        <f aca="false">B163+pas</f>
        <v>1.6</v>
      </c>
      <c r="C164" s="401"/>
      <c r="D164" s="418" t="n">
        <f aca="false">IF(AND(L163&lt;L_rampe,Poussee&lt;Poids*SIN(M163)),0,(-W163+Poussee)/m*COS(M163)-U163/m*SIN(M163))</f>
        <v>15.5411170610618</v>
      </c>
      <c r="E164" s="419" t="n">
        <f aca="false">IF(AND(L163&lt;L_rampe,Poussee&lt;Poids*SIN(M163)),0,(-W163+Poussee)/m*SIN(M163)+U163/m*COS(M163)-Poids/m)</f>
        <v>63.3856425924816</v>
      </c>
      <c r="F164" s="417" t="n">
        <f aca="false">SQRT(acc_x^2+acc_z^2)</f>
        <v>65.2630523831627</v>
      </c>
      <c r="G164" s="418" t="n">
        <f aca="false">G163+acc_x*pas</f>
        <v>26.6982427027862</v>
      </c>
      <c r="H164" s="419" t="n">
        <f aca="false">H163+acc_z*pas</f>
        <v>125.645437162891</v>
      </c>
      <c r="I164" s="417" t="n">
        <f aca="false">SQRT(vit_x^2+vit_z^2)</f>
        <v>128.450659956541</v>
      </c>
      <c r="J164" s="418" t="n">
        <f aca="false">J163+0.5*(vit_x+G163)*pas*(K163&gt;=0)</f>
        <v>21.1222241556134</v>
      </c>
      <c r="K164" s="419" t="n">
        <f aca="false">K163+0.5*(vit_z+H163)*pas</f>
        <v>105.179273843418</v>
      </c>
      <c r="L164" s="417" t="n">
        <f aca="false">SQRT(pos_x^2+pos_z^2)</f>
        <v>107.279205811326</v>
      </c>
      <c r="M164" s="418" t="n">
        <f aca="false">IF(AND(L163&gt;L_rampe,G164&gt;0),ATAN2(G164,H164),$M$4)</f>
        <v>1.36142169158653</v>
      </c>
      <c r="N164" s="417" t="n">
        <f aca="false">DEGREES(Beta)</f>
        <v>78.0037170654691</v>
      </c>
      <c r="O164" s="401"/>
      <c r="P164" s="420" t="n">
        <f aca="false">MATCH(t-pas/2-T_ini,CdP_t)</f>
        <v>5</v>
      </c>
      <c r="Q164" s="417" t="n">
        <f aca="false">(INDEX(CdP,2,i_P+1)-INDEX(CdP,2,i_P+0))/(INDEX(CdP,1,i_P+1)-INDEX(CdP,1,i_P+0))*(t-pas/2-T_ini-INDEX(CdP,1,i_P+0))+INDEX(CdP,2,i_P+0)</f>
        <v>645.13</v>
      </c>
      <c r="R164" s="418" t="n">
        <f aca="false">Poussee/(g*ISP)</f>
        <v>0.323760689283268</v>
      </c>
      <c r="S164" s="419" t="n">
        <f aca="false">S163-Débit*pas</f>
        <v>7.80791272220252</v>
      </c>
      <c r="T164" s="417" t="n">
        <f aca="false">m*g</f>
        <v>76.5956238048067</v>
      </c>
      <c r="U164" s="421" t="n">
        <f aca="false">IF(pos_xz&lt;L_rampe,Poids*COS(Beta),0)</f>
        <v>0</v>
      </c>
      <c r="V164" s="418" t="n">
        <f aca="false">Rho_moyen*(20000-Alt_rampe-pos_z)/(20000+Alt_rampe+pos_z)</f>
        <v>1.21218294338954</v>
      </c>
      <c r="W164" s="417" t="n">
        <f aca="false">1/2*Rho*Sref*Cx*vit_xz^2</f>
        <v>61.5002046288692</v>
      </c>
      <c r="X164" s="401"/>
      <c r="Y164" s="422" t="str">
        <f aca="false">IF(AND(pos_z&lt;=0,K163&gt;0),"Impact balistique","") &amp; IF(AND(H165&lt;0,vit_z&gt;=0),"Apogée","") &amp; IF(AND(Poussee=0,Q163&gt;0),"Fin de propulsion","") &amp; IF(AND(L165&gt;L_rampe,pos_xz&lt;=L_rampe),"Sortie de rampe","")</f>
        <v/>
      </c>
      <c r="Z164" s="423" t="str">
        <f aca="false">IF(ABS(t-T_para)&lt;pas/2,"Para","")</f>
        <v/>
      </c>
      <c r="AA164" s="424" t="str">
        <f aca="false">IF(ABS(t-T_satellite)&lt;pas/2,"Satellite","")</f>
        <v/>
      </c>
      <c r="AB164" s="412"/>
      <c r="AC164" s="420" t="e">
        <f aca="false">IF(ABS(t-ROUND(t,0))&lt;0.001,t,NA())</f>
        <v>#N/A</v>
      </c>
      <c r="AD164" s="425" t="e">
        <f aca="false">IF(ABS(t-ROUND(t,0))&lt;0.001,pos_x,NA())</f>
        <v>#N/A</v>
      </c>
      <c r="AE164" s="426" t="n">
        <f aca="false">IF(t&lt;T_para, pos_z, NA())</f>
        <v>105.179273843418</v>
      </c>
      <c r="AF164" s="412"/>
      <c r="AG164" s="418" t="n">
        <f aca="false">IF(AND(L163&lt;L_rampe,Poussee&lt;Poids*SIN(M163)),0,(-W163+Poussee)/m-Poids*SIN(M163)/m)</f>
        <v>65.2312404155176</v>
      </c>
      <c r="AH164" s="417" t="n">
        <f aca="false">IF(AND(L163&lt;L_rampe,Poussee&lt;Poids*SIN(M163)), g*SIN(M163), (-W163+Poussee)/m)</f>
        <v>74.8273239801607</v>
      </c>
    </row>
    <row r="165" customFormat="false" ht="12" hidden="false" customHeight="false" outlineLevel="0" collapsed="false">
      <c r="A165" s="416" t="n">
        <f aca="false">IF(B164+0.01&lt;=T_ini+ROUNDUP(Temps_fin_propu,0), 0.01, IF(K164&gt;0, 0.1, 0.0001))</f>
        <v>0.01</v>
      </c>
      <c r="B165" s="417" t="n">
        <f aca="false">B164+pas</f>
        <v>1.61</v>
      </c>
      <c r="C165" s="401"/>
      <c r="D165" s="418" t="n">
        <f aca="false">IF(AND(L164&lt;L_rampe,Poussee&lt;Poids*SIN(M164)),0,(-W164+Poussee)/m*COS(M164)-U164/m*SIN(M164))</f>
        <v>15.5038932309634</v>
      </c>
      <c r="E165" s="419" t="n">
        <f aca="false">IF(AND(L164&lt;L_rampe,Poussee&lt;Poids*SIN(M164)),0,(-W164+Poussee)/m*SIN(M164)+U164/m*COS(M164)-Poids/m)</f>
        <v>63.1533580912763</v>
      </c>
      <c r="F165" s="417" t="n">
        <f aca="false">SQRT(acc_x^2+acc_z^2)</f>
        <v>65.0285886631572</v>
      </c>
      <c r="G165" s="418" t="n">
        <f aca="false">G164+acc_x*pas</f>
        <v>26.8532816350958</v>
      </c>
      <c r="H165" s="419" t="n">
        <f aca="false">H164+acc_z*pas</f>
        <v>126.276970743804</v>
      </c>
      <c r="I165" s="417" t="n">
        <f aca="false">SQRT(vit_x^2+vit_z^2)</f>
        <v>129.100627708797</v>
      </c>
      <c r="J165" s="418" t="n">
        <f aca="false">J164+0.5*(vit_x+G164)*pas*(K164&gt;=0)</f>
        <v>21.3899817773028</v>
      </c>
      <c r="K165" s="419" t="n">
        <f aca="false">K164+0.5*(vit_z+H164)*pas</f>
        <v>106.438885882952</v>
      </c>
      <c r="L165" s="417" t="n">
        <f aca="false">SQRT(pos_x^2+pos_z^2)</f>
        <v>108.566881453035</v>
      </c>
      <c r="M165" s="418" t="n">
        <f aca="false">IF(AND(L164&gt;L_rampe,G165&gt;0),ATAN2(G165,H165),$M$4)</f>
        <v>1.36126375345635</v>
      </c>
      <c r="N165" s="417" t="n">
        <f aca="false">DEGREES(Beta)</f>
        <v>77.994667877186</v>
      </c>
      <c r="O165" s="401"/>
      <c r="P165" s="420" t="n">
        <f aca="false">MATCH(t-pas/2-T_ini,CdP_t)</f>
        <v>5</v>
      </c>
      <c r="Q165" s="417" t="n">
        <f aca="false">(INDEX(CdP,2,i_P+1)-INDEX(CdP,2,i_P+0))/(INDEX(CdP,1,i_P+1)-INDEX(CdP,1,i_P+0))*(t-pas/2-T_ini-INDEX(CdP,1,i_P+0))+INDEX(CdP,2,i_P+0)</f>
        <v>643.67</v>
      </c>
      <c r="R165" s="418" t="n">
        <f aca="false">Poussee/(g*ISP)</f>
        <v>0.32302798330718</v>
      </c>
      <c r="S165" s="419" t="n">
        <f aca="false">S164-Débit*pas</f>
        <v>7.80468244236944</v>
      </c>
      <c r="T165" s="417" t="n">
        <f aca="false">m*g</f>
        <v>76.5639347596442</v>
      </c>
      <c r="U165" s="421" t="n">
        <f aca="false">IF(pos_xz&lt;L_rampe,Poids*COS(Beta),0)</f>
        <v>0</v>
      </c>
      <c r="V165" s="418" t="n">
        <f aca="false">Rho_moyen*(20000-Alt_rampe-pos_z)/(20000+Alt_rampe+pos_z)</f>
        <v>1.21203026070935</v>
      </c>
      <c r="W165" s="417" t="n">
        <f aca="false">1/2*Rho*Sref*Cx*vit_xz^2</f>
        <v>62.116343499375</v>
      </c>
      <c r="X165" s="401"/>
      <c r="Y165" s="422" t="str">
        <f aca="false">IF(AND(pos_z&lt;=0,K164&gt;0),"Impact balistique","") &amp; IF(AND(H166&lt;0,vit_z&gt;=0),"Apogée","") &amp; IF(AND(Poussee=0,Q164&gt;0),"Fin de propulsion","") &amp; IF(AND(L166&gt;L_rampe,pos_xz&lt;=L_rampe),"Sortie de rampe","")</f>
        <v/>
      </c>
      <c r="Z165" s="423" t="str">
        <f aca="false">IF(ABS(t-T_para)&lt;pas/2,"Para","")</f>
        <v/>
      </c>
      <c r="AA165" s="424" t="str">
        <f aca="false">IF(ABS(t-T_satellite)&lt;pas/2,"Satellite","")</f>
        <v/>
      </c>
      <c r="AB165" s="412"/>
      <c r="AC165" s="420" t="e">
        <f aca="false">IF(ABS(t-ROUND(t,0))&lt;0.001,t,NA())</f>
        <v>#N/A</v>
      </c>
      <c r="AD165" s="425" t="e">
        <f aca="false">IF(ABS(t-ROUND(t,0))&lt;0.001,pos_x,NA())</f>
        <v>#N/A</v>
      </c>
      <c r="AE165" s="426" t="n">
        <f aca="false">IF(t&lt;T_para, pos_z, NA())</f>
        <v>106.438885882952</v>
      </c>
      <c r="AF165" s="412"/>
      <c r="AG165" s="418" t="n">
        <f aca="false">IF(AND(L164&lt;L_rampe,Poussee&lt;Poids*SIN(M164)),0,(-W164+Poussee)/m-Poids*SIN(M164)/m)</f>
        <v>64.9966142083354</v>
      </c>
      <c r="AH165" s="417" t="n">
        <f aca="false">IF(AND(L164&lt;L_rampe,Poussee&lt;Poids*SIN(M164)), g*SIN(M164), (-W164+Poussee)/m)</f>
        <v>74.5923744713421</v>
      </c>
    </row>
    <row r="166" customFormat="false" ht="12" hidden="false" customHeight="false" outlineLevel="0" collapsed="false">
      <c r="A166" s="416" t="n">
        <f aca="false">IF(B165+0.01&lt;=T_ini+ROUNDUP(Temps_fin_propu,0), 0.01, IF(K165&gt;0, 0.1, 0.0001))</f>
        <v>0.01</v>
      </c>
      <c r="B166" s="417" t="n">
        <f aca="false">B165+pas</f>
        <v>1.62</v>
      </c>
      <c r="C166" s="401"/>
      <c r="D166" s="418" t="n">
        <f aca="false">IF(AND(L165&lt;L_rampe,Poussee&lt;Poids*SIN(M165)),0,(-W165+Poussee)/m*COS(M165)-U165/m*SIN(M165))</f>
        <v>15.4664724208524</v>
      </c>
      <c r="E166" s="419" t="n">
        <f aca="false">IF(AND(L165&lt;L_rampe,Poussee&lt;Poids*SIN(M165)),0,(-W165+Poussee)/m*SIN(M165)+U165/m*COS(M165)-Poids/m)</f>
        <v>62.92074896162</v>
      </c>
      <c r="F166" s="417" t="n">
        <f aca="false">SQRT(acc_x^2+acc_z^2)</f>
        <v>64.7937683657633</v>
      </c>
      <c r="G166" s="418" t="n">
        <f aca="false">G165+acc_x*pas</f>
        <v>27.0079463593043</v>
      </c>
      <c r="H166" s="419" t="n">
        <f aca="false">H165+acc_z*pas</f>
        <v>126.90617823342</v>
      </c>
      <c r="I166" s="417" t="n">
        <f aca="false">SQRT(vit_x^2+vit_z^2)</f>
        <v>129.74824561573</v>
      </c>
      <c r="J166" s="418" t="n">
        <f aca="false">J165+0.5*(vit_x+G165)*pas*(K165&gt;=0)</f>
        <v>21.6592879172748</v>
      </c>
      <c r="K166" s="419" t="n">
        <f aca="false">K165+0.5*(vit_z+H165)*pas</f>
        <v>107.704801627838</v>
      </c>
      <c r="L166" s="417" t="n">
        <f aca="false">SQRT(pos_x^2+pos_z^2)</f>
        <v>109.861044263994</v>
      </c>
      <c r="M166" s="418" t="n">
        <f aca="false">IF(AND(L165&gt;L_rampe,G166&gt;0),ATAN2(G166,H166),$M$4)</f>
        <v>1.36110648684549</v>
      </c>
      <c r="N166" s="417" t="n">
        <f aca="false">DEGREES(Beta)</f>
        <v>77.9856571641251</v>
      </c>
      <c r="O166" s="401"/>
      <c r="P166" s="420" t="n">
        <f aca="false">MATCH(t-pas/2-T_ini,CdP_t)</f>
        <v>5</v>
      </c>
      <c r="Q166" s="417" t="n">
        <f aca="false">(INDEX(CdP,2,i_P+1)-INDEX(CdP,2,i_P+0))/(INDEX(CdP,1,i_P+1)-INDEX(CdP,1,i_P+0))*(t-pas/2-T_ini-INDEX(CdP,1,i_P+0))+INDEX(CdP,2,i_P+0)</f>
        <v>642.21</v>
      </c>
      <c r="R166" s="418" t="n">
        <f aca="false">Poussee/(g*ISP)</f>
        <v>0.322295277331093</v>
      </c>
      <c r="S166" s="419" t="n">
        <f aca="false">S165-Débit*pas</f>
        <v>7.80145948959613</v>
      </c>
      <c r="T166" s="417" t="n">
        <f aca="false">m*g</f>
        <v>76.5323175929381</v>
      </c>
      <c r="U166" s="421" t="n">
        <f aca="false">IF(pos_xz&lt;L_rampe,Poids*COS(Beta),0)</f>
        <v>0</v>
      </c>
      <c r="V166" s="418" t="n">
        <f aca="false">Rho_moyen*(20000-Alt_rampe-pos_z)/(20000+Alt_rampe+pos_z)</f>
        <v>1.21187683320441</v>
      </c>
      <c r="W166" s="417" t="n">
        <f aca="false">1/2*Rho*Sref*Cx*vit_xz^2</f>
        <v>62.7331628423185</v>
      </c>
      <c r="X166" s="401"/>
      <c r="Y166" s="422" t="str">
        <f aca="false">IF(AND(pos_z&lt;=0,K165&gt;0),"Impact balistique","") &amp; IF(AND(H167&lt;0,vit_z&gt;=0),"Apogée","") &amp; IF(AND(Poussee=0,Q165&gt;0),"Fin de propulsion","") &amp; IF(AND(L167&gt;L_rampe,pos_xz&lt;=L_rampe),"Sortie de rampe","")</f>
        <v/>
      </c>
      <c r="Z166" s="423" t="str">
        <f aca="false">IF(ABS(t-T_para)&lt;pas/2,"Para","")</f>
        <v/>
      </c>
      <c r="AA166" s="424" t="str">
        <f aca="false">IF(ABS(t-T_satellite)&lt;pas/2,"Satellite","")</f>
        <v/>
      </c>
      <c r="AB166" s="412"/>
      <c r="AC166" s="420" t="e">
        <f aca="false">IF(ABS(t-ROUND(t,0))&lt;0.001,t,NA())</f>
        <v>#N/A</v>
      </c>
      <c r="AD166" s="425" t="e">
        <f aca="false">IF(ABS(t-ROUND(t,0))&lt;0.001,pos_x,NA())</f>
        <v>#N/A</v>
      </c>
      <c r="AE166" s="426" t="n">
        <f aca="false">IF(t&lt;T_para, pos_z, NA())</f>
        <v>107.704801627838</v>
      </c>
      <c r="AF166" s="412"/>
      <c r="AG166" s="418" t="n">
        <f aca="false">IF(AND(L165&lt;L_rampe,Poussee&lt;Poids*SIN(M165)),0,(-W165+Poussee)/m-Poids*SIN(M165)/m)</f>
        <v>64.7616302415052</v>
      </c>
      <c r="AH166" s="417" t="n">
        <f aca="false">IF(AND(L165&lt;L_rampe,Poussee&lt;Poids*SIN(M165)), g*SIN(M165), (-W165+Poussee)/m)</f>
        <v>74.3570683503806</v>
      </c>
    </row>
    <row r="167" customFormat="false" ht="12" hidden="false" customHeight="false" outlineLevel="0" collapsed="false">
      <c r="A167" s="416" t="n">
        <f aca="false">IF(B166+0.01&lt;=T_ini+ROUNDUP(Temps_fin_propu,0), 0.01, IF(K166&gt;0, 0.1, 0.0001))</f>
        <v>0.01</v>
      </c>
      <c r="B167" s="417" t="n">
        <f aca="false">B166+pas</f>
        <v>1.63</v>
      </c>
      <c r="C167" s="401"/>
      <c r="D167" s="418" t="n">
        <f aca="false">IF(AND(L166&lt;L_rampe,Poussee&lt;Poids*SIN(M166)),0,(-W166+Poussee)/m*COS(M166)-U166/m*SIN(M166))</f>
        <v>15.4288566922025</v>
      </c>
      <c r="E167" s="419" t="n">
        <f aca="false">IF(AND(L166&lt;L_rampe,Poussee&lt;Poids*SIN(M166)),0,(-W166+Poussee)/m*SIN(M166)+U166/m*COS(M166)-Poids/m)</f>
        <v>62.6878201329998</v>
      </c>
      <c r="F167" s="417" t="n">
        <f aca="false">SQRT(acc_x^2+acc_z^2)</f>
        <v>64.5585967308449</v>
      </c>
      <c r="G167" s="418" t="n">
        <f aca="false">G166+acc_x*pas</f>
        <v>27.1622349262263</v>
      </c>
      <c r="H167" s="419" t="n">
        <f aca="false">H166+acc_z*pas</f>
        <v>127.53305643475</v>
      </c>
      <c r="I167" s="417" t="n">
        <f aca="false">SQRT(vit_x^2+vit_z^2)</f>
        <v>130.393510152065</v>
      </c>
      <c r="J167" s="418" t="n">
        <f aca="false">J166+0.5*(vit_x+G166)*pas*(K166&gt;=0)</f>
        <v>21.9301388237025</v>
      </c>
      <c r="K167" s="419" t="n">
        <f aca="false">K166+0.5*(vit_z+H166)*pas</f>
        <v>108.976997801179</v>
      </c>
      <c r="L167" s="417" t="n">
        <f aca="false">SQRT(pos_x^2+pos_z^2)</f>
        <v>111.161670725952</v>
      </c>
      <c r="M167" s="418" t="n">
        <f aca="false">IF(AND(L166&gt;L_rampe,G167&gt;0),ATAN2(G167,H167),$M$4)</f>
        <v>1.36094988275532</v>
      </c>
      <c r="N167" s="417" t="n">
        <f aca="false">DEGREES(Beta)</f>
        <v>77.9766844107041</v>
      </c>
      <c r="O167" s="401"/>
      <c r="P167" s="420" t="n">
        <f aca="false">MATCH(t-pas/2-T_ini,CdP_t)</f>
        <v>5</v>
      </c>
      <c r="Q167" s="417" t="n">
        <f aca="false">(INDEX(CdP,2,i_P+1)-INDEX(CdP,2,i_P+0))/(INDEX(CdP,1,i_P+1)-INDEX(CdP,1,i_P+0))*(t-pas/2-T_ini-INDEX(CdP,1,i_P+0))+INDEX(CdP,2,i_P+0)</f>
        <v>640.75</v>
      </c>
      <c r="R167" s="418" t="n">
        <f aca="false">Poussee/(g*ISP)</f>
        <v>0.321562571355005</v>
      </c>
      <c r="S167" s="419" t="n">
        <f aca="false">S166-Débit*pas</f>
        <v>7.79824386388258</v>
      </c>
      <c r="T167" s="417" t="n">
        <f aca="false">m*g</f>
        <v>76.5007723046881</v>
      </c>
      <c r="U167" s="421" t="n">
        <f aca="false">IF(pos_xz&lt;L_rampe,Poids*COS(Beta),0)</f>
        <v>0</v>
      </c>
      <c r="V167" s="418" t="n">
        <f aca="false">Rho_moyen*(20000-Alt_rampe-pos_z)/(20000+Alt_rampe+pos_z)</f>
        <v>1.21172266398027</v>
      </c>
      <c r="W167" s="417" t="n">
        <f aca="false">1/2*Rho*Sref*Cx*vit_xz^2</f>
        <v>63.3506238889214</v>
      </c>
      <c r="X167" s="401"/>
      <c r="Y167" s="422" t="str">
        <f aca="false">IF(AND(pos_z&lt;=0,K166&gt;0),"Impact balistique","") &amp; IF(AND(H168&lt;0,vit_z&gt;=0),"Apogée","") &amp; IF(AND(Poussee=0,Q166&gt;0),"Fin de propulsion","") &amp; IF(AND(L168&gt;L_rampe,pos_xz&lt;=L_rampe),"Sortie de rampe","")</f>
        <v/>
      </c>
      <c r="Z167" s="423" t="str">
        <f aca="false">IF(ABS(t-T_para)&lt;pas/2,"Para","")</f>
        <v/>
      </c>
      <c r="AA167" s="424" t="str">
        <f aca="false">IF(ABS(t-T_satellite)&lt;pas/2,"Satellite","")</f>
        <v/>
      </c>
      <c r="AB167" s="412"/>
      <c r="AC167" s="420" t="e">
        <f aca="false">IF(ABS(t-ROUND(t,0))&lt;0.001,t,NA())</f>
        <v>#N/A</v>
      </c>
      <c r="AD167" s="425" t="e">
        <f aca="false">IF(ABS(t-ROUND(t,0))&lt;0.001,pos_x,NA())</f>
        <v>#N/A</v>
      </c>
      <c r="AE167" s="426" t="n">
        <f aca="false">IF(t&lt;T_para, pos_z, NA())</f>
        <v>108.976997801179</v>
      </c>
      <c r="AF167" s="412"/>
      <c r="AG167" s="418" t="n">
        <f aca="false">IF(AND(L166&lt;L_rampe,Poussee&lt;Poids*SIN(M166)),0,(-W166+Poussee)/m-Poids*SIN(M166)/m)</f>
        <v>64.526293739547</v>
      </c>
      <c r="AH167" s="417" t="n">
        <f aca="false">IF(AND(L166&lt;L_rampe,Poussee&lt;Poids*SIN(M166)), g*SIN(M166), (-W166+Poussee)/m)</f>
        <v>74.1214108261932</v>
      </c>
    </row>
    <row r="168" customFormat="false" ht="12" hidden="false" customHeight="false" outlineLevel="0" collapsed="false">
      <c r="A168" s="416" t="n">
        <f aca="false">IF(B167+0.01&lt;=T_ini+ROUNDUP(Temps_fin_propu,0), 0.01, IF(K167&gt;0, 0.1, 0.0001))</f>
        <v>0.01</v>
      </c>
      <c r="B168" s="417" t="n">
        <f aca="false">B167+pas</f>
        <v>1.64</v>
      </c>
      <c r="C168" s="401"/>
      <c r="D168" s="418" t="n">
        <f aca="false">IF(AND(L167&lt;L_rampe,Poussee&lt;Poids*SIN(M167)),0,(-W167+Poussee)/m*COS(M167)-U167/m*SIN(M167))</f>
        <v>15.3910480896058</v>
      </c>
      <c r="E168" s="419" t="n">
        <f aca="false">IF(AND(L167&lt;L_rampe,Poussee&lt;Poids*SIN(M167)),0,(-W167+Poussee)/m*SIN(M167)+U167/m*COS(M167)-Poids/m)</f>
        <v>62.4545765318234</v>
      </c>
      <c r="F168" s="417" t="n">
        <f aca="false">SQRT(acc_x^2+acc_z^2)</f>
        <v>64.3230789924266</v>
      </c>
      <c r="G168" s="418" t="n">
        <f aca="false">G167+acc_x*pas</f>
        <v>27.3161454071224</v>
      </c>
      <c r="H168" s="419" t="n">
        <f aca="false">H167+acc_z*pas</f>
        <v>128.157602200069</v>
      </c>
      <c r="I168" s="417" t="n">
        <f aca="false">SQRT(vit_x^2+vit_z^2)</f>
        <v>131.036417844713</v>
      </c>
      <c r="J168" s="418" t="n">
        <f aca="false">J167+0.5*(vit_x+G167)*pas*(K167&gt;=0)</f>
        <v>22.2025307253692</v>
      </c>
      <c r="K168" s="419" t="n">
        <f aca="false">K167+0.5*(vit_z+H167)*pas</f>
        <v>110.255451094353</v>
      </c>
      <c r="L168" s="417" t="n">
        <f aca="false">SQRT(pos_x^2+pos_z^2)</f>
        <v>112.468737285657</v>
      </c>
      <c r="M168" s="418" t="n">
        <f aca="false">IF(AND(L167&gt;L_rampe,G168&gt;0),ATAN2(G168,H168),$M$4)</f>
        <v>1.36079393234511</v>
      </c>
      <c r="N168" s="417" t="n">
        <f aca="false">DEGREES(Beta)</f>
        <v>77.9677491103855</v>
      </c>
      <c r="O168" s="401"/>
      <c r="P168" s="420" t="n">
        <f aca="false">MATCH(t-pas/2-T_ini,CdP_t)</f>
        <v>5</v>
      </c>
      <c r="Q168" s="417" t="n">
        <f aca="false">(INDEX(CdP,2,i_P+1)-INDEX(CdP,2,i_P+0))/(INDEX(CdP,1,i_P+1)-INDEX(CdP,1,i_P+0))*(t-pas/2-T_ini-INDEX(CdP,1,i_P+0))+INDEX(CdP,2,i_P+0)</f>
        <v>639.29</v>
      </c>
      <c r="R168" s="418" t="n">
        <f aca="false">Poussee/(g*ISP)</f>
        <v>0.320829865378917</v>
      </c>
      <c r="S168" s="419" t="n">
        <f aca="false">S167-Débit*pas</f>
        <v>7.79503556522879</v>
      </c>
      <c r="T168" s="417" t="n">
        <f aca="false">m*g</f>
        <v>76.4692988948945</v>
      </c>
      <c r="U168" s="421" t="n">
        <f aca="false">IF(pos_xz&lt;L_rampe,Poids*COS(Beta),0)</f>
        <v>0</v>
      </c>
      <c r="V168" s="418" t="n">
        <f aca="false">Rho_moyen*(20000-Alt_rampe-pos_z)/(20000+Alt_rampe+pos_z)</f>
        <v>1.21156775614621</v>
      </c>
      <c r="W168" s="417" t="n">
        <f aca="false">1/2*Rho*Sref*Cx*vit_xz^2</f>
        <v>63.9686879997701</v>
      </c>
      <c r="X168" s="401"/>
      <c r="Y168" s="422" t="str">
        <f aca="false">IF(AND(pos_z&lt;=0,K167&gt;0),"Impact balistique","") &amp; IF(AND(H169&lt;0,vit_z&gt;=0),"Apogée","") &amp; IF(AND(Poussee=0,Q167&gt;0),"Fin de propulsion","") &amp; IF(AND(L169&gt;L_rampe,pos_xz&lt;=L_rampe),"Sortie de rampe","")</f>
        <v/>
      </c>
      <c r="Z168" s="423" t="str">
        <f aca="false">IF(ABS(t-T_para)&lt;pas/2,"Para","")</f>
        <v/>
      </c>
      <c r="AA168" s="424" t="str">
        <f aca="false">IF(ABS(t-T_satellite)&lt;pas/2,"Satellite","")</f>
        <v/>
      </c>
      <c r="AB168" s="412"/>
      <c r="AC168" s="420" t="e">
        <f aca="false">IF(ABS(t-ROUND(t,0))&lt;0.001,t,NA())</f>
        <v>#N/A</v>
      </c>
      <c r="AD168" s="425" t="e">
        <f aca="false">IF(ABS(t-ROUND(t,0))&lt;0.001,pos_x,NA())</f>
        <v>#N/A</v>
      </c>
      <c r="AE168" s="426" t="n">
        <f aca="false">IF(t&lt;T_para, pos_z, NA())</f>
        <v>110.255451094353</v>
      </c>
      <c r="AF168" s="412"/>
      <c r="AG168" s="418" t="n">
        <f aca="false">IF(AND(L167&lt;L_rampe,Poussee&lt;Poids*SIN(M167)),0,(-W167+Poussee)/m-Poids*SIN(M167)/m)</f>
        <v>64.2906099209679</v>
      </c>
      <c r="AH168" s="417" t="n">
        <f aca="false">IF(AND(L167&lt;L_rampe,Poussee&lt;Poids*SIN(M167)), g*SIN(M167), (-W167+Poussee)/m)</f>
        <v>73.8854071019462</v>
      </c>
    </row>
    <row r="169" customFormat="false" ht="12" hidden="false" customHeight="false" outlineLevel="0" collapsed="false">
      <c r="A169" s="416" t="n">
        <f aca="false">IF(B168+0.01&lt;=T_ini+ROUNDUP(Temps_fin_propu,0), 0.01, IF(K168&gt;0, 0.1, 0.0001))</f>
        <v>0.01</v>
      </c>
      <c r="B169" s="417" t="n">
        <f aca="false">B168+pas</f>
        <v>1.65</v>
      </c>
      <c r="C169" s="401"/>
      <c r="D169" s="418" t="n">
        <f aca="false">IF(AND(L168&lt;L_rampe,Poussee&lt;Poids*SIN(M168)),0,(-W168+Poussee)/m*COS(M168)-U168/m*SIN(M168))</f>
        <v>15.3530486411086</v>
      </c>
      <c r="E169" s="419" t="n">
        <f aca="false">IF(AND(L168&lt;L_rampe,Poussee&lt;Poids*SIN(M168)),0,(-W168+Poussee)/m*SIN(M168)+U168/m*COS(M168)-Poids/m)</f>
        <v>62.2210230810409</v>
      </c>
      <c r="F169" s="417" t="n">
        <f aca="false">SQRT(acc_x^2+acc_z^2)</f>
        <v>64.0872203783849</v>
      </c>
      <c r="G169" s="418" t="n">
        <f aca="false">G168+acc_x*pas</f>
        <v>27.4696758935335</v>
      </c>
      <c r="H169" s="419" t="n">
        <f aca="false">H168+acc_z*pas</f>
        <v>128.779812430879</v>
      </c>
      <c r="I169" s="417" t="n">
        <f aca="false">SQRT(vit_x^2+vit_z^2)</f>
        <v>131.676965272701</v>
      </c>
      <c r="J169" s="418" t="n">
        <f aca="false">J168+0.5*(vit_x+G168)*pas*(K168&gt;=0)</f>
        <v>22.4764598318725</v>
      </c>
      <c r="K169" s="419" t="n">
        <f aca="false">K168+0.5*(vit_z+H168)*pas</f>
        <v>111.540138167508</v>
      </c>
      <c r="L169" s="417" t="n">
        <f aca="false">SQRT(pos_x^2+pos_z^2)</f>
        <v>113.782220355381</v>
      </c>
      <c r="M169" s="418" t="n">
        <f aca="false">IF(AND(L168&gt;L_rampe,G169&gt;0),ATAN2(G169,H169),$M$4)</f>
        <v>1.36063862692817</v>
      </c>
      <c r="N169" s="417" t="n">
        <f aca="false">DEGREES(Beta)</f>
        <v>77.9588507654597</v>
      </c>
      <c r="O169" s="401"/>
      <c r="P169" s="420" t="n">
        <f aca="false">MATCH(t-pas/2-T_ini,CdP_t)</f>
        <v>5</v>
      </c>
      <c r="Q169" s="417" t="n">
        <f aca="false">(INDEX(CdP,2,i_P+1)-INDEX(CdP,2,i_P+0))/(INDEX(CdP,1,i_P+1)-INDEX(CdP,1,i_P+0))*(t-pas/2-T_ini-INDEX(CdP,1,i_P+0))+INDEX(CdP,2,i_P+0)</f>
        <v>637.83</v>
      </c>
      <c r="R169" s="418" t="n">
        <f aca="false">Poussee/(g*ISP)</f>
        <v>0.320097159402829</v>
      </c>
      <c r="S169" s="419" t="n">
        <f aca="false">S168-Débit*pas</f>
        <v>7.79183459363476</v>
      </c>
      <c r="T169" s="417" t="n">
        <f aca="false">m*g</f>
        <v>76.437897363557</v>
      </c>
      <c r="U169" s="421" t="n">
        <f aca="false">IF(pos_xz&lt;L_rampe,Poids*COS(Beta),0)</f>
        <v>0</v>
      </c>
      <c r="V169" s="418" t="n">
        <f aca="false">Rho_moyen*(20000-Alt_rampe-pos_z)/(20000+Alt_rampe+pos_z)</f>
        <v>1.21141211281518</v>
      </c>
      <c r="W169" s="417" t="n">
        <f aca="false">1/2*Rho*Sref*Cx*vit_xz^2</f>
        <v>64.5873166668043</v>
      </c>
      <c r="X169" s="401"/>
      <c r="Y169" s="422" t="str">
        <f aca="false">IF(AND(pos_z&lt;=0,K168&gt;0),"Impact balistique","") &amp; IF(AND(H170&lt;0,vit_z&gt;=0),"Apogée","") &amp; IF(AND(Poussee=0,Q168&gt;0),"Fin de propulsion","") &amp; IF(AND(L170&gt;L_rampe,pos_xz&lt;=L_rampe),"Sortie de rampe","")</f>
        <v/>
      </c>
      <c r="Z169" s="423" t="str">
        <f aca="false">IF(ABS(t-T_para)&lt;pas/2,"Para","")</f>
        <v/>
      </c>
      <c r="AA169" s="424" t="str">
        <f aca="false">IF(ABS(t-T_satellite)&lt;pas/2,"Satellite","")</f>
        <v/>
      </c>
      <c r="AB169" s="412"/>
      <c r="AC169" s="420" t="e">
        <f aca="false">IF(ABS(t-ROUND(t,0))&lt;0.001,t,NA())</f>
        <v>#N/A</v>
      </c>
      <c r="AD169" s="425" t="e">
        <f aca="false">IF(ABS(t-ROUND(t,0))&lt;0.001,pos_x,NA())</f>
        <v>#N/A</v>
      </c>
      <c r="AE169" s="426" t="n">
        <f aca="false">IF(t&lt;T_para, pos_z, NA())</f>
        <v>111.540138167508</v>
      </c>
      <c r="AF169" s="412"/>
      <c r="AG169" s="418" t="n">
        <f aca="false">IF(AND(L168&lt;L_rampe,Poussee&lt;Poids*SIN(M168)),0,(-W168+Poussee)/m-Poids*SIN(M168)/m)</f>
        <v>64.054583997949</v>
      </c>
      <c r="AH169" s="417" t="n">
        <f aca="false">IF(AND(L168&lt;L_rampe,Poussee&lt;Poids*SIN(M168)), g*SIN(M168), (-W168+Poussee)/m)</f>
        <v>73.6490623747356</v>
      </c>
    </row>
    <row r="170" customFormat="false" ht="12" hidden="false" customHeight="false" outlineLevel="0" collapsed="false">
      <c r="A170" s="416" t="n">
        <f aca="false">IF(B169+0.01&lt;=T_ini+ROUNDUP(Temps_fin_propu,0), 0.01, IF(K169&gt;0, 0.1, 0.0001))</f>
        <v>0.01</v>
      </c>
      <c r="B170" s="417" t="n">
        <f aca="false">B169+pas</f>
        <v>1.66</v>
      </c>
      <c r="C170" s="401"/>
      <c r="D170" s="418" t="n">
        <f aca="false">IF(AND(L169&lt;L_rampe,Poussee&lt;Poids*SIN(M169)),0,(-W169+Poussee)/m*COS(M169)-U169/m*SIN(M169))</f>
        <v>15.3148603585361</v>
      </c>
      <c r="E170" s="419" t="n">
        <f aca="false">IF(AND(L169&lt;L_rampe,Poussee&lt;Poids*SIN(M169)),0,(-W169+Poussee)/m*SIN(M169)+U169/m*COS(M169)-Poids/m)</f>
        <v>61.9871646997722</v>
      </c>
      <c r="F170" s="417" t="n">
        <f aca="false">SQRT(acc_x^2+acc_z^2)</f>
        <v>63.8510261101428</v>
      </c>
      <c r="G170" s="418" t="n">
        <f aca="false">G169+acc_x*pas</f>
        <v>27.6228244971189</v>
      </c>
      <c r="H170" s="419" t="n">
        <f aca="false">H169+acc_z*pas</f>
        <v>129.399684077877</v>
      </c>
      <c r="I170" s="417" t="n">
        <f aca="false">SQRT(vit_x^2+vit_z^2)</f>
        <v>132.315149067115</v>
      </c>
      <c r="J170" s="418" t="n">
        <f aca="false">J169+0.5*(vit_x+G169)*pas*(K169&gt;=0)</f>
        <v>22.7519223338257</v>
      </c>
      <c r="K170" s="419" t="n">
        <f aca="false">K169+0.5*(vit_z+H169)*pas</f>
        <v>112.831035650051</v>
      </c>
      <c r="L170" s="417" t="n">
        <f aca="false">SQRT(pos_x^2+pos_z^2)</f>
        <v>115.102096313436</v>
      </c>
      <c r="M170" s="418" t="n">
        <f aca="false">IF(AND(L169&gt;L_rampe,G170&gt;0),ATAN2(G170,H170),$M$4)</f>
        <v>1.36048395796824</v>
      </c>
      <c r="N170" s="417" t="n">
        <f aca="false">DEGREES(Beta)</f>
        <v>77.9499888868339</v>
      </c>
      <c r="O170" s="401"/>
      <c r="P170" s="420" t="n">
        <f aca="false">MATCH(t-pas/2-T_ini,CdP_t)</f>
        <v>5</v>
      </c>
      <c r="Q170" s="417" t="n">
        <f aca="false">(INDEX(CdP,2,i_P+1)-INDEX(CdP,2,i_P+0))/(INDEX(CdP,1,i_P+1)-INDEX(CdP,1,i_P+0))*(t-pas/2-T_ini-INDEX(CdP,1,i_P+0))+INDEX(CdP,2,i_P+0)</f>
        <v>636.37</v>
      </c>
      <c r="R170" s="418" t="n">
        <f aca="false">Poussee/(g*ISP)</f>
        <v>0.319364453426741</v>
      </c>
      <c r="S170" s="419" t="n">
        <f aca="false">S169-Débit*pas</f>
        <v>7.7886409491005</v>
      </c>
      <c r="T170" s="417" t="n">
        <f aca="false">m*g</f>
        <v>76.4065677106759</v>
      </c>
      <c r="U170" s="421" t="n">
        <f aca="false">IF(pos_xz&lt;L_rampe,Poids*COS(Beta),0)</f>
        <v>0</v>
      </c>
      <c r="V170" s="418" t="n">
        <f aca="false">Rho_moyen*(20000-Alt_rampe-pos_z)/(20000+Alt_rampe+pos_z)</f>
        <v>1.21125573710371</v>
      </c>
      <c r="W170" s="417" t="n">
        <f aca="false">1/2*Rho*Sref*Cx*vit_xz^2</f>
        <v>65.2064715152821</v>
      </c>
      <c r="X170" s="401"/>
      <c r="Y170" s="422" t="str">
        <f aca="false">IF(AND(pos_z&lt;=0,K169&gt;0),"Impact balistique","") &amp; IF(AND(H171&lt;0,vit_z&gt;=0),"Apogée","") &amp; IF(AND(Poussee=0,Q169&gt;0),"Fin de propulsion","") &amp; IF(AND(L171&gt;L_rampe,pos_xz&lt;=L_rampe),"Sortie de rampe","")</f>
        <v/>
      </c>
      <c r="Z170" s="423" t="str">
        <f aca="false">IF(ABS(t-T_para)&lt;pas/2,"Para","")</f>
        <v/>
      </c>
      <c r="AA170" s="424" t="str">
        <f aca="false">IF(ABS(t-T_satellite)&lt;pas/2,"Satellite","")</f>
        <v/>
      </c>
      <c r="AB170" s="412"/>
      <c r="AC170" s="420" t="e">
        <f aca="false">IF(ABS(t-ROUND(t,0))&lt;0.001,t,NA())</f>
        <v>#N/A</v>
      </c>
      <c r="AD170" s="425" t="e">
        <f aca="false">IF(ABS(t-ROUND(t,0))&lt;0.001,pos_x,NA())</f>
        <v>#N/A</v>
      </c>
      <c r="AE170" s="426" t="n">
        <f aca="false">IF(t&lt;T_para, pos_z, NA())</f>
        <v>112.831035650051</v>
      </c>
      <c r="AF170" s="412"/>
      <c r="AG170" s="418" t="n">
        <f aca="false">IF(AND(L169&lt;L_rampe,Poussee&lt;Poids*SIN(M169)),0,(-W169+Poussee)/m-Poids*SIN(M169)/m)</f>
        <v>63.8182211760354</v>
      </c>
      <c r="AH170" s="417" t="n">
        <f aca="false">IF(AND(L169&lt;L_rampe,Poussee&lt;Poids*SIN(M169)), g*SIN(M169), (-W169+Poussee)/m)</f>
        <v>73.4123818352713</v>
      </c>
    </row>
    <row r="171" customFormat="false" ht="12" hidden="false" customHeight="false" outlineLevel="0" collapsed="false">
      <c r="A171" s="416" t="n">
        <f aca="false">IF(B170+0.01&lt;=T_ini+ROUNDUP(Temps_fin_propu,0), 0.01, IF(K170&gt;0, 0.1, 0.0001))</f>
        <v>0.01</v>
      </c>
      <c r="B171" s="417" t="n">
        <f aca="false">B170+pas</f>
        <v>1.67</v>
      </c>
      <c r="C171" s="401"/>
      <c r="D171" s="418" t="n">
        <f aca="false">IF(AND(L170&lt;L_rampe,Poussee&lt;Poids*SIN(M170)),0,(-W170+Poussee)/m*COS(M170)-U170/m*SIN(M170))</f>
        <v>15.2764852378044</v>
      </c>
      <c r="E171" s="419" t="n">
        <f aca="false">IF(AND(L170&lt;L_rampe,Poussee&lt;Poids*SIN(M170)),0,(-W170+Poussee)/m*SIN(M170)+U170/m*COS(M170)-Poids/m)</f>
        <v>61.7530063029371</v>
      </c>
      <c r="F171" s="417" t="n">
        <f aca="false">SQRT(acc_x^2+acc_z^2)</f>
        <v>63.6145014023646</v>
      </c>
      <c r="G171" s="418" t="n">
        <f aca="false">G170+acc_x*pas</f>
        <v>27.7755893494969</v>
      </c>
      <c r="H171" s="419" t="n">
        <f aca="false">H170+acc_z*pas</f>
        <v>130.017214140906</v>
      </c>
      <c r="I171" s="417" t="n">
        <f aca="false">SQRT(vit_x^2+vit_z^2)</f>
        <v>132.950965911023</v>
      </c>
      <c r="J171" s="418" t="n">
        <f aca="false">J170+0.5*(vit_x+G170)*pas*(K170&gt;=0)</f>
        <v>23.0289144030588</v>
      </c>
      <c r="K171" s="419" t="n">
        <f aca="false">K170+0.5*(vit_z+H170)*pas</f>
        <v>114.128120141145</v>
      </c>
      <c r="L171" s="417" t="n">
        <f aca="false">SQRT(pos_x^2+pos_z^2)</f>
        <v>116.4283415047</v>
      </c>
      <c r="M171" s="418" t="n">
        <f aca="false">IF(AND(L170&gt;L_rampe,G171&gt;0),ATAN2(G171,H171),$M$4)</f>
        <v>1.36032991707586</v>
      </c>
      <c r="N171" s="417" t="n">
        <f aca="false">DEGREES(Beta)</f>
        <v>77.9411629938278</v>
      </c>
      <c r="O171" s="401"/>
      <c r="P171" s="420" t="n">
        <f aca="false">MATCH(t-pas/2-T_ini,CdP_t)</f>
        <v>5</v>
      </c>
      <c r="Q171" s="417" t="n">
        <f aca="false">(INDEX(CdP,2,i_P+1)-INDEX(CdP,2,i_P+0))/(INDEX(CdP,1,i_P+1)-INDEX(CdP,1,i_P+0))*(t-pas/2-T_ini-INDEX(CdP,1,i_P+0))+INDEX(CdP,2,i_P+0)</f>
        <v>634.91</v>
      </c>
      <c r="R171" s="418" t="n">
        <f aca="false">Poussee/(g*ISP)</f>
        <v>0.318631747450653</v>
      </c>
      <c r="S171" s="419" t="n">
        <f aca="false">S170-Débit*pas</f>
        <v>7.78545463162599</v>
      </c>
      <c r="T171" s="417" t="n">
        <f aca="false">m*g</f>
        <v>76.375309936251</v>
      </c>
      <c r="U171" s="421" t="n">
        <f aca="false">IF(pos_xz&lt;L_rampe,Poids*COS(Beta),0)</f>
        <v>0</v>
      </c>
      <c r="V171" s="418" t="n">
        <f aca="false">Rho_moyen*(20000-Alt_rampe-pos_z)/(20000+Alt_rampe+pos_z)</f>
        <v>1.21109863213182</v>
      </c>
      <c r="W171" s="417" t="n">
        <f aca="false">1/2*Rho*Sref*Cx*vit_xz^2</f>
        <v>65.8261143057244</v>
      </c>
      <c r="X171" s="401"/>
      <c r="Y171" s="422" t="str">
        <f aca="false">IF(AND(pos_z&lt;=0,K170&gt;0),"Impact balistique","") &amp; IF(AND(H172&lt;0,vit_z&gt;=0),"Apogée","") &amp; IF(AND(Poussee=0,Q170&gt;0),"Fin de propulsion","") &amp; IF(AND(L172&gt;L_rampe,pos_xz&lt;=L_rampe),"Sortie de rampe","")</f>
        <v/>
      </c>
      <c r="Z171" s="423" t="str">
        <f aca="false">IF(ABS(t-T_para)&lt;pas/2,"Para","")</f>
        <v/>
      </c>
      <c r="AA171" s="424" t="str">
        <f aca="false">IF(ABS(t-T_satellite)&lt;pas/2,"Satellite","")</f>
        <v/>
      </c>
      <c r="AB171" s="412"/>
      <c r="AC171" s="420" t="e">
        <f aca="false">IF(ABS(t-ROUND(t,0))&lt;0.001,t,NA())</f>
        <v>#N/A</v>
      </c>
      <c r="AD171" s="425" t="e">
        <f aca="false">IF(ABS(t-ROUND(t,0))&lt;0.001,pos_x,NA())</f>
        <v>#N/A</v>
      </c>
      <c r="AE171" s="426" t="n">
        <f aca="false">IF(t&lt;T_para, pos_z, NA())</f>
        <v>114.128120141145</v>
      </c>
      <c r="AF171" s="412"/>
      <c r="AG171" s="418" t="n">
        <f aca="false">IF(AND(L170&lt;L_rampe,Poussee&lt;Poids*SIN(M170)),0,(-W170+Poussee)/m-Poids*SIN(M170)/m)</f>
        <v>63.581526653827</v>
      </c>
      <c r="AH171" s="417" t="n">
        <f aca="false">IF(AND(L170&lt;L_rampe,Poussee&lt;Poids*SIN(M170)), g*SIN(M170), (-W170+Poussee)/m)</f>
        <v>73.1753706675618</v>
      </c>
    </row>
    <row r="172" customFormat="false" ht="12" hidden="false" customHeight="false" outlineLevel="0" collapsed="false">
      <c r="A172" s="416" t="n">
        <f aca="false">IF(B171+0.01&lt;=T_ini+ROUNDUP(Temps_fin_propu,0), 0.01, IF(K171&gt;0, 0.1, 0.0001))</f>
        <v>0.01</v>
      </c>
      <c r="B172" s="417" t="n">
        <f aca="false">B171+pas</f>
        <v>1.68</v>
      </c>
      <c r="C172" s="401"/>
      <c r="D172" s="418" t="n">
        <f aca="false">IF(AND(L171&lt;L_rampe,Poussee&lt;Poids*SIN(M171)),0,(-W171+Poussee)/m*COS(M171)-U171/m*SIN(M171))</f>
        <v>15.2379252592224</v>
      </c>
      <c r="E172" s="419" t="n">
        <f aca="false">IF(AND(L171&lt;L_rampe,Poussee&lt;Poids*SIN(M171)),0,(-W171+Poussee)/m*SIN(M171)+U171/m*COS(M171)-Poids/m)</f>
        <v>61.5185528008907</v>
      </c>
      <c r="F172" s="417" t="n">
        <f aca="false">SQRT(acc_x^2+acc_z^2)</f>
        <v>63.3776514626538</v>
      </c>
      <c r="G172" s="418" t="n">
        <f aca="false">G171+acc_x*pas</f>
        <v>27.9279686020891</v>
      </c>
      <c r="H172" s="419" t="n">
        <f aca="false">H171+acc_z*pas</f>
        <v>130.632399668915</v>
      </c>
      <c r="I172" s="417" t="n">
        <f aca="false">SQRT(vit_x^2+vit_z^2)</f>
        <v>133.584412539407</v>
      </c>
      <c r="J172" s="418" t="n">
        <f aca="false">J171+0.5*(vit_x+G171)*pas*(K171&gt;=0)</f>
        <v>23.3074321928168</v>
      </c>
      <c r="K172" s="419" t="n">
        <f aca="false">K171+0.5*(vit_z+H171)*pas</f>
        <v>115.431368210194</v>
      </c>
      <c r="L172" s="417" t="n">
        <f aca="false">SQRT(pos_x^2+pos_z^2)</f>
        <v>117.760932241131</v>
      </c>
      <c r="M172" s="418" t="n">
        <f aca="false">IF(AND(L171&gt;L_rampe,G172&gt;0),ATAN2(G172,H172),$M$4)</f>
        <v>1.36017649600492</v>
      </c>
      <c r="N172" s="417" t="n">
        <f aca="false">DEGREES(Beta)</f>
        <v>77.9323726139749</v>
      </c>
      <c r="O172" s="401"/>
      <c r="P172" s="420" t="n">
        <f aca="false">MATCH(t-pas/2-T_ini,CdP_t)</f>
        <v>5</v>
      </c>
      <c r="Q172" s="417" t="n">
        <f aca="false">(INDEX(CdP,2,i_P+1)-INDEX(CdP,2,i_P+0))/(INDEX(CdP,1,i_P+1)-INDEX(CdP,1,i_P+0))*(t-pas/2-T_ini-INDEX(CdP,1,i_P+0))+INDEX(CdP,2,i_P+0)</f>
        <v>633.45</v>
      </c>
      <c r="R172" s="418" t="n">
        <f aca="false">Poussee/(g*ISP)</f>
        <v>0.317899041474565</v>
      </c>
      <c r="S172" s="419" t="n">
        <f aca="false">S171-Débit*pas</f>
        <v>7.78227564121124</v>
      </c>
      <c r="T172" s="417" t="n">
        <f aca="false">m*g</f>
        <v>76.3441240402823</v>
      </c>
      <c r="U172" s="421" t="n">
        <f aca="false">IF(pos_xz&lt;L_rampe,Poids*COS(Beta),0)</f>
        <v>0</v>
      </c>
      <c r="V172" s="418" t="n">
        <f aca="false">Rho_moyen*(20000-Alt_rampe-pos_z)/(20000+Alt_rampe+pos_z)</f>
        <v>1.21094080102294</v>
      </c>
      <c r="W172" s="417" t="n">
        <f aca="false">1/2*Rho*Sref*Cx*vit_xz^2</f>
        <v>66.4462069358358</v>
      </c>
      <c r="X172" s="401"/>
      <c r="Y172" s="422" t="str">
        <f aca="false">IF(AND(pos_z&lt;=0,K171&gt;0),"Impact balistique","") &amp; IF(AND(H173&lt;0,vit_z&gt;=0),"Apogée","") &amp; IF(AND(Poussee=0,Q171&gt;0),"Fin de propulsion","") &amp; IF(AND(L173&gt;L_rampe,pos_xz&lt;=L_rampe),"Sortie de rampe","")</f>
        <v/>
      </c>
      <c r="Z172" s="423" t="str">
        <f aca="false">IF(ABS(t-T_para)&lt;pas/2,"Para","")</f>
        <v/>
      </c>
      <c r="AA172" s="424" t="str">
        <f aca="false">IF(ABS(t-T_satellite)&lt;pas/2,"Satellite","")</f>
        <v/>
      </c>
      <c r="AB172" s="412"/>
      <c r="AC172" s="420" t="e">
        <f aca="false">IF(ABS(t-ROUND(t,0))&lt;0.001,t,NA())</f>
        <v>#N/A</v>
      </c>
      <c r="AD172" s="425" t="e">
        <f aca="false">IF(ABS(t-ROUND(t,0))&lt;0.001,pos_x,NA())</f>
        <v>#N/A</v>
      </c>
      <c r="AE172" s="426" t="n">
        <f aca="false">IF(t&lt;T_para, pos_z, NA())</f>
        <v>115.431368210194</v>
      </c>
      <c r="AF172" s="412"/>
      <c r="AG172" s="418" t="n">
        <f aca="false">IF(AND(L171&lt;L_rampe,Poussee&lt;Poids*SIN(M171)),0,(-W171+Poussee)/m-Poids*SIN(M171)/m)</f>
        <v>63.3445056226722</v>
      </c>
      <c r="AH172" s="417" t="n">
        <f aca="false">IF(AND(L171&lt;L_rampe,Poussee&lt;Poids*SIN(M171)), g*SIN(M171), (-W171+Poussee)/m)</f>
        <v>72.9380340486025</v>
      </c>
    </row>
    <row r="173" customFormat="false" ht="12" hidden="false" customHeight="false" outlineLevel="0" collapsed="false">
      <c r="A173" s="416" t="n">
        <f aca="false">IF(B172+0.01&lt;=T_ini+ROUNDUP(Temps_fin_propu,0), 0.01, IF(K172&gt;0, 0.1, 0.0001))</f>
        <v>0.01</v>
      </c>
      <c r="B173" s="417" t="n">
        <f aca="false">B172+pas</f>
        <v>1.69</v>
      </c>
      <c r="C173" s="401"/>
      <c r="D173" s="418" t="n">
        <f aca="false">IF(AND(L172&lt;L_rampe,Poussee&lt;Poids*SIN(M172)),0,(-W172+Poussee)/m*COS(M172)-U172/m*SIN(M172))</f>
        <v>15.1991823877823</v>
      </c>
      <c r="E173" s="419" t="n">
        <f aca="false">IF(AND(L172&lt;L_rampe,Poussee&lt;Poids*SIN(M172)),0,(-W172+Poussee)/m*SIN(M172)+U172/m*COS(M172)-Poids/m)</f>
        <v>61.2838090990618</v>
      </c>
      <c r="F173" s="417" t="n">
        <f aca="false">SQRT(acc_x^2+acc_z^2)</f>
        <v>63.1404814912535</v>
      </c>
      <c r="G173" s="418" t="n">
        <f aca="false">G172+acc_x*pas</f>
        <v>28.0799604259669</v>
      </c>
      <c r="H173" s="419" t="n">
        <f aca="false">H172+acc_z*pas</f>
        <v>131.245237759906</v>
      </c>
      <c r="I173" s="417" t="n">
        <f aca="false">SQRT(vit_x^2+vit_z^2)</f>
        <v>134.215485739083</v>
      </c>
      <c r="J173" s="418" t="n">
        <f aca="false">J172+0.5*(vit_x+G172)*pas*(K172&gt;=0)</f>
        <v>23.587471837957</v>
      </c>
      <c r="K173" s="419" t="n">
        <f aca="false">K172+0.5*(vit_z+H172)*pas</f>
        <v>116.740756397338</v>
      </c>
      <c r="L173" s="417" t="n">
        <f aca="false">SQRT(pos_x^2+pos_z^2)</f>
        <v>119.099844802288</v>
      </c>
      <c r="M173" s="418" t="n">
        <f aca="false">IF(AND(L172&gt;L_rampe,G173&gt;0),ATAN2(G173,H173),$M$4)</f>
        <v>1.36002368664935</v>
      </c>
      <c r="N173" s="417" t="n">
        <f aca="false">DEGREES(Beta)</f>
        <v>77.9236172828303</v>
      </c>
      <c r="O173" s="401"/>
      <c r="P173" s="420" t="n">
        <f aca="false">MATCH(t-pas/2-T_ini,CdP_t)</f>
        <v>5</v>
      </c>
      <c r="Q173" s="417" t="n">
        <f aca="false">(INDEX(CdP,2,i_P+1)-INDEX(CdP,2,i_P+0))/(INDEX(CdP,1,i_P+1)-INDEX(CdP,1,i_P+0))*(t-pas/2-T_ini-INDEX(CdP,1,i_P+0))+INDEX(CdP,2,i_P+0)</f>
        <v>631.99</v>
      </c>
      <c r="R173" s="418" t="n">
        <f aca="false">Poussee/(g*ISP)</f>
        <v>0.317166335498477</v>
      </c>
      <c r="S173" s="419" t="n">
        <f aca="false">S172-Débit*pas</f>
        <v>7.77910397785626</v>
      </c>
      <c r="T173" s="417" t="n">
        <f aca="false">m*g</f>
        <v>76.3130100227699</v>
      </c>
      <c r="U173" s="421" t="n">
        <f aca="false">IF(pos_xz&lt;L_rampe,Poids*COS(Beta),0)</f>
        <v>0</v>
      </c>
      <c r="V173" s="418" t="n">
        <f aca="false">Rho_moyen*(20000-Alt_rampe-pos_z)/(20000+Alt_rampe+pos_z)</f>
        <v>1.21078224690386</v>
      </c>
      <c r="W173" s="417" t="n">
        <f aca="false">1/2*Rho*Sref*Cx*vit_xz^2</f>
        <v>67.0667114424031</v>
      </c>
      <c r="X173" s="401"/>
      <c r="Y173" s="422" t="str">
        <f aca="false">IF(AND(pos_z&lt;=0,K172&gt;0),"Impact balistique","") &amp; IF(AND(H174&lt;0,vit_z&gt;=0),"Apogée","") &amp; IF(AND(Poussee=0,Q172&gt;0),"Fin de propulsion","") &amp; IF(AND(L174&gt;L_rampe,pos_xz&lt;=L_rampe),"Sortie de rampe","")</f>
        <v/>
      </c>
      <c r="Z173" s="423" t="str">
        <f aca="false">IF(ABS(t-T_para)&lt;pas/2,"Para","")</f>
        <v/>
      </c>
      <c r="AA173" s="424" t="str">
        <f aca="false">IF(ABS(t-T_satellite)&lt;pas/2,"Satellite","")</f>
        <v/>
      </c>
      <c r="AB173" s="412"/>
      <c r="AC173" s="420" t="e">
        <f aca="false">IF(ABS(t-ROUND(t,0))&lt;0.001,t,NA())</f>
        <v>#N/A</v>
      </c>
      <c r="AD173" s="425" t="e">
        <f aca="false">IF(ABS(t-ROUND(t,0))&lt;0.001,pos_x,NA())</f>
        <v>#N/A</v>
      </c>
      <c r="AE173" s="426" t="n">
        <f aca="false">IF(t&lt;T_para, pos_z, NA())</f>
        <v>116.740756397338</v>
      </c>
      <c r="AF173" s="412"/>
      <c r="AG173" s="418" t="n">
        <f aca="false">IF(AND(L172&lt;L_rampe,Poussee&lt;Poids*SIN(M172)),0,(-W172+Poussee)/m-Poids*SIN(M172)/m)</f>
        <v>63.1071632663631</v>
      </c>
      <c r="AH173" s="417" t="n">
        <f aca="false">IF(AND(L172&lt;L_rampe,Poussee&lt;Poids*SIN(M172)), g*SIN(M172), (-W172+Poussee)/m)</f>
        <v>72.7003771480652</v>
      </c>
    </row>
    <row r="174" customFormat="false" ht="12" hidden="false" customHeight="false" outlineLevel="0" collapsed="false">
      <c r="A174" s="416" t="n">
        <f aca="false">IF(B173+0.01&lt;=T_ini+ROUNDUP(Temps_fin_propu,0), 0.01, IF(K173&gt;0, 0.1, 0.0001))</f>
        <v>0.01</v>
      </c>
      <c r="B174" s="417" t="n">
        <f aca="false">B173+pas</f>
        <v>1.7</v>
      </c>
      <c r="C174" s="401"/>
      <c r="D174" s="418" t="n">
        <f aca="false">IF(AND(L173&lt;L_rampe,Poussee&lt;Poids*SIN(M173)),0,(-W173+Poussee)/m*COS(M173)-U173/m*SIN(M173))</f>
        <v>15.1602585734401</v>
      </c>
      <c r="E174" s="419" t="n">
        <f aca="false">IF(AND(L173&lt;L_rampe,Poussee&lt;Poids*SIN(M173)),0,(-W173+Poussee)/m*SIN(M173)+U173/m*COS(M173)-Poids/m)</f>
        <v>61.0487800975959</v>
      </c>
      <c r="F174" s="417" t="n">
        <f aca="false">SQRT(acc_x^2+acc_z^2)</f>
        <v>62.902996680748</v>
      </c>
      <c r="G174" s="418" t="n">
        <f aca="false">G173+acc_x*pas</f>
        <v>28.2315630117013</v>
      </c>
      <c r="H174" s="419" t="n">
        <f aca="false">H173+acc_z*pas</f>
        <v>131.855725560882</v>
      </c>
      <c r="I174" s="417" t="n">
        <f aca="false">SQRT(vit_x^2+vit_z^2)</f>
        <v>134.844182348629</v>
      </c>
      <c r="J174" s="418" t="n">
        <f aca="false">J173+0.5*(vit_x+G173)*pas*(K173&gt;=0)</f>
        <v>23.8690294551454</v>
      </c>
      <c r="K174" s="419" t="n">
        <f aca="false">K173+0.5*(vit_z+H173)*pas</f>
        <v>118.056261213942</v>
      </c>
      <c r="L174" s="417" t="n">
        <f aca="false">SQRT(pos_x^2+pos_z^2)</f>
        <v>120.445055435851</v>
      </c>
      <c r="M174" s="418" t="n">
        <f aca="false">IF(AND(L173&gt;L_rampe,G174&gt;0),ATAN2(G174,H174),$M$4)</f>
        <v>1.35987148103977</v>
      </c>
      <c r="N174" s="417" t="n">
        <f aca="false">DEGREES(Beta)</f>
        <v>77.9148965437833</v>
      </c>
      <c r="O174" s="401"/>
      <c r="P174" s="420" t="n">
        <f aca="false">MATCH(t-pas/2-T_ini,CdP_t)</f>
        <v>5</v>
      </c>
      <c r="Q174" s="417" t="n">
        <f aca="false">(INDEX(CdP,2,i_P+1)-INDEX(CdP,2,i_P+0))/(INDEX(CdP,1,i_P+1)-INDEX(CdP,1,i_P+0))*(t-pas/2-T_ini-INDEX(CdP,1,i_P+0))+INDEX(CdP,2,i_P+0)</f>
        <v>630.53</v>
      </c>
      <c r="R174" s="418" t="n">
        <f aca="false">Poussee/(g*ISP)</f>
        <v>0.316433629522389</v>
      </c>
      <c r="S174" s="419" t="n">
        <f aca="false">S173-Débit*pas</f>
        <v>7.77593964156104</v>
      </c>
      <c r="T174" s="417" t="n">
        <f aca="false">m*g</f>
        <v>76.2819678837138</v>
      </c>
      <c r="U174" s="421" t="n">
        <f aca="false">IF(pos_xz&lt;L_rampe,Poids*COS(Beta),0)</f>
        <v>0</v>
      </c>
      <c r="V174" s="418" t="n">
        <f aca="false">Rho_moyen*(20000-Alt_rampe-pos_z)/(20000+Alt_rampe+pos_z)</f>
        <v>1.2106229729046</v>
      </c>
      <c r="W174" s="417" t="n">
        <f aca="false">1/2*Rho*Sref*Cx*vit_xz^2</f>
        <v>67.6875900031717</v>
      </c>
      <c r="X174" s="401"/>
      <c r="Y174" s="422" t="str">
        <f aca="false">IF(AND(pos_z&lt;=0,K173&gt;0),"Impact balistique","") &amp; IF(AND(H175&lt;0,vit_z&gt;=0),"Apogée","") &amp; IF(AND(Poussee=0,Q173&gt;0),"Fin de propulsion","") &amp; IF(AND(L175&gt;L_rampe,pos_xz&lt;=L_rampe),"Sortie de rampe","")</f>
        <v/>
      </c>
      <c r="Z174" s="423" t="str">
        <f aca="false">IF(ABS(t-T_para)&lt;pas/2,"Para","")</f>
        <v/>
      </c>
      <c r="AA174" s="424" t="str">
        <f aca="false">IF(ABS(t-T_satellite)&lt;pas/2,"Satellite","")</f>
        <v/>
      </c>
      <c r="AB174" s="412"/>
      <c r="AC174" s="420" t="e">
        <f aca="false">IF(ABS(t-ROUND(t,0))&lt;0.001,t,NA())</f>
        <v>#N/A</v>
      </c>
      <c r="AD174" s="425" t="e">
        <f aca="false">IF(ABS(t-ROUND(t,0))&lt;0.001,pos_x,NA())</f>
        <v>#N/A</v>
      </c>
      <c r="AE174" s="426" t="n">
        <f aca="false">IF(t&lt;T_para, pos_z, NA())</f>
        <v>118.056261213942</v>
      </c>
      <c r="AF174" s="412"/>
      <c r="AG174" s="418" t="n">
        <f aca="false">IF(AND(L173&lt;L_rampe,Poussee&lt;Poids*SIN(M173)),0,(-W173+Poussee)/m-Poids*SIN(M173)/m)</f>
        <v>62.869504760833</v>
      </c>
      <c r="AH174" s="417" t="n">
        <f aca="false">IF(AND(L173&lt;L_rampe,Poussee&lt;Poids*SIN(M173)), g*SIN(M173), (-W173+Poussee)/m)</f>
        <v>72.4624051279905</v>
      </c>
    </row>
    <row r="175" customFormat="false" ht="12" hidden="false" customHeight="false" outlineLevel="0" collapsed="false">
      <c r="A175" s="416" t="n">
        <f aca="false">IF(B174+0.01&lt;=T_ini+ROUNDUP(Temps_fin_propu,0), 0.01, IF(K174&gt;0, 0.1, 0.0001))</f>
        <v>0.01</v>
      </c>
      <c r="B175" s="417" t="n">
        <f aca="false">B174+pas</f>
        <v>1.71</v>
      </c>
      <c r="C175" s="401"/>
      <c r="D175" s="418" t="n">
        <f aca="false">IF(AND(L174&lt;L_rampe,Poussee&lt;Poids*SIN(M174)),0,(-W174+Poussee)/m*COS(M174)-U174/m*SIN(M174))</f>
        <v>15.1211557513856</v>
      </c>
      <c r="E175" s="419" t="n">
        <f aca="false">IF(AND(L174&lt;L_rampe,Poussee&lt;Poids*SIN(M174)),0,(-W174+Poussee)/m*SIN(M174)+U174/m*COS(M174)-Poids/m)</f>
        <v>60.8134706910015</v>
      </c>
      <c r="F175" s="417" t="n">
        <f aca="false">SQRT(acc_x^2+acc_z^2)</f>
        <v>62.665202215767</v>
      </c>
      <c r="G175" s="418" t="n">
        <f aca="false">G174+acc_x*pas</f>
        <v>28.3827745692152</v>
      </c>
      <c r="H175" s="419" t="n">
        <f aca="false">H174+acc_z*pas</f>
        <v>132.463860267792</v>
      </c>
      <c r="I175" s="417" t="n">
        <f aca="false">SQRT(vit_x^2+vit_z^2)</f>
        <v>135.470499258296</v>
      </c>
      <c r="J175" s="418" t="n">
        <f aca="false">J174+0.5*(vit_x+G174)*pas*(K174&gt;=0)</f>
        <v>24.15210114305</v>
      </c>
      <c r="K175" s="419" t="n">
        <f aca="false">K174+0.5*(vit_z+H174)*pas</f>
        <v>119.377859143086</v>
      </c>
      <c r="L175" s="417" t="n">
        <f aca="false">SQRT(pos_x^2+pos_z^2)</f>
        <v>121.796540358134</v>
      </c>
      <c r="M175" s="418" t="n">
        <f aca="false">IF(AND(L174&gt;L_rampe,G175&gt;0),ATAN2(G175,H175),$M$4)</f>
        <v>1.3597198713404</v>
      </c>
      <c r="N175" s="417" t="n">
        <f aca="false">DEGREES(Beta)</f>
        <v>77.906209947876</v>
      </c>
      <c r="O175" s="401"/>
      <c r="P175" s="420" t="n">
        <f aca="false">MATCH(t-pas/2-T_ini,CdP_t)</f>
        <v>5</v>
      </c>
      <c r="Q175" s="417" t="n">
        <f aca="false">(INDEX(CdP,2,i_P+1)-INDEX(CdP,2,i_P+0))/(INDEX(CdP,1,i_P+1)-INDEX(CdP,1,i_P+0))*(t-pas/2-T_ini-INDEX(CdP,1,i_P+0))+INDEX(CdP,2,i_P+0)</f>
        <v>629.07</v>
      </c>
      <c r="R175" s="418" t="n">
        <f aca="false">Poussee/(g*ISP)</f>
        <v>0.315700923546302</v>
      </c>
      <c r="S175" s="419" t="n">
        <f aca="false">S174-Débit*pas</f>
        <v>7.77278263232557</v>
      </c>
      <c r="T175" s="417" t="n">
        <f aca="false">m*g</f>
        <v>76.2509976231139</v>
      </c>
      <c r="U175" s="421" t="n">
        <f aca="false">IF(pos_xz&lt;L_rampe,Poids*COS(Beta),0)</f>
        <v>0</v>
      </c>
      <c r="V175" s="418" t="n">
        <f aca="false">Rho_moyen*(20000-Alt_rampe-pos_z)/(20000+Alt_rampe+pos_z)</f>
        <v>1.21046298215838</v>
      </c>
      <c r="W175" s="417" t="n">
        <f aca="false">1/2*Rho*Sref*Cx*vit_xz^2</f>
        <v>68.3088049386987</v>
      </c>
      <c r="X175" s="401"/>
      <c r="Y175" s="422" t="str">
        <f aca="false">IF(AND(pos_z&lt;=0,K174&gt;0),"Impact balistique","") &amp; IF(AND(H176&lt;0,vit_z&gt;=0),"Apogée","") &amp; IF(AND(Poussee=0,Q174&gt;0),"Fin de propulsion","") &amp; IF(AND(L176&gt;L_rampe,pos_xz&lt;=L_rampe),"Sortie de rampe","")</f>
        <v/>
      </c>
      <c r="Z175" s="423" t="str">
        <f aca="false">IF(ABS(t-T_para)&lt;pas/2,"Para","")</f>
        <v/>
      </c>
      <c r="AA175" s="424" t="str">
        <f aca="false">IF(ABS(t-T_satellite)&lt;pas/2,"Satellite","")</f>
        <v/>
      </c>
      <c r="AB175" s="412"/>
      <c r="AC175" s="420" t="e">
        <f aca="false">IF(ABS(t-ROUND(t,0))&lt;0.001,t,NA())</f>
        <v>#N/A</v>
      </c>
      <c r="AD175" s="425" t="e">
        <f aca="false">IF(ABS(t-ROUND(t,0))&lt;0.001,pos_x,NA())</f>
        <v>#N/A</v>
      </c>
      <c r="AE175" s="426" t="n">
        <f aca="false">IF(t&lt;T_para, pos_z, NA())</f>
        <v>119.377859143086</v>
      </c>
      <c r="AF175" s="412"/>
      <c r="AG175" s="418" t="n">
        <f aca="false">IF(AND(L174&lt;L_rampe,Poussee&lt;Poids*SIN(M174)),0,(-W174+Poussee)/m-Poids*SIN(M174)/m)</f>
        <v>62.6315352738561</v>
      </c>
      <c r="AH175" s="417" t="n">
        <f aca="false">IF(AND(L174&lt;L_rampe,Poussee&lt;Poids*SIN(M174)), g*SIN(M174), (-W174+Poussee)/m)</f>
        <v>72.2241231424821</v>
      </c>
    </row>
    <row r="176" customFormat="false" ht="12" hidden="false" customHeight="false" outlineLevel="0" collapsed="false">
      <c r="A176" s="416" t="n">
        <f aca="false">IF(B175+0.01&lt;=T_ini+ROUNDUP(Temps_fin_propu,0), 0.01, IF(K175&gt;0, 0.1, 0.0001))</f>
        <v>0.01</v>
      </c>
      <c r="B176" s="417" t="n">
        <f aca="false">B175+pas</f>
        <v>1.72</v>
      </c>
      <c r="C176" s="401"/>
      <c r="D176" s="418" t="n">
        <f aca="false">IF(AND(L175&lt;L_rampe,Poussee&lt;Poids*SIN(M175)),0,(-W175+Poussee)/m*COS(M175)-U175/m*SIN(M175))</f>
        <v>15.0818758423041</v>
      </c>
      <c r="E176" s="419" t="n">
        <f aca="false">IF(AND(L175&lt;L_rampe,Poussee&lt;Poids*SIN(M175)),0,(-W175+Poussee)/m*SIN(M175)+U175/m*COS(M175)-Poids/m)</f>
        <v>60.5778857678007</v>
      </c>
      <c r="F176" s="417" t="n">
        <f aca="false">SQRT(acc_x^2+acc_z^2)</f>
        <v>62.4271032726923</v>
      </c>
      <c r="G176" s="418" t="n">
        <f aca="false">G175+acc_x*pas</f>
        <v>28.5335933276382</v>
      </c>
      <c r="H176" s="419" t="n">
        <f aca="false">H175+acc_z*pas</f>
        <v>133.06963912547</v>
      </c>
      <c r="I176" s="417" t="n">
        <f aca="false">SQRT(vit_x^2+vit_z^2)</f>
        <v>136.09443340993</v>
      </c>
      <c r="J176" s="418" t="n">
        <f aca="false">J175+0.5*(vit_x+G175)*pas*(K175&gt;=0)</f>
        <v>24.4366829825342</v>
      </c>
      <c r="K176" s="419" t="n">
        <f aca="false">K175+0.5*(vit_z+H175)*pas</f>
        <v>120.705526640052</v>
      </c>
      <c r="L176" s="417" t="n">
        <f aca="false">SQRT(pos_x^2+pos_z^2)</f>
        <v>123.154275754605</v>
      </c>
      <c r="M176" s="418" t="n">
        <f aca="false">IF(AND(L175&gt;L_rampe,G176&gt;0),ATAN2(G176,H176),$M$4)</f>
        <v>1.35956884984592</v>
      </c>
      <c r="N176" s="417" t="n">
        <f aca="false">DEGREES(Beta)</f>
        <v>77.8975570536268</v>
      </c>
      <c r="O176" s="401"/>
      <c r="P176" s="420" t="n">
        <f aca="false">MATCH(t-pas/2-T_ini,CdP_t)</f>
        <v>5</v>
      </c>
      <c r="Q176" s="417" t="n">
        <f aca="false">(INDEX(CdP,2,i_P+1)-INDEX(CdP,2,i_P+0))/(INDEX(CdP,1,i_P+1)-INDEX(CdP,1,i_P+0))*(t-pas/2-T_ini-INDEX(CdP,1,i_P+0))+INDEX(CdP,2,i_P+0)</f>
        <v>627.61</v>
      </c>
      <c r="R176" s="418" t="n">
        <f aca="false">Poussee/(g*ISP)</f>
        <v>0.314968217570214</v>
      </c>
      <c r="S176" s="419" t="n">
        <f aca="false">S175-Débit*pas</f>
        <v>7.76963295014987</v>
      </c>
      <c r="T176" s="417" t="n">
        <f aca="false">m*g</f>
        <v>76.2200992409702</v>
      </c>
      <c r="U176" s="421" t="n">
        <f aca="false">IF(pos_xz&lt;L_rampe,Poids*COS(Beta),0)</f>
        <v>0</v>
      </c>
      <c r="V176" s="418" t="n">
        <f aca="false">Rho_moyen*(20000-Alt_rampe-pos_z)/(20000+Alt_rampe+pos_z)</f>
        <v>1.21030227780151</v>
      </c>
      <c r="W176" s="417" t="n">
        <f aca="false">1/2*Rho*Sref*Cx*vit_xz^2</f>
        <v>68.9303187141835</v>
      </c>
      <c r="X176" s="401"/>
      <c r="Y176" s="422" t="str">
        <f aca="false">IF(AND(pos_z&lt;=0,K175&gt;0),"Impact balistique","") &amp; IF(AND(H177&lt;0,vit_z&gt;=0),"Apogée","") &amp; IF(AND(Poussee=0,Q175&gt;0),"Fin de propulsion","") &amp; IF(AND(L177&gt;L_rampe,pos_xz&lt;=L_rampe),"Sortie de rampe","")</f>
        <v/>
      </c>
      <c r="Z176" s="423" t="str">
        <f aca="false">IF(ABS(t-T_para)&lt;pas/2,"Para","")</f>
        <v/>
      </c>
      <c r="AA176" s="424" t="str">
        <f aca="false">IF(ABS(t-T_satellite)&lt;pas/2,"Satellite","")</f>
        <v/>
      </c>
      <c r="AB176" s="412"/>
      <c r="AC176" s="420" t="e">
        <f aca="false">IF(ABS(t-ROUND(t,0))&lt;0.001,t,NA())</f>
        <v>#N/A</v>
      </c>
      <c r="AD176" s="425" t="e">
        <f aca="false">IF(ABS(t-ROUND(t,0))&lt;0.001,pos_x,NA())</f>
        <v>#N/A</v>
      </c>
      <c r="AE176" s="426" t="n">
        <f aca="false">IF(t&lt;T_para, pos_z, NA())</f>
        <v>120.705526640052</v>
      </c>
      <c r="AF176" s="412"/>
      <c r="AG176" s="418" t="n">
        <f aca="false">IF(AND(L175&lt;L_rampe,Poussee&lt;Poids*SIN(M175)),0,(-W175+Poussee)/m-Poids*SIN(M175)/m)</f>
        <v>62.3932599647492</v>
      </c>
      <c r="AH176" s="417" t="n">
        <f aca="false">IF(AND(L175&lt;L_rampe,Poussee&lt;Poids*SIN(M175)), g*SIN(M175), (-W175+Poussee)/m)</f>
        <v>71.9855363374035</v>
      </c>
    </row>
    <row r="177" customFormat="false" ht="12" hidden="false" customHeight="false" outlineLevel="0" collapsed="false">
      <c r="A177" s="416" t="n">
        <f aca="false">IF(B176+0.01&lt;=T_ini+ROUNDUP(Temps_fin_propu,0), 0.01, IF(K176&gt;0, 0.1, 0.0001))</f>
        <v>0.01</v>
      </c>
      <c r="B177" s="417" t="n">
        <f aca="false">B176+pas</f>
        <v>1.73</v>
      </c>
      <c r="C177" s="401"/>
      <c r="D177" s="418" t="n">
        <f aca="false">IF(AND(L176&lt;L_rampe,Poussee&lt;Poids*SIN(M176)),0,(-W176+Poussee)/m*COS(M176)-U176/m*SIN(M176))</f>
        <v>15.0424207526271</v>
      </c>
      <c r="E177" s="419" t="n">
        <f aca="false">IF(AND(L176&lt;L_rampe,Poussee&lt;Poids*SIN(M176)),0,(-W176+Poussee)/m*SIN(M176)+U176/m*COS(M176)-Poids/m)</f>
        <v>60.3420302101835</v>
      </c>
      <c r="F177" s="417" t="n">
        <f aca="false">SQRT(acc_x^2+acc_z^2)</f>
        <v>62.1887050193664</v>
      </c>
      <c r="G177" s="418" t="n">
        <f aca="false">G176+acc_x*pas</f>
        <v>28.6840175351645</v>
      </c>
      <c r="H177" s="419" t="n">
        <f aca="false">H176+acc_z*pas</f>
        <v>133.673059427571</v>
      </c>
      <c r="I177" s="417" t="n">
        <f aca="false">SQRT(vit_x^2+vit_z^2)</f>
        <v>136.715981796879</v>
      </c>
      <c r="J177" s="418" t="n">
        <f aca="false">J176+0.5*(vit_x+G176)*pas*(K176&gt;=0)</f>
        <v>24.7227710368482</v>
      </c>
      <c r="K177" s="419" t="n">
        <f aca="false">K176+0.5*(vit_z+H176)*pas</f>
        <v>122.039240132817</v>
      </c>
      <c r="L177" s="417" t="n">
        <f aca="false">SQRT(pos_x^2+pos_z^2)</f>
        <v>124.518237780398</v>
      </c>
      <c r="M177" s="418" t="n">
        <f aca="false">IF(AND(L176&gt;L_rampe,G177&gt;0),ATAN2(G177,H177),$M$4)</f>
        <v>1.35941840897853</v>
      </c>
      <c r="N177" s="417" t="n">
        <f aca="false">DEGREES(Beta)</f>
        <v>77.8889374268591</v>
      </c>
      <c r="O177" s="401"/>
      <c r="P177" s="420" t="n">
        <f aca="false">MATCH(t-pas/2-T_ini,CdP_t)</f>
        <v>5</v>
      </c>
      <c r="Q177" s="417" t="n">
        <f aca="false">(INDEX(CdP,2,i_P+1)-INDEX(CdP,2,i_P+0))/(INDEX(CdP,1,i_P+1)-INDEX(CdP,1,i_P+0))*(t-pas/2-T_ini-INDEX(CdP,1,i_P+0))+INDEX(CdP,2,i_P+0)</f>
        <v>626.15</v>
      </c>
      <c r="R177" s="418" t="n">
        <f aca="false">Poussee/(g*ISP)</f>
        <v>0.314235511594126</v>
      </c>
      <c r="S177" s="419" t="n">
        <f aca="false">S176-Débit*pas</f>
        <v>7.76649059503393</v>
      </c>
      <c r="T177" s="417" t="n">
        <f aca="false">m*g</f>
        <v>76.1892727372829</v>
      </c>
      <c r="U177" s="421" t="n">
        <f aca="false">IF(pos_xz&lt;L_rampe,Poids*COS(Beta),0)</f>
        <v>0</v>
      </c>
      <c r="V177" s="418" t="n">
        <f aca="false">Rho_moyen*(20000-Alt_rampe-pos_z)/(20000+Alt_rampe+pos_z)</f>
        <v>1.21014086297332</v>
      </c>
      <c r="W177" s="417" t="n">
        <f aca="false">1/2*Rho*Sref*Cx*vit_xz^2</f>
        <v>69.5520939412753</v>
      </c>
      <c r="X177" s="401"/>
      <c r="Y177" s="422" t="str">
        <f aca="false">IF(AND(pos_z&lt;=0,K176&gt;0),"Impact balistique","") &amp; IF(AND(H178&lt;0,vit_z&gt;=0),"Apogée","") &amp; IF(AND(Poussee=0,Q176&gt;0),"Fin de propulsion","") &amp; IF(AND(L178&gt;L_rampe,pos_xz&lt;=L_rampe),"Sortie de rampe","")</f>
        <v/>
      </c>
      <c r="Z177" s="423" t="str">
        <f aca="false">IF(ABS(t-T_para)&lt;pas/2,"Para","")</f>
        <v/>
      </c>
      <c r="AA177" s="424" t="str">
        <f aca="false">IF(ABS(t-T_satellite)&lt;pas/2,"Satellite","")</f>
        <v/>
      </c>
      <c r="AB177" s="412"/>
      <c r="AC177" s="420" t="e">
        <f aca="false">IF(ABS(t-ROUND(t,0))&lt;0.001,t,NA())</f>
        <v>#N/A</v>
      </c>
      <c r="AD177" s="425" t="e">
        <f aca="false">IF(ABS(t-ROUND(t,0))&lt;0.001,pos_x,NA())</f>
        <v>#N/A</v>
      </c>
      <c r="AE177" s="426" t="n">
        <f aca="false">IF(t&lt;T_para, pos_z, NA())</f>
        <v>122.039240132817</v>
      </c>
      <c r="AF177" s="412"/>
      <c r="AG177" s="418" t="n">
        <f aca="false">IF(AND(L176&lt;L_rampe,Poussee&lt;Poids*SIN(M176)),0,(-W176+Poussee)/m-Poids*SIN(M176)/m)</f>
        <v>62.1546839840756</v>
      </c>
      <c r="AH177" s="417" t="n">
        <f aca="false">IF(AND(L176&lt;L_rampe,Poussee&lt;Poids*SIN(M176)), g*SIN(M176), (-W176+Poussee)/m)</f>
        <v>71.7466498500771</v>
      </c>
    </row>
    <row r="178" customFormat="false" ht="12" hidden="false" customHeight="false" outlineLevel="0" collapsed="false">
      <c r="A178" s="416" t="n">
        <f aca="false">IF(B177+0.01&lt;=T_ini+ROUNDUP(Temps_fin_propu,0), 0.01, IF(K177&gt;0, 0.1, 0.0001))</f>
        <v>0.01</v>
      </c>
      <c r="B178" s="417" t="n">
        <f aca="false">B177+pas</f>
        <v>1.74</v>
      </c>
      <c r="C178" s="401"/>
      <c r="D178" s="418" t="n">
        <f aca="false">IF(AND(L177&lt;L_rampe,Poussee&lt;Poids*SIN(M177)),0,(-W177+Poussee)/m*COS(M177)-U177/m*SIN(M177))</f>
        <v>15.0027923747755</v>
      </c>
      <c r="E178" s="419" t="n">
        <f aca="false">IF(AND(L177&lt;L_rampe,Poussee&lt;Poids*SIN(M177)),0,(-W177+Poussee)/m*SIN(M177)+U177/m*COS(M177)-Poids/m)</f>
        <v>60.105908893666</v>
      </c>
      <c r="F178" s="417" t="n">
        <f aca="false">SQRT(acc_x^2+acc_z^2)</f>
        <v>61.9500126148034</v>
      </c>
      <c r="G178" s="418" t="n">
        <f aca="false">G177+acc_x*pas</f>
        <v>28.8340454589123</v>
      </c>
      <c r="H178" s="419" t="n">
        <f aca="false">H177+acc_z*pas</f>
        <v>134.274118516508</v>
      </c>
      <c r="I178" s="417" t="n">
        <f aca="false">SQRT(vit_x^2+vit_z^2)</f>
        <v>137.335141463909</v>
      </c>
      <c r="J178" s="418" t="n">
        <f aca="false">J177+0.5*(vit_x+G177)*pas*(K177&gt;=0)</f>
        <v>25.0103613518186</v>
      </c>
      <c r="K178" s="419" t="n">
        <f aca="false">K177+0.5*(vit_z+H177)*pas</f>
        <v>123.378976022538</v>
      </c>
      <c r="L178" s="417" t="n">
        <f aca="false">SQRT(pos_x^2+pos_z^2)</f>
        <v>125.888402560833</v>
      </c>
      <c r="M178" s="418" t="n">
        <f aca="false">IF(AND(L177&gt;L_rampe,G178&gt;0),ATAN2(G178,H178),$M$4)</f>
        <v>1.35926854128501</v>
      </c>
      <c r="N178" s="417" t="n">
        <f aca="false">DEGREES(Beta)</f>
        <v>77.8803506405349</v>
      </c>
      <c r="O178" s="401"/>
      <c r="P178" s="420" t="n">
        <f aca="false">MATCH(t-pas/2-T_ini,CdP_t)</f>
        <v>5</v>
      </c>
      <c r="Q178" s="417" t="n">
        <f aca="false">(INDEX(CdP,2,i_P+1)-INDEX(CdP,2,i_P+0))/(INDEX(CdP,1,i_P+1)-INDEX(CdP,1,i_P+0))*(t-pas/2-T_ini-INDEX(CdP,1,i_P+0))+INDEX(CdP,2,i_P+0)</f>
        <v>624.69</v>
      </c>
      <c r="R178" s="418" t="n">
        <f aca="false">Poussee/(g*ISP)</f>
        <v>0.313502805618038</v>
      </c>
      <c r="S178" s="419" t="n">
        <f aca="false">S177-Débit*pas</f>
        <v>7.76335556697775</v>
      </c>
      <c r="T178" s="417" t="n">
        <f aca="false">m*g</f>
        <v>76.1585181120517</v>
      </c>
      <c r="U178" s="421" t="n">
        <f aca="false">IF(pos_xz&lt;L_rampe,Poids*COS(Beta),0)</f>
        <v>0</v>
      </c>
      <c r="V178" s="418" t="n">
        <f aca="false">Rho_moyen*(20000-Alt_rampe-pos_z)/(20000+Alt_rampe+pos_z)</f>
        <v>1.20997874081607</v>
      </c>
      <c r="W178" s="417" t="n">
        <f aca="false">1/2*Rho*Sref*Cx*vit_xz^2</f>
        <v>70.1740933798583</v>
      </c>
      <c r="X178" s="401"/>
      <c r="Y178" s="422" t="str">
        <f aca="false">IF(AND(pos_z&lt;=0,K177&gt;0),"Impact balistique","") &amp; IF(AND(H179&lt;0,vit_z&gt;=0),"Apogée","") &amp; IF(AND(Poussee=0,Q177&gt;0),"Fin de propulsion","") &amp; IF(AND(L179&gt;L_rampe,pos_xz&lt;=L_rampe),"Sortie de rampe","")</f>
        <v/>
      </c>
      <c r="Z178" s="423" t="str">
        <f aca="false">IF(ABS(t-T_para)&lt;pas/2,"Para","")</f>
        <v/>
      </c>
      <c r="AA178" s="424" t="str">
        <f aca="false">IF(ABS(t-T_satellite)&lt;pas/2,"Satellite","")</f>
        <v/>
      </c>
      <c r="AB178" s="412"/>
      <c r="AC178" s="420" t="e">
        <f aca="false">IF(ABS(t-ROUND(t,0))&lt;0.001,t,NA())</f>
        <v>#N/A</v>
      </c>
      <c r="AD178" s="425" t="e">
        <f aca="false">IF(ABS(t-ROUND(t,0))&lt;0.001,pos_x,NA())</f>
        <v>#N/A</v>
      </c>
      <c r="AE178" s="426" t="n">
        <f aca="false">IF(t&lt;T_para, pos_z, NA())</f>
        <v>123.378976022538</v>
      </c>
      <c r="AF178" s="412"/>
      <c r="AG178" s="418" t="n">
        <f aca="false">IF(AND(L177&lt;L_rampe,Poussee&lt;Poids*SIN(M177)),0,(-W177+Poussee)/m-Poids*SIN(M177)/m)</f>
        <v>61.9158124733513</v>
      </c>
      <c r="AH178" s="417" t="n">
        <f aca="false">IF(AND(L177&lt;L_rampe,Poussee&lt;Poids*SIN(M177)), g*SIN(M177), (-W177+Poussee)/m)</f>
        <v>71.5074688089854</v>
      </c>
    </row>
    <row r="179" customFormat="false" ht="12" hidden="false" customHeight="false" outlineLevel="0" collapsed="false">
      <c r="A179" s="416" t="n">
        <f aca="false">IF(B178+0.01&lt;=T_ini+ROUNDUP(Temps_fin_propu,0), 0.01, IF(K178&gt;0, 0.1, 0.0001))</f>
        <v>0.01</v>
      </c>
      <c r="B179" s="417" t="n">
        <f aca="false">B178+pas</f>
        <v>1.75</v>
      </c>
      <c r="C179" s="401"/>
      <c r="D179" s="418" t="n">
        <f aca="false">IF(AND(L178&lt;L_rampe,Poussee&lt;Poids*SIN(M178)),0,(-W178+Poussee)/m*COS(M178)-U178/m*SIN(M178))</f>
        <v>14.9629925873934</v>
      </c>
      <c r="E179" s="419" t="n">
        <f aca="false">IF(AND(L178&lt;L_rampe,Poussee&lt;Poids*SIN(M178)),0,(-W178+Poussee)/m*SIN(M178)+U178/m*COS(M178)-Poids/m)</f>
        <v>59.8695266867519</v>
      </c>
      <c r="F179" s="417" t="n">
        <f aca="false">SQRT(acc_x^2+acc_z^2)</f>
        <v>61.7110312089021</v>
      </c>
      <c r="G179" s="418" t="n">
        <f aca="false">G178+acc_x*pas</f>
        <v>28.9836753847862</v>
      </c>
      <c r="H179" s="419" t="n">
        <f aca="false">H178+acc_z*pas</f>
        <v>134.872813783376</v>
      </c>
      <c r="I179" s="417" t="n">
        <f aca="false">SQRT(vit_x^2+vit_z^2)</f>
        <v>137.951909507102</v>
      </c>
      <c r="J179" s="418" t="n">
        <f aca="false">J178+0.5*(vit_x+G178)*pas*(K178&gt;=0)</f>
        <v>25.2994499560371</v>
      </c>
      <c r="K179" s="419" t="n">
        <f aca="false">K178+0.5*(vit_z+H178)*pas</f>
        <v>124.724710684037</v>
      </c>
      <c r="L179" s="417" t="n">
        <f aca="false">SQRT(pos_x^2+pos_z^2)</f>
        <v>127.264746191924</v>
      </c>
      <c r="M179" s="418" t="n">
        <f aca="false">IF(AND(L178&gt;L_rampe,G179&gt;0),ATAN2(G179,H179),$M$4)</f>
        <v>1.3591192394339</v>
      </c>
      <c r="N179" s="417" t="n">
        <f aca="false">DEGREES(Beta)</f>
        <v>77.8717962745929</v>
      </c>
      <c r="O179" s="401"/>
      <c r="P179" s="420" t="n">
        <f aca="false">MATCH(t-pas/2-T_ini,CdP_t)</f>
        <v>5</v>
      </c>
      <c r="Q179" s="417" t="n">
        <f aca="false">(INDEX(CdP,2,i_P+1)-INDEX(CdP,2,i_P+0))/(INDEX(CdP,1,i_P+1)-INDEX(CdP,1,i_P+0))*(t-pas/2-T_ini-INDEX(CdP,1,i_P+0))+INDEX(CdP,2,i_P+0)</f>
        <v>623.23</v>
      </c>
      <c r="R179" s="418" t="n">
        <f aca="false">Poussee/(g*ISP)</f>
        <v>0.31277009964195</v>
      </c>
      <c r="S179" s="419" t="n">
        <f aca="false">S178-Débit*pas</f>
        <v>7.76022786598133</v>
      </c>
      <c r="T179" s="417" t="n">
        <f aca="false">m*g</f>
        <v>76.1278353652768</v>
      </c>
      <c r="U179" s="421" t="n">
        <f aca="false">IF(pos_xz&lt;L_rampe,Poids*COS(Beta),0)</f>
        <v>0</v>
      </c>
      <c r="V179" s="418" t="n">
        <f aca="false">Rho_moyen*(20000-Alt_rampe-pos_z)/(20000+Alt_rampe+pos_z)</f>
        <v>1.20981591447491</v>
      </c>
      <c r="W179" s="417" t="n">
        <f aca="false">1/2*Rho*Sref*Cx*vit_xz^2</f>
        <v>70.7962799398128</v>
      </c>
      <c r="X179" s="401"/>
      <c r="Y179" s="422" t="str">
        <f aca="false">IF(AND(pos_z&lt;=0,K178&gt;0),"Impact balistique","") &amp; IF(AND(H180&lt;0,vit_z&gt;=0),"Apogée","") &amp; IF(AND(Poussee=0,Q178&gt;0),"Fin de propulsion","") &amp; IF(AND(L180&gt;L_rampe,pos_xz&lt;=L_rampe),"Sortie de rampe","")</f>
        <v/>
      </c>
      <c r="Z179" s="423" t="str">
        <f aca="false">IF(ABS(t-T_para)&lt;pas/2,"Para","")</f>
        <v/>
      </c>
      <c r="AA179" s="424" t="str">
        <f aca="false">IF(ABS(t-T_satellite)&lt;pas/2,"Satellite","")</f>
        <v/>
      </c>
      <c r="AB179" s="412"/>
      <c r="AC179" s="420" t="e">
        <f aca="false">IF(ABS(t-ROUND(t,0))&lt;0.001,t,NA())</f>
        <v>#N/A</v>
      </c>
      <c r="AD179" s="425" t="e">
        <f aca="false">IF(ABS(t-ROUND(t,0))&lt;0.001,pos_x,NA())</f>
        <v>#N/A</v>
      </c>
      <c r="AE179" s="426" t="n">
        <f aca="false">IF(t&lt;T_para, pos_z, NA())</f>
        <v>124.724710684037</v>
      </c>
      <c r="AF179" s="412"/>
      <c r="AG179" s="418" t="n">
        <f aca="false">IF(AND(L178&lt;L_rampe,Poussee&lt;Poids*SIN(M178)),0,(-W178+Poussee)/m-Poids*SIN(M178)/m)</f>
        <v>61.676650564753</v>
      </c>
      <c r="AH179" s="417" t="n">
        <f aca="false">IF(AND(L178&lt;L_rampe,Poussee&lt;Poids*SIN(M178)), g*SIN(M178), (-W178+Poussee)/m)</f>
        <v>71.2679983334747</v>
      </c>
    </row>
    <row r="180" customFormat="false" ht="12" hidden="false" customHeight="false" outlineLevel="0" collapsed="false">
      <c r="A180" s="416" t="n">
        <f aca="false">IF(B179+0.01&lt;=T_ini+ROUNDUP(Temps_fin_propu,0), 0.01, IF(K179&gt;0, 0.1, 0.0001))</f>
        <v>0.01</v>
      </c>
      <c r="B180" s="417" t="n">
        <f aca="false">B179+pas</f>
        <v>1.76</v>
      </c>
      <c r="C180" s="401"/>
      <c r="D180" s="418" t="n">
        <f aca="false">IF(AND(L179&lt;L_rampe,Poussee&lt;Poids*SIN(M179)),0,(-W179+Poussee)/m*COS(M179)-U179/m*SIN(M179))</f>
        <v>14.9230232555744</v>
      </c>
      <c r="E180" s="419" t="n">
        <f aca="false">IF(AND(L179&lt;L_rampe,Poussee&lt;Poids*SIN(M179)),0,(-W179+Poussee)/m*SIN(M179)+U179/m*COS(M179)-Poids/m)</f>
        <v>59.6328884505987</v>
      </c>
      <c r="F180" s="417" t="n">
        <f aca="false">SQRT(acc_x^2+acc_z^2)</f>
        <v>61.4717659421621</v>
      </c>
      <c r="G180" s="418" t="n">
        <f aca="false">G179+acc_x*pas</f>
        <v>29.1329056173419</v>
      </c>
      <c r="H180" s="419" t="n">
        <f aca="false">H179+acc_z*pas</f>
        <v>135.469142667882</v>
      </c>
      <c r="I180" s="417" t="n">
        <f aca="false">SQRT(vit_x^2+vit_z^2)</f>
        <v>138.566283073769</v>
      </c>
      <c r="J180" s="418" t="n">
        <f aca="false">J179+0.5*(vit_x+G179)*pas*(K179&gt;=0)</f>
        <v>25.5900328610478</v>
      </c>
      <c r="K180" s="419" t="n">
        <f aca="false">K179+0.5*(vit_z+H179)*pas</f>
        <v>126.076420466293</v>
      </c>
      <c r="L180" s="417" t="n">
        <f aca="false">SQRT(pos_x^2+pos_z^2)</f>
        <v>128.647244740893</v>
      </c>
      <c r="M180" s="418" t="n">
        <f aca="false">IF(AND(L179&gt;L_rampe,G180&gt;0),ATAN2(G180,H180),$M$4)</f>
        <v>1.35897049621278</v>
      </c>
      <c r="N180" s="417" t="n">
        <f aca="false">DEGREES(Beta)</f>
        <v>77.8632739157916</v>
      </c>
      <c r="O180" s="401"/>
      <c r="P180" s="420" t="n">
        <f aca="false">MATCH(t-pas/2-T_ini,CdP_t)</f>
        <v>5</v>
      </c>
      <c r="Q180" s="417" t="n">
        <f aca="false">(INDEX(CdP,2,i_P+1)-INDEX(CdP,2,i_P+0))/(INDEX(CdP,1,i_P+1)-INDEX(CdP,1,i_P+0))*(t-pas/2-T_ini-INDEX(CdP,1,i_P+0))+INDEX(CdP,2,i_P+0)</f>
        <v>621.77</v>
      </c>
      <c r="R180" s="418" t="n">
        <f aca="false">Poussee/(g*ISP)</f>
        <v>0.312037393665862</v>
      </c>
      <c r="S180" s="419" t="n">
        <f aca="false">S179-Débit*pas</f>
        <v>7.75710749204467</v>
      </c>
      <c r="T180" s="417" t="n">
        <f aca="false">m*g</f>
        <v>76.0972244969582</v>
      </c>
      <c r="U180" s="421" t="n">
        <f aca="false">IF(pos_xz&lt;L_rampe,Poids*COS(Beta),0)</f>
        <v>0</v>
      </c>
      <c r="V180" s="418" t="n">
        <f aca="false">Rho_moyen*(20000-Alt_rampe-pos_z)/(20000+Alt_rampe+pos_z)</f>
        <v>1.20965238709775</v>
      </c>
      <c r="W180" s="417" t="n">
        <f aca="false">1/2*Rho*Sref*Cx*vit_xz^2</f>
        <v>71.4186166827541</v>
      </c>
      <c r="X180" s="401"/>
      <c r="Y180" s="422" t="str">
        <f aca="false">IF(AND(pos_z&lt;=0,K179&gt;0),"Impact balistique","") &amp; IF(AND(H181&lt;0,vit_z&gt;=0),"Apogée","") &amp; IF(AND(Poussee=0,Q179&gt;0),"Fin de propulsion","") &amp; IF(AND(L181&gt;L_rampe,pos_xz&lt;=L_rampe),"Sortie de rampe","")</f>
        <v/>
      </c>
      <c r="Z180" s="423" t="str">
        <f aca="false">IF(ABS(t-T_para)&lt;pas/2,"Para","")</f>
        <v/>
      </c>
      <c r="AA180" s="424" t="str">
        <f aca="false">IF(ABS(t-T_satellite)&lt;pas/2,"Satellite","")</f>
        <v/>
      </c>
      <c r="AB180" s="412"/>
      <c r="AC180" s="420" t="e">
        <f aca="false">IF(ABS(t-ROUND(t,0))&lt;0.001,t,NA())</f>
        <v>#N/A</v>
      </c>
      <c r="AD180" s="425" t="e">
        <f aca="false">IF(ABS(t-ROUND(t,0))&lt;0.001,pos_x,NA())</f>
        <v>#N/A</v>
      </c>
      <c r="AE180" s="426" t="n">
        <f aca="false">IF(t&lt;T_para, pos_z, NA())</f>
        <v>126.076420466293</v>
      </c>
      <c r="AF180" s="412"/>
      <c r="AG180" s="418" t="n">
        <f aca="false">IF(AND(L179&lt;L_rampe,Poussee&lt;Poids*SIN(M179)),0,(-W179+Poussee)/m-Poids*SIN(M179)/m)</f>
        <v>61.4372033808291</v>
      </c>
      <c r="AH180" s="417" t="n">
        <f aca="false">IF(AND(L179&lt;L_rampe,Poussee&lt;Poids*SIN(M179)), g*SIN(M179), (-W179+Poussee)/m)</f>
        <v>71.0282435334614</v>
      </c>
    </row>
    <row r="181" customFormat="false" ht="12" hidden="false" customHeight="false" outlineLevel="0" collapsed="false">
      <c r="A181" s="416" t="n">
        <f aca="false">IF(B180+0.01&lt;=T_ini+ROUNDUP(Temps_fin_propu,0), 0.01, IF(K180&gt;0, 0.1, 0.0001))</f>
        <v>0.01</v>
      </c>
      <c r="B181" s="417" t="n">
        <f aca="false">B180+pas</f>
        <v>1.77</v>
      </c>
      <c r="C181" s="401"/>
      <c r="D181" s="418" t="n">
        <f aca="false">IF(AND(L180&lt;L_rampe,Poussee&lt;Poids*SIN(M180)),0,(-W180+Poussee)/m*COS(M180)-U180/m*SIN(M180))</f>
        <v>14.8828862310792</v>
      </c>
      <c r="E181" s="419" t="n">
        <f aca="false">IF(AND(L180&lt;L_rampe,Poussee&lt;Poids*SIN(M180)),0,(-W180+Poussee)/m*SIN(M180)+U180/m*COS(M180)-Poids/m)</f>
        <v>59.3959990386866</v>
      </c>
      <c r="F181" s="417" t="n">
        <f aca="false">SQRT(acc_x^2+acc_z^2)</f>
        <v>61.2322219454014</v>
      </c>
      <c r="G181" s="418" t="n">
        <f aca="false">G180+acc_x*pas</f>
        <v>29.2817344796527</v>
      </c>
      <c r="H181" s="419" t="n">
        <f aca="false">H180+acc_z*pas</f>
        <v>136.063102658269</v>
      </c>
      <c r="I181" s="417" t="n">
        <f aca="false">SQRT(vit_x^2+vit_z^2)</f>
        <v>139.178259362342</v>
      </c>
      <c r="J181" s="418" t="n">
        <f aca="false">J180+0.5*(vit_x+G180)*pas*(K180&gt;=0)</f>
        <v>25.8821060615327</v>
      </c>
      <c r="K181" s="419" t="n">
        <f aca="false">K180+0.5*(vit_z+H180)*pas</f>
        <v>127.434081692924</v>
      </c>
      <c r="L181" s="417" t="n">
        <f aca="false">SQRT(pos_x^2+pos_z^2)</f>
        <v>130.035874246684</v>
      </c>
      <c r="M181" s="418" t="n">
        <f aca="false">IF(AND(L180&gt;L_rampe,G181&gt;0),ATAN2(G181,H181),$M$4)</f>
        <v>1.35882230452558</v>
      </c>
      <c r="N181" s="417" t="n">
        <f aca="false">DEGREES(Beta)</f>
        <v>77.8547831575562</v>
      </c>
      <c r="O181" s="401"/>
      <c r="P181" s="420" t="n">
        <f aca="false">MATCH(t-pas/2-T_ini,CdP_t)</f>
        <v>5</v>
      </c>
      <c r="Q181" s="417" t="n">
        <f aca="false">(INDEX(CdP,2,i_P+1)-INDEX(CdP,2,i_P+0))/(INDEX(CdP,1,i_P+1)-INDEX(CdP,1,i_P+0))*(t-pas/2-T_ini-INDEX(CdP,1,i_P+0))+INDEX(CdP,2,i_P+0)</f>
        <v>620.31</v>
      </c>
      <c r="R181" s="418" t="n">
        <f aca="false">Poussee/(g*ISP)</f>
        <v>0.311304687689774</v>
      </c>
      <c r="S181" s="419" t="n">
        <f aca="false">S180-Débit*pas</f>
        <v>7.75399444516777</v>
      </c>
      <c r="T181" s="417" t="n">
        <f aca="false">m*g</f>
        <v>76.0666855070959</v>
      </c>
      <c r="U181" s="421" t="n">
        <f aca="false">IF(pos_xz&lt;L_rampe,Poids*COS(Beta),0)</f>
        <v>0</v>
      </c>
      <c r="V181" s="418" t="n">
        <f aca="false">Rho_moyen*(20000-Alt_rampe-pos_z)/(20000+Alt_rampe+pos_z)</f>
        <v>1.20948816183521</v>
      </c>
      <c r="W181" s="417" t="n">
        <f aca="false">1/2*Rho*Sref*Cx*vit_xz^2</f>
        <v>72.0410668237477</v>
      </c>
      <c r="X181" s="401"/>
      <c r="Y181" s="422" t="str">
        <f aca="false">IF(AND(pos_z&lt;=0,K180&gt;0),"Impact balistique","") &amp; IF(AND(H182&lt;0,vit_z&gt;=0),"Apogée","") &amp; IF(AND(Poussee=0,Q180&gt;0),"Fin de propulsion","") &amp; IF(AND(L182&gt;L_rampe,pos_xz&lt;=L_rampe),"Sortie de rampe","")</f>
        <v/>
      </c>
      <c r="Z181" s="423" t="str">
        <f aca="false">IF(ABS(t-T_para)&lt;pas/2,"Para","")</f>
        <v/>
      </c>
      <c r="AA181" s="424" t="str">
        <f aca="false">IF(ABS(t-T_satellite)&lt;pas/2,"Satellite","")</f>
        <v/>
      </c>
      <c r="AB181" s="412"/>
      <c r="AC181" s="420" t="e">
        <f aca="false">IF(ABS(t-ROUND(t,0))&lt;0.001,t,NA())</f>
        <v>#N/A</v>
      </c>
      <c r="AD181" s="425" t="e">
        <f aca="false">IF(ABS(t-ROUND(t,0))&lt;0.001,pos_x,NA())</f>
        <v>#N/A</v>
      </c>
      <c r="AE181" s="426" t="n">
        <f aca="false">IF(t&lt;T_para, pos_z, NA())</f>
        <v>127.434081692924</v>
      </c>
      <c r="AF181" s="412"/>
      <c r="AG181" s="418" t="n">
        <f aca="false">IF(AND(L180&lt;L_rampe,Poussee&lt;Poids*SIN(M180)),0,(-W180+Poussee)/m-Poids*SIN(M180)/m)</f>
        <v>61.1974760342124</v>
      </c>
      <c r="AH181" s="417" t="n">
        <f aca="false">IF(AND(L180&lt;L_rampe,Poussee&lt;Poids*SIN(M180)), g*SIN(M180), (-W180+Poussee)/m)</f>
        <v>70.7882095091402</v>
      </c>
    </row>
    <row r="182" customFormat="false" ht="12" hidden="false" customHeight="false" outlineLevel="0" collapsed="false">
      <c r="A182" s="416" t="n">
        <f aca="false">IF(B181+0.01&lt;=T_ini+ROUNDUP(Temps_fin_propu,0), 0.01, IF(K181&gt;0, 0.1, 0.0001))</f>
        <v>0.01</v>
      </c>
      <c r="B182" s="417" t="n">
        <f aca="false">B181+pas</f>
        <v>1.78</v>
      </c>
      <c r="C182" s="401"/>
      <c r="D182" s="418" t="n">
        <f aca="false">IF(AND(L181&lt;L_rampe,Poussee&lt;Poids*SIN(M181)),0,(-W181+Poussee)/m*COS(M181)-U181/m*SIN(M181))</f>
        <v>14.8425833525457</v>
      </c>
      <c r="E182" s="419" t="n">
        <f aca="false">IF(AND(L181&lt;L_rampe,Poussee&lt;Poids*SIN(M181)),0,(-W181+Poussee)/m*SIN(M181)+U181/m*COS(M181)-Poids/m)</f>
        <v>59.1588632964916</v>
      </c>
      <c r="F182" s="417" t="n">
        <f aca="false">SQRT(acc_x^2+acc_z^2)</f>
        <v>60.992404339477</v>
      </c>
      <c r="G182" s="418" t="n">
        <f aca="false">G181+acc_x*pas</f>
        <v>29.4301603131782</v>
      </c>
      <c r="H182" s="419" t="n">
        <f aca="false">H181+acc_z*pas</f>
        <v>136.654691291233</v>
      </c>
      <c r="I182" s="417" t="n">
        <f aca="false">SQRT(vit_x^2+vit_z^2)</f>
        <v>139.78783562228</v>
      </c>
      <c r="J182" s="418" t="n">
        <f aca="false">J181+0.5*(vit_x+G181)*pas*(K181&gt;=0)</f>
        <v>26.1756655354969</v>
      </c>
      <c r="K182" s="419" t="n">
        <f aca="false">K181+0.5*(vit_z+H181)*pas</f>
        <v>128.797670662672</v>
      </c>
      <c r="L182" s="417" t="n">
        <f aca="false">SQRT(pos_x^2+pos_z^2)</f>
        <v>131.430610720472</v>
      </c>
      <c r="M182" s="418" t="n">
        <f aca="false">IF(AND(L181&gt;L_rampe,G182&gt;0),ATAN2(G182,H182),$M$4)</f>
        <v>1.35867465739</v>
      </c>
      <c r="N182" s="417" t="n">
        <f aca="false">DEGREES(Beta)</f>
        <v>77.8463235998301</v>
      </c>
      <c r="O182" s="401"/>
      <c r="P182" s="420" t="n">
        <f aca="false">MATCH(t-pas/2-T_ini,CdP_t)</f>
        <v>5</v>
      </c>
      <c r="Q182" s="417" t="n">
        <f aca="false">(INDEX(CdP,2,i_P+1)-INDEX(CdP,2,i_P+0))/(INDEX(CdP,1,i_P+1)-INDEX(CdP,1,i_P+0))*(t-pas/2-T_ini-INDEX(CdP,1,i_P+0))+INDEX(CdP,2,i_P+0)</f>
        <v>618.85</v>
      </c>
      <c r="R182" s="418" t="n">
        <f aca="false">Poussee/(g*ISP)</f>
        <v>0.310571981713687</v>
      </c>
      <c r="S182" s="419" t="n">
        <f aca="false">S181-Débit*pas</f>
        <v>7.75088872535064</v>
      </c>
      <c r="T182" s="417" t="n">
        <f aca="false">m*g</f>
        <v>76.0362183956897</v>
      </c>
      <c r="U182" s="421" t="n">
        <f aca="false">IF(pos_xz&lt;L_rampe,Poids*COS(Beta),0)</f>
        <v>0</v>
      </c>
      <c r="V182" s="418" t="n">
        <f aca="false">Rho_moyen*(20000-Alt_rampe-pos_z)/(20000+Alt_rampe+pos_z)</f>
        <v>1.20932324184055</v>
      </c>
      <c r="W182" s="417" t="n">
        <f aca="false">1/2*Rho*Sref*Cx*vit_xz^2</f>
        <v>72.6635937330016</v>
      </c>
      <c r="X182" s="401"/>
      <c r="Y182" s="422" t="str">
        <f aca="false">IF(AND(pos_z&lt;=0,K181&gt;0),"Impact balistique","") &amp; IF(AND(H183&lt;0,vit_z&gt;=0),"Apogée","") &amp; IF(AND(Poussee=0,Q181&gt;0),"Fin de propulsion","") &amp; IF(AND(L183&gt;L_rampe,pos_xz&lt;=L_rampe),"Sortie de rampe","")</f>
        <v/>
      </c>
      <c r="Z182" s="423" t="str">
        <f aca="false">IF(ABS(t-T_para)&lt;pas/2,"Para","")</f>
        <v/>
      </c>
      <c r="AA182" s="424" t="str">
        <f aca="false">IF(ABS(t-T_satellite)&lt;pas/2,"Satellite","")</f>
        <v/>
      </c>
      <c r="AB182" s="412"/>
      <c r="AC182" s="420" t="e">
        <f aca="false">IF(ABS(t-ROUND(t,0))&lt;0.001,t,NA())</f>
        <v>#N/A</v>
      </c>
      <c r="AD182" s="425" t="e">
        <f aca="false">IF(ABS(t-ROUND(t,0))&lt;0.001,pos_x,NA())</f>
        <v>#N/A</v>
      </c>
      <c r="AE182" s="426" t="n">
        <f aca="false">IF(t&lt;T_para, pos_z, NA())</f>
        <v>128.797670662672</v>
      </c>
      <c r="AF182" s="412"/>
      <c r="AG182" s="418" t="n">
        <f aca="false">IF(AND(L181&lt;L_rampe,Poussee&lt;Poids*SIN(M181)),0,(-W181+Poussee)/m-Poids*SIN(M181)/m)</f>
        <v>60.9574736273351</v>
      </c>
      <c r="AH182" s="417" t="n">
        <f aca="false">IF(AND(L181&lt;L_rampe,Poussee&lt;Poids*SIN(M181)), g*SIN(M181), (-W181+Poussee)/m)</f>
        <v>70.5479013506952</v>
      </c>
    </row>
    <row r="183" customFormat="false" ht="12" hidden="false" customHeight="false" outlineLevel="0" collapsed="false">
      <c r="A183" s="416" t="n">
        <f aca="false">IF(B182+0.01&lt;=T_ini+ROUNDUP(Temps_fin_propu,0), 0.01, IF(K182&gt;0, 0.1, 0.0001))</f>
        <v>0.01</v>
      </c>
      <c r="B183" s="417" t="n">
        <f aca="false">B182+pas</f>
        <v>1.79</v>
      </c>
      <c r="C183" s="401"/>
      <c r="D183" s="418" t="n">
        <f aca="false">IF(AND(L182&lt;L_rampe,Poussee&lt;Poids*SIN(M182)),0,(-W182+Poussee)/m*COS(M182)-U182/m*SIN(M182))</f>
        <v>14.8021164456924</v>
      </c>
      <c r="E183" s="419" t="n">
        <f aca="false">IF(AND(L182&lt;L_rampe,Poussee&lt;Poids*SIN(M182)),0,(-W182+Poussee)/m*SIN(M182)+U182/m*COS(M182)-Poids/m)</f>
        <v>58.9214860611626</v>
      </c>
      <c r="F183" s="417" t="n">
        <f aca="false">SQRT(acc_x^2+acc_z^2)</f>
        <v>60.7523182350075</v>
      </c>
      <c r="G183" s="418" t="n">
        <f aca="false">G182+acc_x*pas</f>
        <v>29.5781814776351</v>
      </c>
      <c r="H183" s="419" t="n">
        <f aca="false">H182+acc_z*pas</f>
        <v>137.243906151845</v>
      </c>
      <c r="I183" s="417" t="n">
        <f aca="false">SQRT(vit_x^2+vit_z^2)</f>
        <v>140.39500915396</v>
      </c>
      <c r="J183" s="418" t="n">
        <f aca="false">J182+0.5*(vit_x+G182)*pas*(K182&gt;=0)</f>
        <v>26.470707244451</v>
      </c>
      <c r="K183" s="419" t="n">
        <f aca="false">K182+0.5*(vit_z+H182)*pas</f>
        <v>130.167163649887</v>
      </c>
      <c r="L183" s="417" t="n">
        <f aca="false">SQRT(pos_x^2+pos_z^2)</f>
        <v>132.831430146174</v>
      </c>
      <c r="M183" s="418" t="n">
        <f aca="false">IF(AND(L182&gt;L_rampe,G183&gt;0),ATAN2(G183,H183),$M$4)</f>
        <v>1.35852754793497</v>
      </c>
      <c r="N183" s="417" t="n">
        <f aca="false">DEGREES(Beta)</f>
        <v>77.8378948489304</v>
      </c>
      <c r="O183" s="401"/>
      <c r="P183" s="420" t="n">
        <f aca="false">MATCH(t-pas/2-T_ini,CdP_t)</f>
        <v>5</v>
      </c>
      <c r="Q183" s="417" t="n">
        <f aca="false">(INDEX(CdP,2,i_P+1)-INDEX(CdP,2,i_P+0))/(INDEX(CdP,1,i_P+1)-INDEX(CdP,1,i_P+0))*(t-pas/2-T_ini-INDEX(CdP,1,i_P+0))+INDEX(CdP,2,i_P+0)</f>
        <v>617.39</v>
      </c>
      <c r="R183" s="418" t="n">
        <f aca="false">Poussee/(g*ISP)</f>
        <v>0.309839275737599</v>
      </c>
      <c r="S183" s="419" t="n">
        <f aca="false">S182-Débit*pas</f>
        <v>7.74779033259326</v>
      </c>
      <c r="T183" s="417" t="n">
        <f aca="false">m*g</f>
        <v>76.0058231627399</v>
      </c>
      <c r="U183" s="421" t="n">
        <f aca="false">IF(pos_xz&lt;L_rampe,Poids*COS(Beta),0)</f>
        <v>0</v>
      </c>
      <c r="V183" s="418" t="n">
        <f aca="false">Rho_moyen*(20000-Alt_rampe-pos_z)/(20000+Alt_rampe+pos_z)</f>
        <v>1.20915763026955</v>
      </c>
      <c r="W183" s="417" t="n">
        <f aca="false">1/2*Rho*Sref*Cx*vit_xz^2</f>
        <v>73.2861609375353</v>
      </c>
      <c r="X183" s="401"/>
      <c r="Y183" s="422" t="str">
        <f aca="false">IF(AND(pos_z&lt;=0,K182&gt;0),"Impact balistique","") &amp; IF(AND(H184&lt;0,vit_z&gt;=0),"Apogée","") &amp; IF(AND(Poussee=0,Q182&gt;0),"Fin de propulsion","") &amp; IF(AND(L184&gt;L_rampe,pos_xz&lt;=L_rampe),"Sortie de rampe","")</f>
        <v/>
      </c>
      <c r="Z183" s="423" t="str">
        <f aca="false">IF(ABS(t-T_para)&lt;pas/2,"Para","")</f>
        <v/>
      </c>
      <c r="AA183" s="424" t="str">
        <f aca="false">IF(ABS(t-T_satellite)&lt;pas/2,"Satellite","")</f>
        <v/>
      </c>
      <c r="AB183" s="412"/>
      <c r="AC183" s="420" t="e">
        <f aca="false">IF(ABS(t-ROUND(t,0))&lt;0.001,t,NA())</f>
        <v>#N/A</v>
      </c>
      <c r="AD183" s="425" t="e">
        <f aca="false">IF(ABS(t-ROUND(t,0))&lt;0.001,pos_x,NA())</f>
        <v>#N/A</v>
      </c>
      <c r="AE183" s="426" t="n">
        <f aca="false">IF(t&lt;T_para, pos_z, NA())</f>
        <v>130.167163649887</v>
      </c>
      <c r="AF183" s="412"/>
      <c r="AG183" s="418" t="n">
        <f aca="false">IF(AND(L182&lt;L_rampe,Poussee&lt;Poids*SIN(M182)),0,(-W182+Poussee)/m-Poids*SIN(M182)/m)</f>
        <v>60.7172012521464</v>
      </c>
      <c r="AH183" s="417" t="n">
        <f aca="false">IF(AND(L182&lt;L_rampe,Poussee&lt;Poids*SIN(M182)), g*SIN(M182), (-W182+Poussee)/m)</f>
        <v>70.307324138013</v>
      </c>
    </row>
    <row r="184" customFormat="false" ht="12" hidden="false" customHeight="false" outlineLevel="0" collapsed="false">
      <c r="A184" s="416" t="n">
        <f aca="false">IF(B183+0.01&lt;=T_ini+ROUNDUP(Temps_fin_propu,0), 0.01, IF(K183&gt;0, 0.1, 0.0001))</f>
        <v>0.01</v>
      </c>
      <c r="B184" s="417" t="n">
        <f aca="false">B183+pas</f>
        <v>1.8</v>
      </c>
      <c r="C184" s="401"/>
      <c r="D184" s="418" t="n">
        <f aca="false">IF(AND(L183&lt;L_rampe,Poussee&lt;Poids*SIN(M183)),0,(-W183+Poussee)/m*COS(M183)-U183/m*SIN(M183))</f>
        <v>14.7614873235136</v>
      </c>
      <c r="E184" s="419" t="n">
        <f aca="false">IF(AND(L183&lt;L_rampe,Poussee&lt;Poids*SIN(M183)),0,(-W183+Poussee)/m*SIN(M183)+U183/m*COS(M183)-Poids/m)</f>
        <v>58.6838721612012</v>
      </c>
      <c r="F184" s="417" t="n">
        <f aca="false">SQRT(acc_x^2+acc_z^2)</f>
        <v>60.5119687320985</v>
      </c>
      <c r="G184" s="418" t="n">
        <f aca="false">G183+acc_x*pas</f>
        <v>29.7257963508703</v>
      </c>
      <c r="H184" s="419" t="n">
        <f aca="false">H183+acc_z*pas</f>
        <v>137.830744873457</v>
      </c>
      <c r="I184" s="417" t="n">
        <f aca="false">SQRT(vit_x^2+vit_z^2)</f>
        <v>140.999777308567</v>
      </c>
      <c r="J184" s="418" t="n">
        <f aca="false">J183+0.5*(vit_x+G183)*pas*(K183&gt;=0)</f>
        <v>26.7672271335935</v>
      </c>
      <c r="K184" s="419" t="n">
        <f aca="false">K183+0.5*(vit_z+H183)*pas</f>
        <v>131.542536905014</v>
      </c>
      <c r="L184" s="417" t="n">
        <f aca="false">SQRT(pos_x^2+pos_z^2)</f>
        <v>134.238308480956</v>
      </c>
      <c r="M184" s="418" t="n">
        <f aca="false">IF(AND(L183&gt;L_rampe,G184&gt;0),ATAN2(G184,H184),$M$4)</f>
        <v>1.35838096939823</v>
      </c>
      <c r="N184" s="417" t="n">
        <f aca="false">DEGREES(Beta)</f>
        <v>77.8294965174079</v>
      </c>
      <c r="O184" s="401"/>
      <c r="P184" s="420" t="n">
        <f aca="false">MATCH(t-pas/2-T_ini,CdP_t)</f>
        <v>5</v>
      </c>
      <c r="Q184" s="417" t="n">
        <f aca="false">(INDEX(CdP,2,i_P+1)-INDEX(CdP,2,i_P+0))/(INDEX(CdP,1,i_P+1)-INDEX(CdP,1,i_P+0))*(t-pas/2-T_ini-INDEX(CdP,1,i_P+0))+INDEX(CdP,2,i_P+0)</f>
        <v>615.93</v>
      </c>
      <c r="R184" s="418" t="n">
        <f aca="false">Poussee/(g*ISP)</f>
        <v>0.309106569761511</v>
      </c>
      <c r="S184" s="419" t="n">
        <f aca="false">S183-Débit*pas</f>
        <v>7.74469926689565</v>
      </c>
      <c r="T184" s="417" t="n">
        <f aca="false">m*g</f>
        <v>75.9754998082463</v>
      </c>
      <c r="U184" s="421" t="n">
        <f aca="false">IF(pos_xz&lt;L_rampe,Poids*COS(Beta),0)</f>
        <v>0</v>
      </c>
      <c r="V184" s="418" t="n">
        <f aca="false">Rho_moyen*(20000-Alt_rampe-pos_z)/(20000+Alt_rampe+pos_z)</f>
        <v>1.2089913302805</v>
      </c>
      <c r="W184" s="417" t="n">
        <f aca="false">1/2*Rho*Sref*Cx*vit_xz^2</f>
        <v>73.908732122825</v>
      </c>
      <c r="X184" s="401"/>
      <c r="Y184" s="422" t="str">
        <f aca="false">IF(AND(pos_z&lt;=0,K183&gt;0),"Impact balistique","") &amp; IF(AND(H185&lt;0,vit_z&gt;=0),"Apogée","") &amp; IF(AND(Poussee=0,Q183&gt;0),"Fin de propulsion","") &amp; IF(AND(L185&gt;L_rampe,pos_xz&lt;=L_rampe),"Sortie de rampe","")</f>
        <v/>
      </c>
      <c r="Z184" s="423" t="str">
        <f aca="false">IF(ABS(t-T_para)&lt;pas/2,"Para","")</f>
        <v/>
      </c>
      <c r="AA184" s="424" t="str">
        <f aca="false">IF(ABS(t-T_satellite)&lt;pas/2,"Satellite","")</f>
        <v/>
      </c>
      <c r="AB184" s="412"/>
      <c r="AC184" s="420" t="e">
        <f aca="false">IF(ABS(t-ROUND(t,0))&lt;0.001,t,NA())</f>
        <v>#N/A</v>
      </c>
      <c r="AD184" s="425" t="e">
        <f aca="false">IF(ABS(t-ROUND(t,0))&lt;0.001,pos_x,NA())</f>
        <v>#N/A</v>
      </c>
      <c r="AE184" s="426" t="n">
        <f aca="false">IF(t&lt;T_para, pos_z, NA())</f>
        <v>131.542536905014</v>
      </c>
      <c r="AF184" s="412"/>
      <c r="AG184" s="418" t="n">
        <f aca="false">IF(AND(L183&lt;L_rampe,Poussee&lt;Poids*SIN(M183)),0,(-W183+Poussee)/m-Poids*SIN(M183)/m)</f>
        <v>60.4766639898325</v>
      </c>
      <c r="AH184" s="417" t="n">
        <f aca="false">IF(AND(L183&lt;L_rampe,Poussee&lt;Poids*SIN(M183)), g*SIN(M183), (-W183+Poussee)/m)</f>
        <v>70.066482940399</v>
      </c>
    </row>
    <row r="185" customFormat="false" ht="12" hidden="false" customHeight="false" outlineLevel="0" collapsed="false">
      <c r="A185" s="416" t="n">
        <f aca="false">IF(B184+0.01&lt;=T_ini+ROUNDUP(Temps_fin_propu,0), 0.01, IF(K184&gt;0, 0.1, 0.0001))</f>
        <v>0.01</v>
      </c>
      <c r="B185" s="417" t="n">
        <f aca="false">B184+pas</f>
        <v>1.81</v>
      </c>
      <c r="C185" s="401"/>
      <c r="D185" s="418" t="n">
        <f aca="false">IF(AND(L184&lt;L_rampe,Poussee&lt;Poids*SIN(M184)),0,(-W184+Poussee)/m*COS(M184)-U184/m*SIN(M184))</f>
        <v>14.7206977864683</v>
      </c>
      <c r="E185" s="419" t="n">
        <f aca="false">IF(AND(L184&lt;L_rampe,Poussee&lt;Poids*SIN(M184)),0,(-W184+Poussee)/m*SIN(M184)+U184/m*COS(M184)-Poids/m)</f>
        <v>58.446026416146</v>
      </c>
      <c r="F185" s="417" t="n">
        <f aca="false">SQRT(acc_x^2+acc_z^2)</f>
        <v>60.2713609200703</v>
      </c>
      <c r="G185" s="418" t="n">
        <f aca="false">G184+acc_x*pas</f>
        <v>29.8730033287349</v>
      </c>
      <c r="H185" s="419" t="n">
        <f aca="false">H184+acc_z*pas</f>
        <v>138.415205137619</v>
      </c>
      <c r="I185" s="417" t="n">
        <f aca="false">SQRT(vit_x^2+vit_z^2)</f>
        <v>141.60213748799</v>
      </c>
      <c r="J185" s="418" t="n">
        <f aca="false">J184+0.5*(vit_x+G184)*pas*(K184&gt;=0)</f>
        <v>27.0652211319915</v>
      </c>
      <c r="K185" s="419" t="n">
        <f aca="false">K184+0.5*(vit_z+H184)*pas</f>
        <v>132.923766655069</v>
      </c>
      <c r="L185" s="417" t="n">
        <f aca="false">SQRT(pos_x^2+pos_z^2)</f>
        <v>135.65122165574</v>
      </c>
      <c r="M185" s="418" t="n">
        <f aca="false">IF(AND(L184&gt;L_rampe,G185&gt;0),ATAN2(G185,H185),$M$4)</f>
        <v>1.35823491512391</v>
      </c>
      <c r="N185" s="417" t="n">
        <f aca="false">DEGREES(Beta)</f>
        <v>77.8211282239096</v>
      </c>
      <c r="O185" s="401"/>
      <c r="P185" s="420" t="n">
        <f aca="false">MATCH(t-pas/2-T_ini,CdP_t)</f>
        <v>5</v>
      </c>
      <c r="Q185" s="417" t="n">
        <f aca="false">(INDEX(CdP,2,i_P+1)-INDEX(CdP,2,i_P+0))/(INDEX(CdP,1,i_P+1)-INDEX(CdP,1,i_P+0))*(t-pas/2-T_ini-INDEX(CdP,1,i_P+0))+INDEX(CdP,2,i_P+0)</f>
        <v>614.47</v>
      </c>
      <c r="R185" s="418" t="n">
        <f aca="false">Poussee/(g*ISP)</f>
        <v>0.308373863785423</v>
      </c>
      <c r="S185" s="419" t="n">
        <f aca="false">S184-Débit*pas</f>
        <v>7.74161552825779</v>
      </c>
      <c r="T185" s="417" t="n">
        <f aca="false">m*g</f>
        <v>75.9452483322089</v>
      </c>
      <c r="U185" s="421" t="n">
        <f aca="false">IF(pos_xz&lt;L_rampe,Poids*COS(Beta),0)</f>
        <v>0</v>
      </c>
      <c r="V185" s="418" t="n">
        <f aca="false">Rho_moyen*(20000-Alt_rampe-pos_z)/(20000+Alt_rampe+pos_z)</f>
        <v>1.20882434503406</v>
      </c>
      <c r="W185" s="417" t="n">
        <f aca="false">1/2*Rho*Sref*Cx*vit_xz^2</f>
        <v>74.531271134426</v>
      </c>
      <c r="X185" s="401"/>
      <c r="Y185" s="422" t="str">
        <f aca="false">IF(AND(pos_z&lt;=0,K184&gt;0),"Impact balistique","") &amp; IF(AND(H186&lt;0,vit_z&gt;=0),"Apogée","") &amp; IF(AND(Poussee=0,Q184&gt;0),"Fin de propulsion","") &amp; IF(AND(L186&gt;L_rampe,pos_xz&lt;=L_rampe),"Sortie de rampe","")</f>
        <v/>
      </c>
      <c r="Z185" s="423" t="str">
        <f aca="false">IF(ABS(t-T_para)&lt;pas/2,"Para","")</f>
        <v/>
      </c>
      <c r="AA185" s="424" t="str">
        <f aca="false">IF(ABS(t-T_satellite)&lt;pas/2,"Satellite","")</f>
        <v/>
      </c>
      <c r="AB185" s="412"/>
      <c r="AC185" s="420" t="e">
        <f aca="false">IF(ABS(t-ROUND(t,0))&lt;0.001,t,NA())</f>
        <v>#N/A</v>
      </c>
      <c r="AD185" s="425" t="e">
        <f aca="false">IF(ABS(t-ROUND(t,0))&lt;0.001,pos_x,NA())</f>
        <v>#N/A</v>
      </c>
      <c r="AE185" s="426" t="n">
        <f aca="false">IF(t&lt;T_para, pos_z, NA())</f>
        <v>132.923766655069</v>
      </c>
      <c r="AF185" s="412"/>
      <c r="AG185" s="418" t="n">
        <f aca="false">IF(AND(L184&lt;L_rampe,Poussee&lt;Poids*SIN(M184)),0,(-W184+Poussee)/m-Poids*SIN(M184)/m)</f>
        <v>60.2358669105387</v>
      </c>
      <c r="AH185" s="417" t="n">
        <f aca="false">IF(AND(L184&lt;L_rampe,Poussee&lt;Poids*SIN(M184)), g*SIN(M184), (-W184+Poussee)/m)</f>
        <v>69.8253828162951</v>
      </c>
    </row>
    <row r="186" customFormat="false" ht="12" hidden="false" customHeight="false" outlineLevel="0" collapsed="false">
      <c r="A186" s="416" t="n">
        <f aca="false">IF(B185+0.01&lt;=T_ini+ROUNDUP(Temps_fin_propu,0), 0.01, IF(K185&gt;0, 0.1, 0.0001))</f>
        <v>0.01</v>
      </c>
      <c r="B186" s="417" t="n">
        <f aca="false">B185+pas</f>
        <v>1.82</v>
      </c>
      <c r="C186" s="401"/>
      <c r="D186" s="418" t="n">
        <f aca="false">IF(AND(L185&lt;L_rampe,Poussee&lt;Poids*SIN(M185)),0,(-W185+Poussee)/m*COS(M185)-U185/m*SIN(M185))</f>
        <v>14.6797496226628</v>
      </c>
      <c r="E186" s="419" t="n">
        <f aca="false">IF(AND(L185&lt;L_rampe,Poussee&lt;Poids*SIN(M185)),0,(-W185+Poussee)/m*SIN(M185)+U185/m*COS(M185)-Poids/m)</f>
        <v>58.2079536362603</v>
      </c>
      <c r="F186" s="417" t="n">
        <f aca="false">SQRT(acc_x^2+acc_z^2)</f>
        <v>60.0304998771882</v>
      </c>
      <c r="G186" s="418" t="n">
        <f aca="false">G185+acc_x*pas</f>
        <v>30.0198008249616</v>
      </c>
      <c r="H186" s="419" t="n">
        <f aca="false">H185+acc_z*pas</f>
        <v>138.997284673981</v>
      </c>
      <c r="I186" s="417" t="n">
        <f aca="false">SQRT(vit_x^2+vit_z^2)</f>
        <v>142.202087144704</v>
      </c>
      <c r="J186" s="418" t="n">
        <f aca="false">J185+0.5*(vit_x+G185)*pas*(K185&gt;=0)</f>
        <v>27.36468515276</v>
      </c>
      <c r="K186" s="419" t="n">
        <f aca="false">K185+0.5*(vit_z+H185)*pas</f>
        <v>134.310829104127</v>
      </c>
      <c r="L186" s="417" t="n">
        <f aca="false">SQRT(pos_x^2+pos_z^2)</f>
        <v>137.070145575715</v>
      </c>
      <c r="M186" s="418" t="n">
        <f aca="false">IF(AND(L185&gt;L_rampe,G186&gt;0),ATAN2(G186,H186),$M$4)</f>
        <v>1.35808937856024</v>
      </c>
      <c r="N186" s="417" t="n">
        <f aca="false">DEGREES(Beta)</f>
        <v>77.8127895930466</v>
      </c>
      <c r="O186" s="401"/>
      <c r="P186" s="420" t="n">
        <f aca="false">MATCH(t-pas/2-T_ini,CdP_t)</f>
        <v>5</v>
      </c>
      <c r="Q186" s="417" t="n">
        <f aca="false">(INDEX(CdP,2,i_P+1)-INDEX(CdP,2,i_P+0))/(INDEX(CdP,1,i_P+1)-INDEX(CdP,1,i_P+0))*(t-pas/2-T_ini-INDEX(CdP,1,i_P+0))+INDEX(CdP,2,i_P+0)</f>
        <v>613.01</v>
      </c>
      <c r="R186" s="418" t="n">
        <f aca="false">Poussee/(g*ISP)</f>
        <v>0.307641157809335</v>
      </c>
      <c r="S186" s="419" t="n">
        <f aca="false">S185-Débit*pas</f>
        <v>7.7385391166797</v>
      </c>
      <c r="T186" s="417" t="n">
        <f aca="false">m*g</f>
        <v>75.9150687346278</v>
      </c>
      <c r="U186" s="421" t="n">
        <f aca="false">IF(pos_xz&lt;L_rampe,Poids*COS(Beta),0)</f>
        <v>0</v>
      </c>
      <c r="V186" s="418" t="n">
        <f aca="false">Rho_moyen*(20000-Alt_rampe-pos_z)/(20000+Alt_rampe+pos_z)</f>
        <v>1.20865667769321</v>
      </c>
      <c r="W186" s="417" t="n">
        <f aca="false">1/2*Rho*Sref*Cx*vit_xz^2</f>
        <v>75.1537419795714</v>
      </c>
      <c r="X186" s="401"/>
      <c r="Y186" s="422" t="str">
        <f aca="false">IF(AND(pos_z&lt;=0,K185&gt;0),"Impact balistique","") &amp; IF(AND(H187&lt;0,vit_z&gt;=0),"Apogée","") &amp; IF(AND(Poussee=0,Q185&gt;0),"Fin de propulsion","") &amp; IF(AND(L187&gt;L_rampe,pos_xz&lt;=L_rampe),"Sortie de rampe","")</f>
        <v/>
      </c>
      <c r="Z186" s="423" t="str">
        <f aca="false">IF(ABS(t-T_para)&lt;pas/2,"Para","")</f>
        <v/>
      </c>
      <c r="AA186" s="424" t="str">
        <f aca="false">IF(ABS(t-T_satellite)&lt;pas/2,"Satellite","")</f>
        <v/>
      </c>
      <c r="AB186" s="412"/>
      <c r="AC186" s="420" t="e">
        <f aca="false">IF(ABS(t-ROUND(t,0))&lt;0.001,t,NA())</f>
        <v>#N/A</v>
      </c>
      <c r="AD186" s="425" t="e">
        <f aca="false">IF(ABS(t-ROUND(t,0))&lt;0.001,pos_x,NA())</f>
        <v>#N/A</v>
      </c>
      <c r="AE186" s="426" t="n">
        <f aca="false">IF(t&lt;T_para, pos_z, NA())</f>
        <v>134.310829104127</v>
      </c>
      <c r="AF186" s="412"/>
      <c r="AG186" s="418" t="n">
        <f aca="false">IF(AND(L185&lt;L_rampe,Poussee&lt;Poids*SIN(M185)),0,(-W185+Poussee)/m-Poids*SIN(M185)/m)</f>
        <v>59.9948150730938</v>
      </c>
      <c r="AH186" s="417" t="n">
        <f aca="false">IF(AND(L185&lt;L_rampe,Poussee&lt;Poids*SIN(M185)), g*SIN(M185), (-W185+Poussee)/m)</f>
        <v>69.5840288130008</v>
      </c>
    </row>
    <row r="187" customFormat="false" ht="12" hidden="false" customHeight="false" outlineLevel="0" collapsed="false">
      <c r="A187" s="416" t="n">
        <f aca="false">IF(B186+0.01&lt;=T_ini+ROUNDUP(Temps_fin_propu,0), 0.01, IF(K186&gt;0, 0.1, 0.0001))</f>
        <v>0.01</v>
      </c>
      <c r="B187" s="417" t="n">
        <f aca="false">B186+pas</f>
        <v>1.83</v>
      </c>
      <c r="C187" s="401"/>
      <c r="D187" s="418" t="n">
        <f aca="false">IF(AND(L186&lt;L_rampe,Poussee&lt;Poids*SIN(M186)),0,(-W186+Poussee)/m*COS(M186)-U186/m*SIN(M186))</f>
        <v>14.638644608026</v>
      </c>
      <c r="E187" s="419" t="n">
        <f aca="false">IF(AND(L186&lt;L_rampe,Poussee&lt;Poids*SIN(M186)),0,(-W186+Poussee)/m*SIN(M186)+U186/m*COS(M186)-Poids/m)</f>
        <v>57.9696586222231</v>
      </c>
      <c r="F187" s="417" t="n">
        <f aca="false">SQRT(acc_x^2+acc_z^2)</f>
        <v>59.7893906703954</v>
      </c>
      <c r="G187" s="418" t="n">
        <f aca="false">G186+acc_x*pas</f>
        <v>30.1661872710418</v>
      </c>
      <c r="H187" s="419" t="n">
        <f aca="false">H186+acc_z*pas</f>
        <v>139.576981260203</v>
      </c>
      <c r="I187" s="417" t="n">
        <f aca="false">SQRT(vit_x^2+vit_z^2)</f>
        <v>142.799623781657</v>
      </c>
      <c r="J187" s="418" t="n">
        <f aca="false">J186+0.5*(vit_x+G186)*pas*(K186&gt;=0)</f>
        <v>27.66561509324</v>
      </c>
      <c r="K187" s="419" t="n">
        <f aca="false">K186+0.5*(vit_z+H186)*pas</f>
        <v>135.703700433798</v>
      </c>
      <c r="L187" s="417" t="n">
        <f aca="false">SQRT(pos_x^2+pos_z^2)</f>
        <v>138.495056120835</v>
      </c>
      <c r="M187" s="418" t="n">
        <f aca="false">IF(AND(L186&gt;L_rampe,G187&gt;0),ATAN2(G187,H187),$M$4)</f>
        <v>1.35794435325728</v>
      </c>
      <c r="N187" s="417" t="n">
        <f aca="false">DEGREES(Beta)</f>
        <v>77.8044802552643</v>
      </c>
      <c r="O187" s="401"/>
      <c r="P187" s="420" t="n">
        <f aca="false">MATCH(t-pas/2-T_ini,CdP_t)</f>
        <v>5</v>
      </c>
      <c r="Q187" s="417" t="n">
        <f aca="false">(INDEX(CdP,2,i_P+1)-INDEX(CdP,2,i_P+0))/(INDEX(CdP,1,i_P+1)-INDEX(CdP,1,i_P+0))*(t-pas/2-T_ini-INDEX(CdP,1,i_P+0))+INDEX(CdP,2,i_P+0)</f>
        <v>611.55</v>
      </c>
      <c r="R187" s="418" t="n">
        <f aca="false">Poussee/(g*ISP)</f>
        <v>0.306908451833247</v>
      </c>
      <c r="S187" s="419" t="n">
        <f aca="false">S186-Débit*pas</f>
        <v>7.73547003216136</v>
      </c>
      <c r="T187" s="417" t="n">
        <f aca="false">m*g</f>
        <v>75.884961015503</v>
      </c>
      <c r="U187" s="421" t="n">
        <f aca="false">IF(pos_xz&lt;L_rampe,Poids*COS(Beta),0)</f>
        <v>0</v>
      </c>
      <c r="V187" s="418" t="n">
        <f aca="false">Rho_moyen*(20000-Alt_rampe-pos_z)/(20000+Alt_rampe+pos_z)</f>
        <v>1.20848833142317</v>
      </c>
      <c r="W187" s="417" t="n">
        <f aca="false">1/2*Rho*Sref*Cx*vit_xz^2</f>
        <v>75.7761088287473</v>
      </c>
      <c r="X187" s="401"/>
      <c r="Y187" s="422" t="str">
        <f aca="false">IF(AND(pos_z&lt;=0,K186&gt;0),"Impact balistique","") &amp; IF(AND(H188&lt;0,vit_z&gt;=0),"Apogée","") &amp; IF(AND(Poussee=0,Q186&gt;0),"Fin de propulsion","") &amp; IF(AND(L188&gt;L_rampe,pos_xz&lt;=L_rampe),"Sortie de rampe","")</f>
        <v/>
      </c>
      <c r="Z187" s="423" t="str">
        <f aca="false">IF(ABS(t-T_para)&lt;pas/2,"Para","")</f>
        <v/>
      </c>
      <c r="AA187" s="424" t="str">
        <f aca="false">IF(ABS(t-T_satellite)&lt;pas/2,"Satellite","")</f>
        <v/>
      </c>
      <c r="AB187" s="412"/>
      <c r="AC187" s="420" t="e">
        <f aca="false">IF(ABS(t-ROUND(t,0))&lt;0.001,t,NA())</f>
        <v>#N/A</v>
      </c>
      <c r="AD187" s="425" t="e">
        <f aca="false">IF(ABS(t-ROUND(t,0))&lt;0.001,pos_x,NA())</f>
        <v>#N/A</v>
      </c>
      <c r="AE187" s="426" t="n">
        <f aca="false">IF(t&lt;T_para, pos_z, NA())</f>
        <v>135.703700433798</v>
      </c>
      <c r="AF187" s="412"/>
      <c r="AG187" s="418" t="n">
        <f aca="false">IF(AND(L186&lt;L_rampe,Poussee&lt;Poids*SIN(M186)),0,(-W186+Poussee)/m-Poids*SIN(M186)/m)</f>
        <v>59.7535135247374</v>
      </c>
      <c r="AH187" s="417" t="n">
        <f aca="false">IF(AND(L186&lt;L_rampe,Poussee&lt;Poids*SIN(M186)), g*SIN(M186), (-W186+Poussee)/m)</f>
        <v>69.3424259663965</v>
      </c>
    </row>
    <row r="188" customFormat="false" ht="12" hidden="false" customHeight="false" outlineLevel="0" collapsed="false">
      <c r="A188" s="416" t="n">
        <f aca="false">IF(B187+0.01&lt;=T_ini+ROUNDUP(Temps_fin_propu,0), 0.01, IF(K187&gt;0, 0.1, 0.0001))</f>
        <v>0.01</v>
      </c>
      <c r="B188" s="417" t="n">
        <f aca="false">B187+pas</f>
        <v>1.84</v>
      </c>
      <c r="C188" s="401"/>
      <c r="D188" s="418" t="n">
        <f aca="false">IF(AND(L187&lt;L_rampe,Poussee&lt;Poids*SIN(M187)),0,(-W187+Poussee)/m*COS(M187)-U187/m*SIN(M187))</f>
        <v>14.5973845064796</v>
      </c>
      <c r="E188" s="419" t="n">
        <f aca="false">IF(AND(L187&lt;L_rampe,Poussee&lt;Poids*SIN(M187)),0,(-W187+Poussee)/m*SIN(M187)+U187/m*COS(M187)-Poids/m)</f>
        <v>57.7311461648238</v>
      </c>
      <c r="F188" s="417" t="n">
        <f aca="false">SQRT(acc_x^2+acc_z^2)</f>
        <v>59.5480383550479</v>
      </c>
      <c r="G188" s="418" t="n">
        <f aca="false">G187+acc_x*pas</f>
        <v>30.3121611161066</v>
      </c>
      <c r="H188" s="419" t="n">
        <f aca="false">H187+acc_z*pas</f>
        <v>140.154292721852</v>
      </c>
      <c r="I188" s="417" t="n">
        <f aca="false">SQRT(vit_x^2+vit_z^2)</f>
        <v>143.394744952147</v>
      </c>
      <c r="J188" s="418" t="n">
        <f aca="false">J187+0.5*(vit_x+G187)*pas*(K187&gt;=0)</f>
        <v>27.9680068351757</v>
      </c>
      <c r="K188" s="419" t="n">
        <f aca="false">K187+0.5*(vit_z+H187)*pas</f>
        <v>137.102356803708</v>
      </c>
      <c r="L188" s="417" t="n">
        <f aca="false">SQRT(pos_x^2+pos_z^2)</f>
        <v>139.92592914633</v>
      </c>
      <c r="M188" s="418" t="n">
        <f aca="false">IF(AND(L187&gt;L_rampe,G188&gt;0),ATAN2(G188,H188),$M$4)</f>
        <v>1.35779983286471</v>
      </c>
      <c r="N188" s="417" t="n">
        <f aca="false">DEGREES(Beta)</f>
        <v>77.7961998467165</v>
      </c>
      <c r="O188" s="401"/>
      <c r="P188" s="420" t="n">
        <f aca="false">MATCH(t-pas/2-T_ini,CdP_t)</f>
        <v>5</v>
      </c>
      <c r="Q188" s="417" t="n">
        <f aca="false">(INDEX(CdP,2,i_P+1)-INDEX(CdP,2,i_P+0))/(INDEX(CdP,1,i_P+1)-INDEX(CdP,1,i_P+0))*(t-pas/2-T_ini-INDEX(CdP,1,i_P+0))+INDEX(CdP,2,i_P+0)</f>
        <v>610.09</v>
      </c>
      <c r="R188" s="418" t="n">
        <f aca="false">Poussee/(g*ISP)</f>
        <v>0.306175745857159</v>
      </c>
      <c r="S188" s="419" t="n">
        <f aca="false">S187-Débit*pas</f>
        <v>7.73240827470279</v>
      </c>
      <c r="T188" s="417" t="n">
        <f aca="false">m*g</f>
        <v>75.8549251748344</v>
      </c>
      <c r="U188" s="421" t="n">
        <f aca="false">IF(pos_xz&lt;L_rampe,Poids*COS(Beta),0)</f>
        <v>0</v>
      </c>
      <c r="V188" s="418" t="n">
        <f aca="false">Rho_moyen*(20000-Alt_rampe-pos_z)/(20000+Alt_rampe+pos_z)</f>
        <v>1.20831930939132</v>
      </c>
      <c r="W188" s="417" t="n">
        <f aca="false">1/2*Rho*Sref*Cx*vit_xz^2</f>
        <v>76.3983360172445</v>
      </c>
      <c r="X188" s="401"/>
      <c r="Y188" s="422" t="str">
        <f aca="false">IF(AND(pos_z&lt;=0,K187&gt;0),"Impact balistique","") &amp; IF(AND(H189&lt;0,vit_z&gt;=0),"Apogée","") &amp; IF(AND(Poussee=0,Q187&gt;0),"Fin de propulsion","") &amp; IF(AND(L189&gt;L_rampe,pos_xz&lt;=L_rampe),"Sortie de rampe","")</f>
        <v/>
      </c>
      <c r="Z188" s="423" t="str">
        <f aca="false">IF(ABS(t-T_para)&lt;pas/2,"Para","")</f>
        <v/>
      </c>
      <c r="AA188" s="424" t="str">
        <f aca="false">IF(ABS(t-T_satellite)&lt;pas/2,"Satellite","")</f>
        <v/>
      </c>
      <c r="AB188" s="412"/>
      <c r="AC188" s="420" t="e">
        <f aca="false">IF(ABS(t-ROUND(t,0))&lt;0.001,t,NA())</f>
        <v>#N/A</v>
      </c>
      <c r="AD188" s="425" t="e">
        <f aca="false">IF(ABS(t-ROUND(t,0))&lt;0.001,pos_x,NA())</f>
        <v>#N/A</v>
      </c>
      <c r="AE188" s="426" t="n">
        <f aca="false">IF(t&lt;T_para, pos_z, NA())</f>
        <v>137.102356803708</v>
      </c>
      <c r="AF188" s="412"/>
      <c r="AG188" s="418" t="n">
        <f aca="false">IF(AND(L187&lt;L_rampe,Poussee&lt;Poids*SIN(M187)),0,(-W187+Poussee)/m-Poids*SIN(M187)/m)</f>
        <v>59.5119673008493</v>
      </c>
      <c r="AH188" s="417" t="n">
        <f aca="false">IF(AND(L187&lt;L_rampe,Poussee&lt;Poids*SIN(M187)), g*SIN(M187), (-W187+Poussee)/m)</f>
        <v>69.1005793006694</v>
      </c>
    </row>
    <row r="189" customFormat="false" ht="12" hidden="false" customHeight="false" outlineLevel="0" collapsed="false">
      <c r="A189" s="416" t="n">
        <f aca="false">IF(B188+0.01&lt;=T_ini+ROUNDUP(Temps_fin_propu,0), 0.01, IF(K188&gt;0, 0.1, 0.0001))</f>
        <v>0.01</v>
      </c>
      <c r="B189" s="417" t="n">
        <f aca="false">B188+pas</f>
        <v>1.85</v>
      </c>
      <c r="C189" s="401"/>
      <c r="D189" s="418" t="n">
        <f aca="false">IF(AND(L188&lt;L_rampe,Poussee&lt;Poids*SIN(M188)),0,(-W188+Poussee)/m*COS(M188)-U188/m*SIN(M188))</f>
        <v>14.5559710701015</v>
      </c>
      <c r="E189" s="419" t="n">
        <f aca="false">IF(AND(L188&lt;L_rampe,Poussee&lt;Poids*SIN(M188)),0,(-W188+Poussee)/m*SIN(M188)+U188/m*COS(M188)-Poids/m)</f>
        <v>57.4924210446609</v>
      </c>
      <c r="F189" s="417" t="n">
        <f aca="false">SQRT(acc_x^2+acc_z^2)</f>
        <v>59.3064479746528</v>
      </c>
      <c r="G189" s="418" t="n">
        <f aca="false">G188+acc_x*pas</f>
        <v>30.4577208268076</v>
      </c>
      <c r="H189" s="419" t="n">
        <f aca="false">H188+acc_z*pas</f>
        <v>140.729216932298</v>
      </c>
      <c r="I189" s="417" t="n">
        <f aca="false">SQRT(vit_x^2+vit_z^2)</f>
        <v>143.987448259706</v>
      </c>
      <c r="J189" s="418" t="n">
        <f aca="false">J188+0.5*(vit_x+G188)*pas*(K188&gt;=0)</f>
        <v>28.2718562448903</v>
      </c>
      <c r="K189" s="419" t="n">
        <f aca="false">K188+0.5*(vit_z+H188)*pas</f>
        <v>138.506774351979</v>
      </c>
      <c r="L189" s="417" t="n">
        <f aca="false">SQRT(pos_x^2+pos_z^2)</f>
        <v>141.362740483204</v>
      </c>
      <c r="M189" s="418" t="n">
        <f aca="false">IF(AND(L188&gt;L_rampe,G189&gt;0),ATAN2(G189,H189),$M$4)</f>
        <v>1.35765581112972</v>
      </c>
      <c r="N189" s="417" t="n">
        <f aca="false">DEGREES(Beta)</f>
        <v>77.7879480091432</v>
      </c>
      <c r="O189" s="401"/>
      <c r="P189" s="420" t="n">
        <f aca="false">MATCH(t-pas/2-T_ini,CdP_t)</f>
        <v>5</v>
      </c>
      <c r="Q189" s="417" t="n">
        <f aca="false">(INDEX(CdP,2,i_P+1)-INDEX(CdP,2,i_P+0))/(INDEX(CdP,1,i_P+1)-INDEX(CdP,1,i_P+0))*(t-pas/2-T_ini-INDEX(CdP,1,i_P+0))+INDEX(CdP,2,i_P+0)</f>
        <v>608.63</v>
      </c>
      <c r="R189" s="418" t="n">
        <f aca="false">Poussee/(g*ISP)</f>
        <v>0.305443039881071</v>
      </c>
      <c r="S189" s="419" t="n">
        <f aca="false">S188-Débit*pas</f>
        <v>7.72935384430398</v>
      </c>
      <c r="T189" s="417" t="n">
        <f aca="false">m*g</f>
        <v>75.8249612126221</v>
      </c>
      <c r="U189" s="421" t="n">
        <f aca="false">IF(pos_xz&lt;L_rampe,Poids*COS(Beta),0)</f>
        <v>0</v>
      </c>
      <c r="V189" s="418" t="n">
        <f aca="false">Rho_moyen*(20000-Alt_rampe-pos_z)/(20000+Alt_rampe+pos_z)</f>
        <v>1.20814961476714</v>
      </c>
      <c r="W189" s="417" t="n">
        <f aca="false">1/2*Rho*Sref*Cx*vit_xz^2</f>
        <v>77.0203880466866</v>
      </c>
      <c r="X189" s="401"/>
      <c r="Y189" s="422" t="str">
        <f aca="false">IF(AND(pos_z&lt;=0,K188&gt;0),"Impact balistique","") &amp; IF(AND(H190&lt;0,vit_z&gt;=0),"Apogée","") &amp; IF(AND(Poussee=0,Q188&gt;0),"Fin de propulsion","") &amp; IF(AND(L190&gt;L_rampe,pos_xz&lt;=L_rampe),"Sortie de rampe","")</f>
        <v/>
      </c>
      <c r="Z189" s="423" t="str">
        <f aca="false">IF(ABS(t-T_para)&lt;pas/2,"Para","")</f>
        <v/>
      </c>
      <c r="AA189" s="424" t="str">
        <f aca="false">IF(ABS(t-T_satellite)&lt;pas/2,"Satellite","")</f>
        <v/>
      </c>
      <c r="AB189" s="412"/>
      <c r="AC189" s="420" t="e">
        <f aca="false">IF(ABS(t-ROUND(t,0))&lt;0.001,t,NA())</f>
        <v>#N/A</v>
      </c>
      <c r="AD189" s="425" t="e">
        <f aca="false">IF(ABS(t-ROUND(t,0))&lt;0.001,pos_x,NA())</f>
        <v>#N/A</v>
      </c>
      <c r="AE189" s="426" t="n">
        <f aca="false">IF(t&lt;T_para, pos_z, NA())</f>
        <v>138.506774351979</v>
      </c>
      <c r="AF189" s="412"/>
      <c r="AG189" s="418" t="n">
        <f aca="false">IF(AND(L188&lt;L_rampe,Poussee&lt;Poids*SIN(M188)),0,(-W188+Poussee)/m-Poids*SIN(M188)/m)</f>
        <v>59.2701814246812</v>
      </c>
      <c r="AH189" s="417" t="n">
        <f aca="false">IF(AND(L188&lt;L_rampe,Poussee&lt;Poids*SIN(M188)), g*SIN(M188), (-W188+Poussee)/m)</f>
        <v>68.8584938280416</v>
      </c>
    </row>
    <row r="190" customFormat="false" ht="12" hidden="false" customHeight="false" outlineLevel="0" collapsed="false">
      <c r="A190" s="416" t="n">
        <f aca="false">IF(B189+0.01&lt;=T_ini+ROUNDUP(Temps_fin_propu,0), 0.01, IF(K189&gt;0, 0.1, 0.0001))</f>
        <v>0.01</v>
      </c>
      <c r="B190" s="417" t="n">
        <f aca="false">B189+pas</f>
        <v>1.86</v>
      </c>
      <c r="C190" s="401"/>
      <c r="D190" s="418" t="n">
        <f aca="false">IF(AND(L189&lt;L_rampe,Poussee&lt;Poids*SIN(M189)),0,(-W189+Poussee)/m*COS(M189)-U189/m*SIN(M189))</f>
        <v>14.5144060392839</v>
      </c>
      <c r="E190" s="419" t="n">
        <f aca="false">IF(AND(L189&lt;L_rampe,Poussee&lt;Poids*SIN(M189)),0,(-W189+Poussee)/m*SIN(M189)+U189/m*COS(M189)-Poids/m)</f>
        <v>57.2534880318435</v>
      </c>
      <c r="F190" s="417" t="n">
        <f aca="false">SQRT(acc_x^2+acc_z^2)</f>
        <v>59.0646245606086</v>
      </c>
      <c r="G190" s="418" t="n">
        <f aca="false">G189+acc_x*pas</f>
        <v>30.6028648872005</v>
      </c>
      <c r="H190" s="419" t="n">
        <f aca="false">H189+acc_z*pas</f>
        <v>141.301751812617</v>
      </c>
      <c r="I190" s="417" t="n">
        <f aca="false">SQRT(vit_x^2+vit_z^2)</f>
        <v>144.577731357974</v>
      </c>
      <c r="J190" s="418" t="n">
        <f aca="false">J189+0.5*(vit_x+G189)*pas*(K189&gt;=0)</f>
        <v>28.5771591734604</v>
      </c>
      <c r="K190" s="419" t="n">
        <f aca="false">K189+0.5*(vit_z+H189)*pas</f>
        <v>139.916929195703</v>
      </c>
      <c r="L190" s="417" t="n">
        <f aca="false">SQRT(pos_x^2+pos_z^2)</f>
        <v>142.80546593874</v>
      </c>
      <c r="M190" s="418" t="n">
        <f aca="false">IF(AND(L189&gt;L_rampe,G190&gt;0),ATAN2(G190,H190),$M$4)</f>
        <v>1.3575122818949</v>
      </c>
      <c r="N190" s="417" t="n">
        <f aca="false">DEGREES(Beta)</f>
        <v>77.7797243897512</v>
      </c>
      <c r="O190" s="401"/>
      <c r="P190" s="420" t="n">
        <f aca="false">MATCH(t-pas/2-T_ini,CdP_t)</f>
        <v>5</v>
      </c>
      <c r="Q190" s="417" t="n">
        <f aca="false">(INDEX(CdP,2,i_P+1)-INDEX(CdP,2,i_P+0))/(INDEX(CdP,1,i_P+1)-INDEX(CdP,1,i_P+0))*(t-pas/2-T_ini-INDEX(CdP,1,i_P+0))+INDEX(CdP,2,i_P+0)</f>
        <v>607.17</v>
      </c>
      <c r="R190" s="418" t="n">
        <f aca="false">Poussee/(g*ISP)</f>
        <v>0.304710333904983</v>
      </c>
      <c r="S190" s="419" t="n">
        <f aca="false">S189-Débit*pas</f>
        <v>7.72630674096493</v>
      </c>
      <c r="T190" s="417" t="n">
        <f aca="false">m*g</f>
        <v>75.795069128866</v>
      </c>
      <c r="U190" s="421" t="n">
        <f aca="false">IF(pos_xz&lt;L_rampe,Poids*COS(Beta),0)</f>
        <v>0</v>
      </c>
      <c r="V190" s="418" t="n">
        <f aca="false">Rho_moyen*(20000-Alt_rampe-pos_z)/(20000+Alt_rampe+pos_z)</f>
        <v>1.20797925072211</v>
      </c>
      <c r="W190" s="417" t="n">
        <f aca="false">1/2*Rho*Sref*Cx*vit_xz^2</f>
        <v>77.642229586535</v>
      </c>
      <c r="X190" s="401"/>
      <c r="Y190" s="422" t="str">
        <f aca="false">IF(AND(pos_z&lt;=0,K189&gt;0),"Impact balistique","") &amp; IF(AND(H191&lt;0,vit_z&gt;=0),"Apogée","") &amp; IF(AND(Poussee=0,Q189&gt;0),"Fin de propulsion","") &amp; IF(AND(L191&gt;L_rampe,pos_xz&lt;=L_rampe),"Sortie de rampe","")</f>
        <v/>
      </c>
      <c r="Z190" s="423" t="str">
        <f aca="false">IF(ABS(t-T_para)&lt;pas/2,"Para","")</f>
        <v/>
      </c>
      <c r="AA190" s="424" t="str">
        <f aca="false">IF(ABS(t-T_satellite)&lt;pas/2,"Satellite","")</f>
        <v/>
      </c>
      <c r="AB190" s="412"/>
      <c r="AC190" s="420" t="e">
        <f aca="false">IF(ABS(t-ROUND(t,0))&lt;0.001,t,NA())</f>
        <v>#N/A</v>
      </c>
      <c r="AD190" s="425" t="e">
        <f aca="false">IF(ABS(t-ROUND(t,0))&lt;0.001,pos_x,NA())</f>
        <v>#N/A</v>
      </c>
      <c r="AE190" s="426" t="n">
        <f aca="false">IF(t&lt;T_para, pos_z, NA())</f>
        <v>139.916929195703</v>
      </c>
      <c r="AF190" s="412"/>
      <c r="AG190" s="418" t="n">
        <f aca="false">IF(AND(L189&lt;L_rampe,Poussee&lt;Poids*SIN(M189)),0,(-W189+Poussee)/m-Poids*SIN(M189)/m)</f>
        <v>59.0281609070917</v>
      </c>
      <c r="AH190" s="417" t="n">
        <f aca="false">IF(AND(L189&lt;L_rampe,Poussee&lt;Poids*SIN(M189)), g*SIN(M189), (-W189+Poussee)/m)</f>
        <v>68.6161745485014</v>
      </c>
    </row>
    <row r="191" customFormat="false" ht="12" hidden="false" customHeight="false" outlineLevel="0" collapsed="false">
      <c r="A191" s="416" t="n">
        <f aca="false">IF(B190+0.01&lt;=T_ini+ROUNDUP(Temps_fin_propu,0), 0.01, IF(K190&gt;0, 0.1, 0.0001))</f>
        <v>0.01</v>
      </c>
      <c r="B191" s="417" t="n">
        <f aca="false">B190+pas</f>
        <v>1.87</v>
      </c>
      <c r="C191" s="401"/>
      <c r="D191" s="418" t="n">
        <f aca="false">IF(AND(L190&lt;L_rampe,Poussee&lt;Poids*SIN(M190)),0,(-W190+Poussee)/m*COS(M190)-U190/m*SIN(M190))</f>
        <v>14.4726911428859</v>
      </c>
      <c r="E191" s="419" t="n">
        <f aca="false">IF(AND(L190&lt;L_rampe,Poussee&lt;Poids*SIN(M190)),0,(-W190+Poussee)/m*SIN(M190)+U190/m*COS(M190)-Poids/m)</f>
        <v>57.0143518856969</v>
      </c>
      <c r="F191" s="417" t="n">
        <f aca="false">SQRT(acc_x^2+acc_z^2)</f>
        <v>58.8225731319486</v>
      </c>
      <c r="G191" s="418" t="n">
        <f aca="false">G190+acc_x*pas</f>
        <v>30.7475917986293</v>
      </c>
      <c r="H191" s="419" t="n">
        <f aca="false">H190+acc_z*pas</f>
        <v>141.871895331474</v>
      </c>
      <c r="I191" s="417" t="n">
        <f aca="false">SQRT(vit_x^2+vit_z^2)</f>
        <v>145.165591950571</v>
      </c>
      <c r="J191" s="418" t="n">
        <f aca="false">J190+0.5*(vit_x+G190)*pas*(K190&gt;=0)</f>
        <v>28.8839114568895</v>
      </c>
      <c r="K191" s="419" t="n">
        <f aca="false">K190+0.5*(vit_z+H190)*pas</f>
        <v>141.332797431424</v>
      </c>
      <c r="L191" s="417" t="n">
        <f aca="false">SQRT(pos_x^2+pos_z^2)</f>
        <v>144.254081296999</v>
      </c>
      <c r="M191" s="418" t="n">
        <f aca="false">IF(AND(L190&gt;L_rampe,G191&gt;0),ATAN2(G191,H191),$M$4)</f>
        <v>1.35736923909623</v>
      </c>
      <c r="N191" s="417" t="n">
        <f aca="false">DEGREES(Beta)</f>
        <v>77.771528641098</v>
      </c>
      <c r="O191" s="401"/>
      <c r="P191" s="420" t="n">
        <f aca="false">MATCH(t-pas/2-T_ini,CdP_t)</f>
        <v>5</v>
      </c>
      <c r="Q191" s="417" t="n">
        <f aca="false">(INDEX(CdP,2,i_P+1)-INDEX(CdP,2,i_P+0))/(INDEX(CdP,1,i_P+1)-INDEX(CdP,1,i_P+0))*(t-pas/2-T_ini-INDEX(CdP,1,i_P+0))+INDEX(CdP,2,i_P+0)</f>
        <v>605.71</v>
      </c>
      <c r="R191" s="418" t="n">
        <f aca="false">Poussee/(g*ISP)</f>
        <v>0.303977627928896</v>
      </c>
      <c r="S191" s="419" t="n">
        <f aca="false">S190-Débit*pas</f>
        <v>7.72326696468564</v>
      </c>
      <c r="T191" s="417" t="n">
        <f aca="false">m*g</f>
        <v>75.7652489235662</v>
      </c>
      <c r="U191" s="421" t="n">
        <f aca="false">IF(pos_xz&lt;L_rampe,Poids*COS(Beta),0)</f>
        <v>0</v>
      </c>
      <c r="V191" s="418" t="n">
        <f aca="false">Rho_moyen*(20000-Alt_rampe-pos_z)/(20000+Alt_rampe+pos_z)</f>
        <v>1.20780822042963</v>
      </c>
      <c r="W191" s="417" t="n">
        <f aca="false">1/2*Rho*Sref*Cx*vit_xz^2</f>
        <v>78.2638254755694</v>
      </c>
      <c r="X191" s="401"/>
      <c r="Y191" s="422" t="str">
        <f aca="false">IF(AND(pos_z&lt;=0,K190&gt;0),"Impact balistique","") &amp; IF(AND(H192&lt;0,vit_z&gt;=0),"Apogée","") &amp; IF(AND(Poussee=0,Q190&gt;0),"Fin de propulsion","") &amp; IF(AND(L192&gt;L_rampe,pos_xz&lt;=L_rampe),"Sortie de rampe","")</f>
        <v/>
      </c>
      <c r="Z191" s="423" t="str">
        <f aca="false">IF(ABS(t-T_para)&lt;pas/2,"Para","")</f>
        <v/>
      </c>
      <c r="AA191" s="424" t="str">
        <f aca="false">IF(ABS(t-T_satellite)&lt;pas/2,"Satellite","")</f>
        <v/>
      </c>
      <c r="AB191" s="412"/>
      <c r="AC191" s="420" t="e">
        <f aca="false">IF(ABS(t-ROUND(t,0))&lt;0.001,t,NA())</f>
        <v>#N/A</v>
      </c>
      <c r="AD191" s="425" t="e">
        <f aca="false">IF(ABS(t-ROUND(t,0))&lt;0.001,pos_x,NA())</f>
        <v>#N/A</v>
      </c>
      <c r="AE191" s="426" t="n">
        <f aca="false">IF(t&lt;T_para, pos_z, NA())</f>
        <v>141.332797431424</v>
      </c>
      <c r="AF191" s="412"/>
      <c r="AG191" s="418" t="n">
        <f aca="false">IF(AND(L190&lt;L_rampe,Poussee&lt;Poids*SIN(M190)),0,(-W190+Poussee)/m-Poids*SIN(M190)/m)</f>
        <v>58.7859107462823</v>
      </c>
      <c r="AH191" s="417" t="n">
        <f aca="false">IF(AND(L190&lt;L_rampe,Poussee&lt;Poids*SIN(M190)), g*SIN(M190), (-W190+Poussee)/m)</f>
        <v>68.3736264495369</v>
      </c>
    </row>
    <row r="192" customFormat="false" ht="12" hidden="false" customHeight="false" outlineLevel="0" collapsed="false">
      <c r="A192" s="416" t="n">
        <f aca="false">IF(B191+0.01&lt;=T_ini+ROUNDUP(Temps_fin_propu,0), 0.01, IF(K191&gt;0, 0.1, 0.0001))</f>
        <v>0.01</v>
      </c>
      <c r="B192" s="417" t="n">
        <f aca="false">B191+pas</f>
        <v>1.88</v>
      </c>
      <c r="C192" s="401"/>
      <c r="D192" s="418" t="n">
        <f aca="false">IF(AND(L191&lt;L_rampe,Poussee&lt;Poids*SIN(M191)),0,(-W191+Poussee)/m*COS(M191)-U191/m*SIN(M191))</f>
        <v>14.4308280983805</v>
      </c>
      <c r="E192" s="419" t="n">
        <f aca="false">IF(AND(L191&lt;L_rampe,Poussee&lt;Poids*SIN(M191)),0,(-W191+Poussee)/m*SIN(M191)+U191/m*COS(M191)-Poids/m)</f>
        <v>56.7750173544713</v>
      </c>
      <c r="F192" s="417" t="n">
        <f aca="false">SQRT(acc_x^2+acc_z^2)</f>
        <v>58.5802986950863</v>
      </c>
      <c r="G192" s="418" t="n">
        <f aca="false">G191+acc_x*pas</f>
        <v>30.8919000796131</v>
      </c>
      <c r="H192" s="419" t="n">
        <f aca="false">H191+acc_z*pas</f>
        <v>142.439645505018</v>
      </c>
      <c r="I192" s="417" t="n">
        <f aca="false">SQRT(vit_x^2+vit_z^2)</f>
        <v>145.75102779097</v>
      </c>
      <c r="J192" s="418" t="n">
        <f aca="false">J191+0.5*(vit_x+G191)*pas*(K191&gt;=0)</f>
        <v>29.1921089162807</v>
      </c>
      <c r="K192" s="419" t="n">
        <f aca="false">K191+0.5*(vit_z+H191)*pas</f>
        <v>142.754355135606</v>
      </c>
      <c r="L192" s="417" t="n">
        <f aca="false">SQRT(pos_x^2+pos_z^2)</f>
        <v>145.708562319319</v>
      </c>
      <c r="M192" s="418" t="n">
        <f aca="false">IF(AND(L191&gt;L_rampe,G192&gt;0),ATAN2(G192,H192),$M$4)</f>
        <v>1.35722667676112</v>
      </c>
      <c r="N192" s="417" t="n">
        <f aca="false">DEGREES(Beta)</f>
        <v>77.7633604209787</v>
      </c>
      <c r="O192" s="401"/>
      <c r="P192" s="420" t="n">
        <f aca="false">MATCH(t-pas/2-T_ini,CdP_t)</f>
        <v>5</v>
      </c>
      <c r="Q192" s="417" t="n">
        <f aca="false">(INDEX(CdP,2,i_P+1)-INDEX(CdP,2,i_P+0))/(INDEX(CdP,1,i_P+1)-INDEX(CdP,1,i_P+0))*(t-pas/2-T_ini-INDEX(CdP,1,i_P+0))+INDEX(CdP,2,i_P+0)</f>
        <v>604.25</v>
      </c>
      <c r="R192" s="418" t="n">
        <f aca="false">Poussee/(g*ISP)</f>
        <v>0.303244921952808</v>
      </c>
      <c r="S192" s="419" t="n">
        <f aca="false">S191-Débit*pas</f>
        <v>7.72023451546612</v>
      </c>
      <c r="T192" s="417" t="n">
        <f aca="false">m*g</f>
        <v>75.7355005967226</v>
      </c>
      <c r="U192" s="421" t="n">
        <f aca="false">IF(pos_xz&lt;L_rampe,Poids*COS(Beta),0)</f>
        <v>0</v>
      </c>
      <c r="V192" s="418" t="n">
        <f aca="false">Rho_moyen*(20000-Alt_rampe-pos_z)/(20000+Alt_rampe+pos_z)</f>
        <v>1.20763652706498</v>
      </c>
      <c r="W192" s="417" t="n">
        <f aca="false">1/2*Rho*Sref*Cx*vit_xz^2</f>
        <v>78.8851407233452</v>
      </c>
      <c r="X192" s="401"/>
      <c r="Y192" s="422" t="str">
        <f aca="false">IF(AND(pos_z&lt;=0,K191&gt;0),"Impact balistique","") &amp; IF(AND(H193&lt;0,vit_z&gt;=0),"Apogée","") &amp; IF(AND(Poussee=0,Q191&gt;0),"Fin de propulsion","") &amp; IF(AND(L193&gt;L_rampe,pos_xz&lt;=L_rampe),"Sortie de rampe","")</f>
        <v/>
      </c>
      <c r="Z192" s="423" t="str">
        <f aca="false">IF(ABS(t-T_para)&lt;pas/2,"Para","")</f>
        <v/>
      </c>
      <c r="AA192" s="424" t="str">
        <f aca="false">IF(ABS(t-T_satellite)&lt;pas/2,"Satellite","")</f>
        <v/>
      </c>
      <c r="AB192" s="412"/>
      <c r="AC192" s="420" t="e">
        <f aca="false">IF(ABS(t-ROUND(t,0))&lt;0.001,t,NA())</f>
        <v>#N/A</v>
      </c>
      <c r="AD192" s="425" t="e">
        <f aca="false">IF(ABS(t-ROUND(t,0))&lt;0.001,pos_x,NA())</f>
        <v>#N/A</v>
      </c>
      <c r="AE192" s="426" t="n">
        <f aca="false">IF(t&lt;T_para, pos_z, NA())</f>
        <v>142.754355135606</v>
      </c>
      <c r="AF192" s="412"/>
      <c r="AG192" s="418" t="n">
        <f aca="false">IF(AND(L191&lt;L_rampe,Poussee&lt;Poids*SIN(M191)),0,(-W191+Poussee)/m-Poids*SIN(M191)/m)</f>
        <v>58.5434359275377</v>
      </c>
      <c r="AH192" s="417" t="n">
        <f aca="false">IF(AND(L191&lt;L_rampe,Poussee&lt;Poids*SIN(M191)), g*SIN(M191), (-W191+Poussee)/m)</f>
        <v>68.1308545058717</v>
      </c>
    </row>
    <row r="193" customFormat="false" ht="12" hidden="false" customHeight="false" outlineLevel="0" collapsed="false">
      <c r="A193" s="416" t="n">
        <f aca="false">IF(B192+0.01&lt;=T_ini+ROUNDUP(Temps_fin_propu,0), 0.01, IF(K192&gt;0, 0.1, 0.0001))</f>
        <v>0.01</v>
      </c>
      <c r="B193" s="417" t="n">
        <f aca="false">B192+pas</f>
        <v>1.89</v>
      </c>
      <c r="C193" s="401"/>
      <c r="D193" s="418" t="n">
        <f aca="false">IF(AND(L192&lt;L_rampe,Poussee&lt;Poids*SIN(M192)),0,(-W192+Poussee)/m*COS(M192)-U192/m*SIN(M192))</f>
        <v>14.3888186119968</v>
      </c>
      <c r="E193" s="419" t="n">
        <f aca="false">IF(AND(L192&lt;L_rampe,Poussee&lt;Poids*SIN(M192)),0,(-W192+Poussee)/m*SIN(M192)+U192/m*COS(M192)-Poids/m)</f>
        <v>56.5354891750543</v>
      </c>
      <c r="F193" s="417" t="n">
        <f aca="false">SQRT(acc_x^2+acc_z^2)</f>
        <v>58.3378062435641</v>
      </c>
      <c r="G193" s="418" t="n">
        <f aca="false">G192+acc_x*pas</f>
        <v>31.0357882657331</v>
      </c>
      <c r="H193" s="419" t="n">
        <f aca="false">H192+acc_z*pas</f>
        <v>143.005000396769</v>
      </c>
      <c r="I193" s="417" t="n">
        <f aca="false">SQRT(vit_x^2+vit_z^2)</f>
        <v>146.334036682363</v>
      </c>
      <c r="J193" s="418" t="n">
        <f aca="false">J192+0.5*(vit_x+G192)*pas*(K192&gt;=0)</f>
        <v>29.5017473580075</v>
      </c>
      <c r="K193" s="419" t="n">
        <f aca="false">K192+0.5*(vit_z+H192)*pas</f>
        <v>144.181578365115</v>
      </c>
      <c r="L193" s="417" t="n">
        <f aca="false">SQRT(pos_x^2+pos_z^2)</f>
        <v>147.168884744811</v>
      </c>
      <c r="M193" s="418" t="n">
        <f aca="false">IF(AND(L192&gt;L_rampe,G193&gt;0),ATAN2(G193,H193),$M$4)</f>
        <v>1.35708458900646</v>
      </c>
      <c r="N193" s="417" t="n">
        <f aca="false">DEGREES(Beta)</f>
        <v>77.7552193923162</v>
      </c>
      <c r="O193" s="401"/>
      <c r="P193" s="420" t="n">
        <f aca="false">MATCH(t-pas/2-T_ini,CdP_t)</f>
        <v>5</v>
      </c>
      <c r="Q193" s="417" t="n">
        <f aca="false">(INDEX(CdP,2,i_P+1)-INDEX(CdP,2,i_P+0))/(INDEX(CdP,1,i_P+1)-INDEX(CdP,1,i_P+0))*(t-pas/2-T_ini-INDEX(CdP,1,i_P+0))+INDEX(CdP,2,i_P+0)</f>
        <v>602.79</v>
      </c>
      <c r="R193" s="418" t="n">
        <f aca="false">Poussee/(g*ISP)</f>
        <v>0.30251221597672</v>
      </c>
      <c r="S193" s="419" t="n">
        <f aca="false">S192-Débit*pas</f>
        <v>7.71720939330635</v>
      </c>
      <c r="T193" s="417" t="n">
        <f aca="false">m*g</f>
        <v>75.7058241483353</v>
      </c>
      <c r="U193" s="421" t="n">
        <f aca="false">IF(pos_xz&lt;L_rampe,Poids*COS(Beta),0)</f>
        <v>0</v>
      </c>
      <c r="V193" s="418" t="n">
        <f aca="false">Rho_moyen*(20000-Alt_rampe-pos_z)/(20000+Alt_rampe+pos_z)</f>
        <v>1.20746417380521</v>
      </c>
      <c r="W193" s="417" t="n">
        <f aca="false">1/2*Rho*Sref*Cx*vit_xz^2</f>
        <v>79.5061405116277</v>
      </c>
      <c r="X193" s="401"/>
      <c r="Y193" s="422" t="str">
        <f aca="false">IF(AND(pos_z&lt;=0,K192&gt;0),"Impact balistique","") &amp; IF(AND(H194&lt;0,vit_z&gt;=0),"Apogée","") &amp; IF(AND(Poussee=0,Q192&gt;0),"Fin de propulsion","") &amp; IF(AND(L194&gt;L_rampe,pos_xz&lt;=L_rampe),"Sortie de rampe","")</f>
        <v/>
      </c>
      <c r="Z193" s="423" t="str">
        <f aca="false">IF(ABS(t-T_para)&lt;pas/2,"Para","")</f>
        <v/>
      </c>
      <c r="AA193" s="424" t="str">
        <f aca="false">IF(ABS(t-T_satellite)&lt;pas/2,"Satellite","")</f>
        <v/>
      </c>
      <c r="AB193" s="412"/>
      <c r="AC193" s="420" t="e">
        <f aca="false">IF(ABS(t-ROUND(t,0))&lt;0.001,t,NA())</f>
        <v>#N/A</v>
      </c>
      <c r="AD193" s="425" t="e">
        <f aca="false">IF(ABS(t-ROUND(t,0))&lt;0.001,pos_x,NA())</f>
        <v>#N/A</v>
      </c>
      <c r="AE193" s="426" t="n">
        <f aca="false">IF(t&lt;T_para, pos_z, NA())</f>
        <v>144.181578365115</v>
      </c>
      <c r="AF193" s="412"/>
      <c r="AG193" s="418" t="n">
        <f aca="false">IF(AND(L192&lt;L_rampe,Poussee&lt;Poids*SIN(M192)),0,(-W192+Poussee)/m-Poids*SIN(M192)/m)</f>
        <v>58.300741422967</v>
      </c>
      <c r="AH193" s="417" t="n">
        <f aca="false">IF(AND(L192&lt;L_rampe,Poussee&lt;Poids*SIN(M192)), g*SIN(M192), (-W192+Poussee)/m)</f>
        <v>67.8878636792041</v>
      </c>
    </row>
    <row r="194" customFormat="false" ht="12" hidden="false" customHeight="false" outlineLevel="0" collapsed="false">
      <c r="A194" s="416" t="n">
        <f aca="false">IF(B193+0.01&lt;=T_ini+ROUNDUP(Temps_fin_propu,0), 0.01, IF(K193&gt;0, 0.1, 0.0001))</f>
        <v>0.01</v>
      </c>
      <c r="B194" s="417" t="n">
        <f aca="false">B193+pas</f>
        <v>1.9</v>
      </c>
      <c r="C194" s="401"/>
      <c r="D194" s="418" t="n">
        <f aca="false">IF(AND(L193&lt;L_rampe,Poussee&lt;Poids*SIN(M193)),0,(-W193+Poussee)/m*COS(M193)-U193/m*SIN(M193))</f>
        <v>14.3466643788568</v>
      </c>
      <c r="E194" s="419" t="n">
        <f aca="false">IF(AND(L193&lt;L_rampe,Poussee&lt;Poids*SIN(M193)),0,(-W193+Poussee)/m*SIN(M193)+U193/m*COS(M193)-Poids/m)</f>
        <v>56.2957720726869</v>
      </c>
      <c r="F194" s="417" t="n">
        <f aca="false">SQRT(acc_x^2+acc_z^2)</f>
        <v>58.0951007578046</v>
      </c>
      <c r="G194" s="418" t="n">
        <f aca="false">G193+acc_x*pas</f>
        <v>31.1792549095217</v>
      </c>
      <c r="H194" s="419" t="n">
        <f aca="false">H193+acc_z*pas</f>
        <v>143.567958117496</v>
      </c>
      <c r="I194" s="417" t="n">
        <f aca="false">SQRT(vit_x^2+vit_z^2)</f>
        <v>146.914616477531</v>
      </c>
      <c r="J194" s="418" t="n">
        <f aca="false">J193+0.5*(vit_x+G193)*pas*(K193&gt;=0)</f>
        <v>29.8128225738837</v>
      </c>
      <c r="K194" s="419" t="n">
        <f aca="false">K193+0.5*(vit_z+H193)*pas</f>
        <v>145.614443157687</v>
      </c>
      <c r="L194" s="417" t="n">
        <f aca="false">SQRT(pos_x^2+pos_z^2)</f>
        <v>148.635024290862</v>
      </c>
      <c r="M194" s="418" t="n">
        <f aca="false">IF(AND(L193&gt;L_rampe,G194&gt;0),ATAN2(G194,H194),$M$4)</f>
        <v>1.35694297003677</v>
      </c>
      <c r="N194" s="417" t="n">
        <f aca="false">DEGREES(Beta)</f>
        <v>77.7471052230536</v>
      </c>
      <c r="O194" s="401"/>
      <c r="P194" s="420" t="n">
        <f aca="false">MATCH(t-pas/2-T_ini,CdP_t)</f>
        <v>5</v>
      </c>
      <c r="Q194" s="417" t="n">
        <f aca="false">(INDEX(CdP,2,i_P+1)-INDEX(CdP,2,i_P+0))/(INDEX(CdP,1,i_P+1)-INDEX(CdP,1,i_P+0))*(t-pas/2-T_ini-INDEX(CdP,1,i_P+0))+INDEX(CdP,2,i_P+0)</f>
        <v>601.33</v>
      </c>
      <c r="R194" s="418" t="n">
        <f aca="false">Poussee/(g*ISP)</f>
        <v>0.301779510000632</v>
      </c>
      <c r="S194" s="419" t="n">
        <f aca="false">S193-Débit*pas</f>
        <v>7.71419159820634</v>
      </c>
      <c r="T194" s="417" t="n">
        <f aca="false">m*g</f>
        <v>75.6762195784042</v>
      </c>
      <c r="U194" s="421" t="n">
        <f aca="false">IF(pos_xz&lt;L_rampe,Poids*COS(Beta),0)</f>
        <v>0</v>
      </c>
      <c r="V194" s="418" t="n">
        <f aca="false">Rho_moyen*(20000-Alt_rampe-pos_z)/(20000+Alt_rampe+pos_z)</f>
        <v>1.20729116382908</v>
      </c>
      <c r="W194" s="417" t="n">
        <f aca="false">1/2*Rho*Sref*Cx*vit_xz^2</f>
        <v>80.1267901958019</v>
      </c>
      <c r="X194" s="401"/>
      <c r="Y194" s="422" t="str">
        <f aca="false">IF(AND(pos_z&lt;=0,K193&gt;0),"Impact balistique","") &amp; IF(AND(H195&lt;0,vit_z&gt;=0),"Apogée","") &amp; IF(AND(Poussee=0,Q193&gt;0),"Fin de propulsion","") &amp; IF(AND(L195&gt;L_rampe,pos_xz&lt;=L_rampe),"Sortie de rampe","")</f>
        <v/>
      </c>
      <c r="Z194" s="423" t="str">
        <f aca="false">IF(ABS(t-T_para)&lt;pas/2,"Para","")</f>
        <v/>
      </c>
      <c r="AA194" s="424" t="str">
        <f aca="false">IF(ABS(t-T_satellite)&lt;pas/2,"Satellite","")</f>
        <v/>
      </c>
      <c r="AB194" s="412"/>
      <c r="AC194" s="420" t="e">
        <f aca="false">IF(ABS(t-ROUND(t,0))&lt;0.001,t,NA())</f>
        <v>#N/A</v>
      </c>
      <c r="AD194" s="425" t="e">
        <f aca="false">IF(ABS(t-ROUND(t,0))&lt;0.001,pos_x,NA())</f>
        <v>#N/A</v>
      </c>
      <c r="AE194" s="426" t="n">
        <f aca="false">IF(t&lt;T_para, pos_z, NA())</f>
        <v>145.614443157687</v>
      </c>
      <c r="AF194" s="412"/>
      <c r="AG194" s="418" t="n">
        <f aca="false">IF(AND(L193&lt;L_rampe,Poussee&lt;Poids*SIN(M193)),0,(-W193+Poussee)/m-Poids*SIN(M193)/m)</f>
        <v>58.057832191249</v>
      </c>
      <c r="AH194" s="417" t="n">
        <f aca="false">IF(AND(L193&lt;L_rampe,Poussee&lt;Poids*SIN(M193)), g*SIN(M193), (-W193+Poussee)/m)</f>
        <v>67.6446589179485</v>
      </c>
    </row>
    <row r="195" customFormat="false" ht="12" hidden="false" customHeight="false" outlineLevel="0" collapsed="false">
      <c r="A195" s="416" t="n">
        <f aca="false">IF(B194+0.01&lt;=T_ini+ROUNDUP(Temps_fin_propu,0), 0.01, IF(K194&gt;0, 0.1, 0.0001))</f>
        <v>0.01</v>
      </c>
      <c r="B195" s="417" t="n">
        <f aca="false">B194+pas</f>
        <v>1.91</v>
      </c>
      <c r="C195" s="401"/>
      <c r="D195" s="418" t="n">
        <f aca="false">IF(AND(L194&lt;L_rampe,Poussee&lt;Poids*SIN(M194)),0,(-W194+Poussee)/m*COS(M194)-U194/m*SIN(M194))</f>
        <v>14.304367083108</v>
      </c>
      <c r="E195" s="419" t="n">
        <f aca="false">IF(AND(L194&lt;L_rampe,Poussee&lt;Poids*SIN(M194)),0,(-W194+Poussee)/m*SIN(M194)+U194/m*COS(M194)-Poids/m)</f>
        <v>56.0558707606825</v>
      </c>
      <c r="F195" s="417" t="n">
        <f aca="false">SQRT(acc_x^2+acc_z^2)</f>
        <v>57.8521872048641</v>
      </c>
      <c r="G195" s="418" t="n">
        <f aca="false">G194+acc_x*pas</f>
        <v>31.3222985803528</v>
      </c>
      <c r="H195" s="419" t="n">
        <f aca="false">H194+acc_z*pas</f>
        <v>144.128516825103</v>
      </c>
      <c r="I195" s="417" t="n">
        <f aca="false">SQRT(vit_x^2+vit_z^2)</f>
        <v>147.4927650787</v>
      </c>
      <c r="J195" s="418" t="n">
        <f aca="false">J194+0.5*(vit_x+G194)*pas*(K194&gt;=0)</f>
        <v>30.1253303413331</v>
      </c>
      <c r="K195" s="419" t="n">
        <f aca="false">K194+0.5*(vit_z+H194)*pas</f>
        <v>147.0529255324</v>
      </c>
      <c r="L195" s="417" t="n">
        <f aca="false">SQRT(pos_x^2+pos_z^2)</f>
        <v>150.10695665362</v>
      </c>
      <c r="M195" s="418" t="n">
        <f aca="false">IF(AND(L194&gt;L_rampe,G195&gt;0),ATAN2(G195,H195),$M$4)</f>
        <v>1.35680181414235</v>
      </c>
      <c r="N195" s="417" t="n">
        <f aca="false">DEGREES(Beta)</f>
        <v>77.73901758605</v>
      </c>
      <c r="O195" s="401"/>
      <c r="P195" s="420" t="n">
        <f aca="false">MATCH(t-pas/2-T_ini,CdP_t)</f>
        <v>5</v>
      </c>
      <c r="Q195" s="417" t="n">
        <f aca="false">(INDEX(CdP,2,i_P+1)-INDEX(CdP,2,i_P+0))/(INDEX(CdP,1,i_P+1)-INDEX(CdP,1,i_P+0))*(t-pas/2-T_ini-INDEX(CdP,1,i_P+0))+INDEX(CdP,2,i_P+0)</f>
        <v>599.87</v>
      </c>
      <c r="R195" s="418" t="n">
        <f aca="false">Poussee/(g*ISP)</f>
        <v>0.301046804024544</v>
      </c>
      <c r="S195" s="419" t="n">
        <f aca="false">S194-Débit*pas</f>
        <v>7.7111811301661</v>
      </c>
      <c r="T195" s="417" t="n">
        <f aca="false">m*g</f>
        <v>75.6466868869294</v>
      </c>
      <c r="U195" s="421" t="n">
        <f aca="false">IF(pos_xz&lt;L_rampe,Poids*COS(Beta),0)</f>
        <v>0</v>
      </c>
      <c r="V195" s="418" t="n">
        <f aca="false">Rho_moyen*(20000-Alt_rampe-pos_z)/(20000+Alt_rampe+pos_z)</f>
        <v>1.20711750031699</v>
      </c>
      <c r="W195" s="417" t="n">
        <f aca="false">1/2*Rho*Sref*Cx*vit_xz^2</f>
        <v>80.7470553062586</v>
      </c>
      <c r="X195" s="401"/>
      <c r="Y195" s="422" t="str">
        <f aca="false">IF(AND(pos_z&lt;=0,K194&gt;0),"Impact balistique","") &amp; IF(AND(H196&lt;0,vit_z&gt;=0),"Apogée","") &amp; IF(AND(Poussee=0,Q194&gt;0),"Fin de propulsion","") &amp; IF(AND(L196&gt;L_rampe,pos_xz&lt;=L_rampe),"Sortie de rampe","")</f>
        <v/>
      </c>
      <c r="Z195" s="423" t="str">
        <f aca="false">IF(ABS(t-T_para)&lt;pas/2,"Para","")</f>
        <v/>
      </c>
      <c r="AA195" s="424" t="str">
        <f aca="false">IF(ABS(t-T_satellite)&lt;pas/2,"Satellite","")</f>
        <v/>
      </c>
      <c r="AB195" s="412"/>
      <c r="AC195" s="420" t="e">
        <f aca="false">IF(ABS(t-ROUND(t,0))&lt;0.001,t,NA())</f>
        <v>#N/A</v>
      </c>
      <c r="AD195" s="425" t="e">
        <f aca="false">IF(ABS(t-ROUND(t,0))&lt;0.001,pos_x,NA())</f>
        <v>#N/A</v>
      </c>
      <c r="AE195" s="426" t="n">
        <f aca="false">IF(t&lt;T_para, pos_z, NA())</f>
        <v>147.0529255324</v>
      </c>
      <c r="AF195" s="412"/>
      <c r="AG195" s="418" t="n">
        <f aca="false">IF(AND(L194&lt;L_rampe,Poussee&lt;Poids*SIN(M194)),0,(-W194+Poussee)/m-Poids*SIN(M194)/m)</f>
        <v>57.8147131773785</v>
      </c>
      <c r="AH195" s="417" t="n">
        <f aca="false">IF(AND(L194&lt;L_rampe,Poussee&lt;Poids*SIN(M194)), g*SIN(M194), (-W194+Poussee)/m)</f>
        <v>67.4012451569793</v>
      </c>
    </row>
    <row r="196" customFormat="false" ht="12" hidden="false" customHeight="false" outlineLevel="0" collapsed="false">
      <c r="A196" s="416" t="n">
        <f aca="false">IF(B195+0.01&lt;=T_ini+ROUNDUP(Temps_fin_propu,0), 0.01, IF(K195&gt;0, 0.1, 0.0001))</f>
        <v>0.01</v>
      </c>
      <c r="B196" s="417" t="n">
        <f aca="false">B195+pas</f>
        <v>1.92</v>
      </c>
      <c r="C196" s="401"/>
      <c r="D196" s="418" t="n">
        <f aca="false">IF(AND(L195&lt;L_rampe,Poussee&lt;Poids*SIN(M195)),0,(-W195+Poussee)/m*COS(M195)-U195/m*SIN(M195))</f>
        <v>14.2619283980509</v>
      </c>
      <c r="E196" s="419" t="n">
        <f aca="false">IF(AND(L195&lt;L_rampe,Poussee&lt;Poids*SIN(M195)),0,(-W195+Poussee)/m*SIN(M195)+U195/m*COS(M195)-Poids/m)</f>
        <v>55.8157899401498</v>
      </c>
      <c r="F196" s="417" t="n">
        <f aca="false">SQRT(acc_x^2+acc_z^2)</f>
        <v>57.6090705381892</v>
      </c>
      <c r="G196" s="418" t="n">
        <f aca="false">G195+acc_x*pas</f>
        <v>31.4649178643333</v>
      </c>
      <c r="H196" s="419" t="n">
        <f aca="false">H195+acc_z*pas</f>
        <v>144.686674724504</v>
      </c>
      <c r="I196" s="417" t="n">
        <f aca="false">SQRT(vit_x^2+vit_z^2)</f>
        <v>148.06848043741</v>
      </c>
      <c r="J196" s="418" t="n">
        <f aca="false">J195+0.5*(vit_x+G195)*pas*(K195&gt;=0)</f>
        <v>30.4392664235565</v>
      </c>
      <c r="K196" s="419" t="n">
        <f aca="false">K195+0.5*(vit_z+H195)*pas</f>
        <v>148.497001490148</v>
      </c>
      <c r="L196" s="417" t="n">
        <f aca="false">SQRT(pos_x^2+pos_z^2)</f>
        <v>151.5846575085</v>
      </c>
      <c r="M196" s="418" t="n">
        <f aca="false">IF(AND(L195&gt;L_rampe,G196&gt;0),ATAN2(G196,H196),$M$4)</f>
        <v>1.35666111569754</v>
      </c>
      <c r="N196" s="417" t="n">
        <f aca="false">DEGREES(Beta)</f>
        <v>77.7309561589786</v>
      </c>
      <c r="O196" s="401"/>
      <c r="P196" s="420" t="n">
        <f aca="false">MATCH(t-pas/2-T_ini,CdP_t)</f>
        <v>5</v>
      </c>
      <c r="Q196" s="417" t="n">
        <f aca="false">(INDEX(CdP,2,i_P+1)-INDEX(CdP,2,i_P+0))/(INDEX(CdP,1,i_P+1)-INDEX(CdP,1,i_P+0))*(t-pas/2-T_ini-INDEX(CdP,1,i_P+0))+INDEX(CdP,2,i_P+0)</f>
        <v>598.41</v>
      </c>
      <c r="R196" s="418" t="n">
        <f aca="false">Poussee/(g*ISP)</f>
        <v>0.300314098048456</v>
      </c>
      <c r="S196" s="419" t="n">
        <f aca="false">S195-Débit*pas</f>
        <v>7.70817798918561</v>
      </c>
      <c r="T196" s="417" t="n">
        <f aca="false">m*g</f>
        <v>75.6172260739109</v>
      </c>
      <c r="U196" s="421" t="n">
        <f aca="false">IF(pos_xz&lt;L_rampe,Poids*COS(Beta),0)</f>
        <v>0</v>
      </c>
      <c r="V196" s="418" t="n">
        <f aca="false">Rho_moyen*(20000-Alt_rampe-pos_z)/(20000+Alt_rampe+pos_z)</f>
        <v>1.20694318645088</v>
      </c>
      <c r="W196" s="417" t="n">
        <f aca="false">1/2*Rho*Sref*Cx*vit_xz^2</f>
        <v>81.3669015497576</v>
      </c>
      <c r="X196" s="401"/>
      <c r="Y196" s="422" t="str">
        <f aca="false">IF(AND(pos_z&lt;=0,K195&gt;0),"Impact balistique","") &amp; IF(AND(H197&lt;0,vit_z&gt;=0),"Apogée","") &amp; IF(AND(Poussee=0,Q195&gt;0),"Fin de propulsion","") &amp; IF(AND(L197&gt;L_rampe,pos_xz&lt;=L_rampe),"Sortie de rampe","")</f>
        <v/>
      </c>
      <c r="Z196" s="423" t="str">
        <f aca="false">IF(ABS(t-T_para)&lt;pas/2,"Para","")</f>
        <v/>
      </c>
      <c r="AA196" s="424" t="str">
        <f aca="false">IF(ABS(t-T_satellite)&lt;pas/2,"Satellite","")</f>
        <v/>
      </c>
      <c r="AB196" s="412"/>
      <c r="AC196" s="420" t="e">
        <f aca="false">IF(ABS(t-ROUND(t,0))&lt;0.001,t,NA())</f>
        <v>#N/A</v>
      </c>
      <c r="AD196" s="425" t="e">
        <f aca="false">IF(ABS(t-ROUND(t,0))&lt;0.001,pos_x,NA())</f>
        <v>#N/A</v>
      </c>
      <c r="AE196" s="426" t="n">
        <f aca="false">IF(t&lt;T_para, pos_z, NA())</f>
        <v>148.497001490148</v>
      </c>
      <c r="AF196" s="412"/>
      <c r="AG196" s="418" t="n">
        <f aca="false">IF(AND(L195&lt;L_rampe,Poussee&lt;Poids*SIN(M195)),0,(-W195+Poussee)/m-Poids*SIN(M195)/m)</f>
        <v>57.5713893124165</v>
      </c>
      <c r="AH196" s="417" t="n">
        <f aca="false">IF(AND(L195&lt;L_rampe,Poussee&lt;Poids*SIN(M195)), g*SIN(M195), (-W195+Poussee)/m)</f>
        <v>67.1576273173777</v>
      </c>
    </row>
    <row r="197" customFormat="false" ht="12" hidden="false" customHeight="false" outlineLevel="0" collapsed="false">
      <c r="A197" s="416" t="n">
        <f aca="false">IF(B196+0.01&lt;=T_ini+ROUNDUP(Temps_fin_propu,0), 0.01, IF(K196&gt;0, 0.1, 0.0001))</f>
        <v>0.01</v>
      </c>
      <c r="B197" s="417" t="n">
        <f aca="false">B196+pas</f>
        <v>1.93</v>
      </c>
      <c r="C197" s="401"/>
      <c r="D197" s="418" t="n">
        <f aca="false">IF(AND(L196&lt;L_rampe,Poussee&lt;Poids*SIN(M196)),0,(-W196+Poussee)/m*COS(M196)-U196/m*SIN(M196))</f>
        <v>14.2193499862623</v>
      </c>
      <c r="E197" s="419" t="n">
        <f aca="false">IF(AND(L196&lt;L_rampe,Poussee&lt;Poids*SIN(M196)),0,(-W196+Poussee)/m*SIN(M196)+U196/m*COS(M196)-Poids/m)</f>
        <v>55.5755342997193</v>
      </c>
      <c r="F197" s="417" t="n">
        <f aca="false">SQRT(acc_x^2+acc_z^2)</f>
        <v>57.3657556973766</v>
      </c>
      <c r="G197" s="418" t="n">
        <f aca="false">G196+acc_x*pas</f>
        <v>31.6071113641959</v>
      </c>
      <c r="H197" s="419" t="n">
        <f aca="false">H196+acc_z*pas</f>
        <v>145.242430067501</v>
      </c>
      <c r="I197" s="417" t="n">
        <f aca="false">SQRT(vit_x^2+vit_z^2)</f>
        <v>148.641760554367</v>
      </c>
      <c r="J197" s="418" t="n">
        <f aca="false">J196+0.5*(vit_x+G196)*pas*(K196&gt;=0)</f>
        <v>30.7546265696992</v>
      </c>
      <c r="K197" s="419" t="n">
        <f aca="false">K196+0.5*(vit_z+H196)*pas</f>
        <v>149.946647014108</v>
      </c>
      <c r="L197" s="417" t="n">
        <f aca="false">SQRT(pos_x^2+pos_z^2)</f>
        <v>153.068102510664</v>
      </c>
      <c r="M197" s="418" t="n">
        <f aca="false">IF(AND(L196&gt;L_rampe,G197&gt;0),ATAN2(G197,H197),$M$4)</f>
        <v>1.35652086915898</v>
      </c>
      <c r="N197" s="417" t="n">
        <f aca="false">DEGREES(Beta)</f>
        <v>77.7229206242277</v>
      </c>
      <c r="O197" s="401"/>
      <c r="P197" s="420" t="n">
        <f aca="false">MATCH(t-pas/2-T_ini,CdP_t)</f>
        <v>5</v>
      </c>
      <c r="Q197" s="417" t="n">
        <f aca="false">(INDEX(CdP,2,i_P+1)-INDEX(CdP,2,i_P+0))/(INDEX(CdP,1,i_P+1)-INDEX(CdP,1,i_P+0))*(t-pas/2-T_ini-INDEX(CdP,1,i_P+0))+INDEX(CdP,2,i_P+0)</f>
        <v>596.95</v>
      </c>
      <c r="R197" s="418" t="n">
        <f aca="false">Poussee/(g*ISP)</f>
        <v>0.299581392072368</v>
      </c>
      <c r="S197" s="419" t="n">
        <f aca="false">S196-Débit*pas</f>
        <v>7.70518217526489</v>
      </c>
      <c r="T197" s="417" t="n">
        <f aca="false">m*g</f>
        <v>75.5878371393486</v>
      </c>
      <c r="U197" s="421" t="n">
        <f aca="false">IF(pos_xz&lt;L_rampe,Poids*COS(Beta),0)</f>
        <v>0</v>
      </c>
      <c r="V197" s="418" t="n">
        <f aca="false">Rho_moyen*(20000-Alt_rampe-pos_z)/(20000+Alt_rampe+pos_z)</f>
        <v>1.20676822541418</v>
      </c>
      <c r="W197" s="417" t="n">
        <f aca="false">1/2*Rho*Sref*Cx*vit_xz^2</f>
        <v>81.9862948107667</v>
      </c>
      <c r="X197" s="401"/>
      <c r="Y197" s="422" t="str">
        <f aca="false">IF(AND(pos_z&lt;=0,K196&gt;0),"Impact balistique","") &amp; IF(AND(H198&lt;0,vit_z&gt;=0),"Apogée","") &amp; IF(AND(Poussee=0,Q196&gt;0),"Fin de propulsion","") &amp; IF(AND(L198&gt;L_rampe,pos_xz&lt;=L_rampe),"Sortie de rampe","")</f>
        <v/>
      </c>
      <c r="Z197" s="423" t="str">
        <f aca="false">IF(ABS(t-T_para)&lt;pas/2,"Para","")</f>
        <v/>
      </c>
      <c r="AA197" s="424" t="str">
        <f aca="false">IF(ABS(t-T_satellite)&lt;pas/2,"Satellite","")</f>
        <v/>
      </c>
      <c r="AB197" s="412"/>
      <c r="AC197" s="420" t="e">
        <f aca="false">IF(ABS(t-ROUND(t,0))&lt;0.001,t,NA())</f>
        <v>#N/A</v>
      </c>
      <c r="AD197" s="425" t="e">
        <f aca="false">IF(ABS(t-ROUND(t,0))&lt;0.001,pos_x,NA())</f>
        <v>#N/A</v>
      </c>
      <c r="AE197" s="426" t="n">
        <f aca="false">IF(t&lt;T_para, pos_z, NA())</f>
        <v>149.946647014108</v>
      </c>
      <c r="AF197" s="412"/>
      <c r="AG197" s="418" t="n">
        <f aca="false">IF(AND(L196&lt;L_rampe,Poussee&lt;Poids*SIN(M196)),0,(-W196+Poussee)/m-Poids*SIN(M196)/m)</f>
        <v>57.327865513242</v>
      </c>
      <c r="AH197" s="417" t="n">
        <f aca="false">IF(AND(L196&lt;L_rampe,Poussee&lt;Poids*SIN(M196)), g*SIN(M196), (-W196+Poussee)/m)</f>
        <v>66.9138103061811</v>
      </c>
    </row>
    <row r="198" customFormat="false" ht="12" hidden="false" customHeight="false" outlineLevel="0" collapsed="false">
      <c r="A198" s="416" t="n">
        <f aca="false">IF(B197+0.01&lt;=T_ini+ROUNDUP(Temps_fin_propu,0), 0.01, IF(K197&gt;0, 0.1, 0.0001))</f>
        <v>0.01</v>
      </c>
      <c r="B198" s="417" t="n">
        <f aca="false">B197+pas</f>
        <v>1.94</v>
      </c>
      <c r="C198" s="401"/>
      <c r="D198" s="418" t="n">
        <f aca="false">IF(AND(L197&lt;L_rampe,Poussee&lt;Poids*SIN(M197)),0,(-W197+Poussee)/m*COS(M197)-U197/m*SIN(M197))</f>
        <v>14.1766334997142</v>
      </c>
      <c r="E198" s="419" t="n">
        <f aca="false">IF(AND(L197&lt;L_rampe,Poussee&lt;Poids*SIN(M197)),0,(-W197+Poussee)/m*SIN(M197)+U197/m*COS(M197)-Poids/m)</f>
        <v>55.3351085152724</v>
      </c>
      <c r="F198" s="417" t="n">
        <f aca="false">SQRT(acc_x^2+acc_z^2)</f>
        <v>57.1222476079346</v>
      </c>
      <c r="G198" s="418" t="n">
        <f aca="false">G197+acc_x*pas</f>
        <v>31.748877699193</v>
      </c>
      <c r="H198" s="419" t="n">
        <f aca="false">H197+acc_z*pas</f>
        <v>145.795781152654</v>
      </c>
      <c r="I198" s="417" t="n">
        <f aca="false">SQRT(vit_x^2+vit_z^2)</f>
        <v>149.2126034793</v>
      </c>
      <c r="J198" s="418" t="n">
        <f aca="false">J197+0.5*(vit_x+G197)*pas*(K197&gt;=0)</f>
        <v>31.0714065150161</v>
      </c>
      <c r="K198" s="419" t="n">
        <f aca="false">K197+0.5*(vit_z+H197)*pas</f>
        <v>151.401838070208</v>
      </c>
      <c r="L198" s="417" t="n">
        <f aca="false">SQRT(pos_x^2+pos_z^2)</f>
        <v>154.557267295521</v>
      </c>
      <c r="M198" s="418" t="n">
        <f aca="false">IF(AND(L197&gt;L_rampe,G198&gt;0),ATAN2(G198,H198),$M$4)</f>
        <v>1.3563810690639</v>
      </c>
      <c r="N198" s="417" t="n">
        <f aca="false">DEGREES(Beta)</f>
        <v>77.7149106688041</v>
      </c>
      <c r="O198" s="401"/>
      <c r="P198" s="420" t="n">
        <f aca="false">MATCH(t-pas/2-T_ini,CdP_t)</f>
        <v>5</v>
      </c>
      <c r="Q198" s="417" t="n">
        <f aca="false">(INDEX(CdP,2,i_P+1)-INDEX(CdP,2,i_P+0))/(INDEX(CdP,1,i_P+1)-INDEX(CdP,1,i_P+0))*(t-pas/2-T_ini-INDEX(CdP,1,i_P+0))+INDEX(CdP,2,i_P+0)</f>
        <v>595.49</v>
      </c>
      <c r="R198" s="418" t="n">
        <f aca="false">Poussee/(g*ISP)</f>
        <v>0.29884868609628</v>
      </c>
      <c r="S198" s="419" t="n">
        <f aca="false">S197-Débit*pas</f>
        <v>7.70219368840393</v>
      </c>
      <c r="T198" s="417" t="n">
        <f aca="false">m*g</f>
        <v>75.5585200832425</v>
      </c>
      <c r="U198" s="421" t="n">
        <f aca="false">IF(pos_xz&lt;L_rampe,Poids*COS(Beta),0)</f>
        <v>0</v>
      </c>
      <c r="V198" s="418" t="n">
        <f aca="false">Rho_moyen*(20000-Alt_rampe-pos_z)/(20000+Alt_rampe+pos_z)</f>
        <v>1.20659262039174</v>
      </c>
      <c r="W198" s="417" t="n">
        <f aca="false">1/2*Rho*Sref*Cx*vit_xz^2</f>
        <v>82.605201152777</v>
      </c>
      <c r="X198" s="401"/>
      <c r="Y198" s="422" t="str">
        <f aca="false">IF(AND(pos_z&lt;=0,K197&gt;0),"Impact balistique","") &amp; IF(AND(H199&lt;0,vit_z&gt;=0),"Apogée","") &amp; IF(AND(Poussee=0,Q197&gt;0),"Fin de propulsion","") &amp; IF(AND(L199&gt;L_rampe,pos_xz&lt;=L_rampe),"Sortie de rampe","")</f>
        <v/>
      </c>
      <c r="Z198" s="423" t="str">
        <f aca="false">IF(ABS(t-T_para)&lt;pas/2,"Para","")</f>
        <v/>
      </c>
      <c r="AA198" s="424" t="str">
        <f aca="false">IF(ABS(t-T_satellite)&lt;pas/2,"Satellite","")</f>
        <v/>
      </c>
      <c r="AB198" s="412"/>
      <c r="AC198" s="420" t="e">
        <f aca="false">IF(ABS(t-ROUND(t,0))&lt;0.001,t,NA())</f>
        <v>#N/A</v>
      </c>
      <c r="AD198" s="425" t="e">
        <f aca="false">IF(ABS(t-ROUND(t,0))&lt;0.001,pos_x,NA())</f>
        <v>#N/A</v>
      </c>
      <c r="AE198" s="426" t="n">
        <f aca="false">IF(t&lt;T_para, pos_z, NA())</f>
        <v>151.401838070208</v>
      </c>
      <c r="AF198" s="412"/>
      <c r="AG198" s="418" t="n">
        <f aca="false">IF(AND(L197&lt;L_rampe,Poussee&lt;Poids*SIN(M197)),0,(-W197+Poussee)/m-Poids*SIN(M197)/m)</f>
        <v>57.0841466823075</v>
      </c>
      <c r="AH198" s="417" t="n">
        <f aca="false">IF(AND(L197&lt;L_rampe,Poussee&lt;Poids*SIN(M197)), g*SIN(M197), (-W197+Poussee)/m)</f>
        <v>66.669799016135</v>
      </c>
    </row>
    <row r="199" customFormat="false" ht="12" hidden="false" customHeight="false" outlineLevel="0" collapsed="false">
      <c r="A199" s="416" t="n">
        <f aca="false">IF(B198+0.01&lt;=T_ini+ROUNDUP(Temps_fin_propu,0), 0.01, IF(K198&gt;0, 0.1, 0.0001))</f>
        <v>0.01</v>
      </c>
      <c r="B199" s="417" t="n">
        <f aca="false">B198+pas</f>
        <v>1.95</v>
      </c>
      <c r="C199" s="401"/>
      <c r="D199" s="418" t="n">
        <f aca="false">IF(AND(L198&lt;L_rampe,Poussee&lt;Poids*SIN(M198)),0,(-W198+Poussee)/m*COS(M198)-U198/m*SIN(M198))</f>
        <v>14.1337805798888</v>
      </c>
      <c r="E199" s="419" t="n">
        <f aca="false">IF(AND(L198&lt;L_rampe,Poussee&lt;Poids*SIN(M198)),0,(-W198+Poussee)/m*SIN(M198)+U198/m*COS(M198)-Poids/m)</f>
        <v>55.0945172496749</v>
      </c>
      <c r="F199" s="417" t="n">
        <f aca="false">SQRT(acc_x^2+acc_z^2)</f>
        <v>56.8785511810486</v>
      </c>
      <c r="G199" s="418" t="n">
        <f aca="false">G198+acc_x*pas</f>
        <v>31.8902155049919</v>
      </c>
      <c r="H199" s="419" t="n">
        <f aca="false">H198+acc_z*pas</f>
        <v>146.346726325151</v>
      </c>
      <c r="I199" s="417" t="n">
        <f aca="false">SQRT(vit_x^2+vit_z^2)</f>
        <v>149.781007310818</v>
      </c>
      <c r="J199" s="418" t="n">
        <f aca="false">J198+0.5*(vit_x+G198)*pas*(K198&gt;=0)</f>
        <v>31.389601981037</v>
      </c>
      <c r="K199" s="419" t="n">
        <f aca="false">K198+0.5*(vit_z+H198)*pas</f>
        <v>152.862550607597</v>
      </c>
      <c r="L199" s="417" t="n">
        <f aca="false">SQRT(pos_x^2+pos_z^2)</f>
        <v>156.052127479212</v>
      </c>
      <c r="M199" s="418" t="n">
        <f aca="false">IF(AND(L198&gt;L_rampe,G199&gt;0),ATAN2(G199,H199),$M$4)</f>
        <v>1.3562417100285</v>
      </c>
      <c r="N199" s="417" t="n">
        <f aca="false">DEGREES(Beta)</f>
        <v>77.7069259842385</v>
      </c>
      <c r="O199" s="401"/>
      <c r="P199" s="420" t="n">
        <f aca="false">MATCH(t-pas/2-T_ini,CdP_t)</f>
        <v>5</v>
      </c>
      <c r="Q199" s="417" t="n">
        <f aca="false">(INDEX(CdP,2,i_P+1)-INDEX(CdP,2,i_P+0))/(INDEX(CdP,1,i_P+1)-INDEX(CdP,1,i_P+0))*(t-pas/2-T_ini-INDEX(CdP,1,i_P+0))+INDEX(CdP,2,i_P+0)</f>
        <v>594.03</v>
      </c>
      <c r="R199" s="418" t="n">
        <f aca="false">Poussee/(g*ISP)</f>
        <v>0.298115980120193</v>
      </c>
      <c r="S199" s="419" t="n">
        <f aca="false">S198-Débit*pas</f>
        <v>7.69921252860272</v>
      </c>
      <c r="T199" s="417" t="n">
        <f aca="false">m*g</f>
        <v>75.5292749055927</v>
      </c>
      <c r="U199" s="421" t="n">
        <f aca="false">IF(pos_xz&lt;L_rampe,Poids*COS(Beta),0)</f>
        <v>0</v>
      </c>
      <c r="V199" s="418" t="n">
        <f aca="false">Rho_moyen*(20000-Alt_rampe-pos_z)/(20000+Alt_rampe+pos_z)</f>
        <v>1.20641637456971</v>
      </c>
      <c r="W199" s="417" t="n">
        <f aca="false">1/2*Rho*Sref*Cx*vit_xz^2</f>
        <v>83.2235868195941</v>
      </c>
      <c r="X199" s="401"/>
      <c r="Y199" s="422" t="str">
        <f aca="false">IF(AND(pos_z&lt;=0,K198&gt;0),"Impact balistique","") &amp; IF(AND(H200&lt;0,vit_z&gt;=0),"Apogée","") &amp; IF(AND(Poussee=0,Q198&gt;0),"Fin de propulsion","") &amp; IF(AND(L200&gt;L_rampe,pos_xz&lt;=L_rampe),"Sortie de rampe","")</f>
        <v/>
      </c>
      <c r="Z199" s="423" t="str">
        <f aca="false">IF(ABS(t-T_para)&lt;pas/2,"Para","")</f>
        <v/>
      </c>
      <c r="AA199" s="424" t="str">
        <f aca="false">IF(ABS(t-T_satellite)&lt;pas/2,"Satellite","")</f>
        <v/>
      </c>
      <c r="AB199" s="412"/>
      <c r="AC199" s="420" t="e">
        <f aca="false">IF(ABS(t-ROUND(t,0))&lt;0.001,t,NA())</f>
        <v>#N/A</v>
      </c>
      <c r="AD199" s="425" t="e">
        <f aca="false">IF(ABS(t-ROUND(t,0))&lt;0.001,pos_x,NA())</f>
        <v>#N/A</v>
      </c>
      <c r="AE199" s="426" t="n">
        <f aca="false">IF(t&lt;T_para, pos_z, NA())</f>
        <v>152.862550607597</v>
      </c>
      <c r="AF199" s="412"/>
      <c r="AG199" s="418" t="n">
        <f aca="false">IF(AND(L198&lt;L_rampe,Poussee&lt;Poids*SIN(M198)),0,(-W198+Poussee)/m-Poids*SIN(M198)/m)</f>
        <v>56.8402377073959</v>
      </c>
      <c r="AH199" s="417" t="n">
        <f aca="false">IF(AND(L198&lt;L_rampe,Poussee&lt;Poids*SIN(M198)), g*SIN(M198), (-W198+Poussee)/m)</f>
        <v>66.4255983254482</v>
      </c>
    </row>
    <row r="200" customFormat="false" ht="12" hidden="false" customHeight="false" outlineLevel="0" collapsed="false">
      <c r="A200" s="416" t="n">
        <f aca="false">IF(B199+0.01&lt;=T_ini+ROUNDUP(Temps_fin_propu,0), 0.01, IF(K199&gt;0, 0.1, 0.0001))</f>
        <v>0.01</v>
      </c>
      <c r="B200" s="417" t="n">
        <f aca="false">B199+pas</f>
        <v>1.96</v>
      </c>
      <c r="C200" s="401"/>
      <c r="D200" s="418" t="n">
        <f aca="false">IF(AND(L199&lt;L_rampe,Poussee&lt;Poids*SIN(M199)),0,(-W199+Poussee)/m*COS(M199)-U199/m*SIN(M199))</f>
        <v>14.0907928578888</v>
      </c>
      <c r="E200" s="419" t="n">
        <f aca="false">IF(AND(L199&lt;L_rampe,Poussee&lt;Poids*SIN(M199)),0,(-W199+Poussee)/m*SIN(M199)+U199/m*COS(M199)-Poids/m)</f>
        <v>54.8537651525133</v>
      </c>
      <c r="F200" s="417" t="n">
        <f aca="false">SQRT(acc_x^2+acc_z^2)</f>
        <v>56.6346713133484</v>
      </c>
      <c r="G200" s="418" t="n">
        <f aca="false">G199+acc_x*pas</f>
        <v>32.0311234335708</v>
      </c>
      <c r="H200" s="419" t="n">
        <f aca="false">H199+acc_z*pas</f>
        <v>146.895263976676</v>
      </c>
      <c r="I200" s="417" t="n">
        <f aca="false">SQRT(vit_x^2+vit_z^2)</f>
        <v>150.346970196256</v>
      </c>
      <c r="J200" s="418" t="n">
        <f aca="false">J199+0.5*(vit_x+G199)*pas*(K199&gt;=0)</f>
        <v>31.7092086757299</v>
      </c>
      <c r="K200" s="419" t="n">
        <f aca="false">K199+0.5*(vit_z+H199)*pas</f>
        <v>154.328760559107</v>
      </c>
      <c r="L200" s="417" t="n">
        <f aca="false">SQRT(pos_x^2+pos_z^2)</f>
        <v>157.5526586591</v>
      </c>
      <c r="M200" s="418" t="n">
        <f aca="false">IF(AND(L199&gt;L_rampe,G200&gt;0),ATAN2(G200,H200),$M$4)</f>
        <v>1.35610278674633</v>
      </c>
      <c r="N200" s="417" t="n">
        <f aca="false">DEGREES(Beta)</f>
        <v>77.6989662664943</v>
      </c>
      <c r="O200" s="401"/>
      <c r="P200" s="420" t="n">
        <f aca="false">MATCH(t-pas/2-T_ini,CdP_t)</f>
        <v>5</v>
      </c>
      <c r="Q200" s="417" t="n">
        <f aca="false">(INDEX(CdP,2,i_P+1)-INDEX(CdP,2,i_P+0))/(INDEX(CdP,1,i_P+1)-INDEX(CdP,1,i_P+0))*(t-pas/2-T_ini-INDEX(CdP,1,i_P+0))+INDEX(CdP,2,i_P+0)</f>
        <v>592.57</v>
      </c>
      <c r="R200" s="418" t="n">
        <f aca="false">Poussee/(g*ISP)</f>
        <v>0.297383274144105</v>
      </c>
      <c r="S200" s="419" t="n">
        <f aca="false">S199-Débit*pas</f>
        <v>7.69623869586128</v>
      </c>
      <c r="T200" s="417" t="n">
        <f aca="false">m*g</f>
        <v>75.5001016063992</v>
      </c>
      <c r="U200" s="421" t="n">
        <f aca="false">IF(pos_xz&lt;L_rampe,Poids*COS(Beta),0)</f>
        <v>0</v>
      </c>
      <c r="V200" s="418" t="n">
        <f aca="false">Rho_moyen*(20000-Alt_rampe-pos_z)/(20000+Alt_rampe+pos_z)</f>
        <v>1.20623949113554</v>
      </c>
      <c r="W200" s="417" t="n">
        <f aca="false">1/2*Rho*Sref*Cx*vit_xz^2</f>
        <v>83.8414182366073</v>
      </c>
      <c r="X200" s="401"/>
      <c r="Y200" s="422" t="str">
        <f aca="false">IF(AND(pos_z&lt;=0,K199&gt;0),"Impact balistique","") &amp; IF(AND(H201&lt;0,vit_z&gt;=0),"Apogée","") &amp; IF(AND(Poussee=0,Q199&gt;0),"Fin de propulsion","") &amp; IF(AND(L201&gt;L_rampe,pos_xz&lt;=L_rampe),"Sortie de rampe","")</f>
        <v/>
      </c>
      <c r="Z200" s="423" t="str">
        <f aca="false">IF(ABS(t-T_para)&lt;pas/2,"Para","")</f>
        <v/>
      </c>
      <c r="AA200" s="424" t="str">
        <f aca="false">IF(ABS(t-T_satellite)&lt;pas/2,"Satellite","")</f>
        <v/>
      </c>
      <c r="AB200" s="412"/>
      <c r="AC200" s="420" t="e">
        <f aca="false">IF(ABS(t-ROUND(t,0))&lt;0.001,t,NA())</f>
        <v>#N/A</v>
      </c>
      <c r="AD200" s="425" t="e">
        <f aca="false">IF(ABS(t-ROUND(t,0))&lt;0.001,pos_x,NA())</f>
        <v>#N/A</v>
      </c>
      <c r="AE200" s="426" t="n">
        <f aca="false">IF(t&lt;T_para, pos_z, NA())</f>
        <v>154.328760559107</v>
      </c>
      <c r="AF200" s="412"/>
      <c r="AG200" s="418" t="n">
        <f aca="false">IF(AND(L199&lt;L_rampe,Poussee&lt;Poids*SIN(M199)),0,(-W199+Poussee)/m-Poids*SIN(M199)/m)</f>
        <v>56.596143461381</v>
      </c>
      <c r="AH200" s="417" t="n">
        <f aca="false">IF(AND(L199&lt;L_rampe,Poussee&lt;Poids*SIN(M199)), g*SIN(M199), (-W199+Poussee)/m)</f>
        <v>66.18121309755</v>
      </c>
    </row>
    <row r="201" customFormat="false" ht="12" hidden="false" customHeight="false" outlineLevel="0" collapsed="false">
      <c r="A201" s="416" t="n">
        <f aca="false">IF(B200+0.01&lt;=T_ini+ROUNDUP(Temps_fin_propu,0), 0.01, IF(K200&gt;0, 0.1, 0.0001))</f>
        <v>0.01</v>
      </c>
      <c r="B201" s="417" t="n">
        <f aca="false">B200+pas</f>
        <v>1.97</v>
      </c>
      <c r="C201" s="401"/>
      <c r="D201" s="418" t="n">
        <f aca="false">IF(AND(L200&lt;L_rampe,Poussee&lt;Poids*SIN(M200)),0,(-W200+Poussee)/m*COS(M200)-U200/m*SIN(M200))</f>
        <v>14.0476719545449</v>
      </c>
      <c r="E201" s="419" t="n">
        <f aca="false">IF(AND(L200&lt;L_rampe,Poussee&lt;Poids*SIN(M200)),0,(-W200+Poussee)/m*SIN(M200)+U200/m*COS(M200)-Poids/m)</f>
        <v>54.6128568598345</v>
      </c>
      <c r="F201" s="417" t="n">
        <f aca="false">SQRT(acc_x^2+acc_z^2)</f>
        <v>56.3906128866789</v>
      </c>
      <c r="G201" s="418" t="n">
        <f aca="false">G200+acc_x*pas</f>
        <v>32.1716001531162</v>
      </c>
      <c r="H201" s="419" t="n">
        <f aca="false">H200+acc_z*pas</f>
        <v>147.441392545274</v>
      </c>
      <c r="I201" s="417" t="n">
        <f aca="false">SQRT(vit_x^2+vit_z^2)</f>
        <v>150.910490331526</v>
      </c>
      <c r="J201" s="418" t="n">
        <f aca="false">J200+0.5*(vit_x+G200)*pas*(K200&gt;=0)</f>
        <v>32.0302222936633</v>
      </c>
      <c r="K201" s="419" t="n">
        <f aca="false">K200+0.5*(vit_z+H200)*pas</f>
        <v>155.800443841716</v>
      </c>
      <c r="L201" s="417" t="n">
        <f aca="false">SQRT(pos_x^2+pos_z^2)</f>
        <v>159.058836414257</v>
      </c>
      <c r="M201" s="418" t="n">
        <f aca="false">IF(AND(L200&gt;L_rampe,G201&gt;0),ATAN2(G201,H201),$M$4)</f>
        <v>1.35596429398676</v>
      </c>
      <c r="N201" s="417" t="n">
        <f aca="false">DEGREES(Beta)</f>
        <v>77.6910312158775</v>
      </c>
      <c r="O201" s="401"/>
      <c r="P201" s="420" t="n">
        <f aca="false">MATCH(t-pas/2-T_ini,CdP_t)</f>
        <v>5</v>
      </c>
      <c r="Q201" s="417" t="n">
        <f aca="false">(INDEX(CdP,2,i_P+1)-INDEX(CdP,2,i_P+0))/(INDEX(CdP,1,i_P+1)-INDEX(CdP,1,i_P+0))*(t-pas/2-T_ini-INDEX(CdP,1,i_P+0))+INDEX(CdP,2,i_P+0)</f>
        <v>591.11</v>
      </c>
      <c r="R201" s="418" t="n">
        <f aca="false">Poussee/(g*ISP)</f>
        <v>0.296650568168017</v>
      </c>
      <c r="S201" s="419" t="n">
        <f aca="false">S200-Débit*pas</f>
        <v>7.6932721901796</v>
      </c>
      <c r="T201" s="417" t="n">
        <f aca="false">m*g</f>
        <v>75.4710001856619</v>
      </c>
      <c r="U201" s="421" t="n">
        <f aca="false">IF(pos_xz&lt;L_rampe,Poids*COS(Beta),0)</f>
        <v>0</v>
      </c>
      <c r="V201" s="418" t="n">
        <f aca="false">Rho_moyen*(20000-Alt_rampe-pos_z)/(20000+Alt_rampe+pos_z)</f>
        <v>1.20606197327783</v>
      </c>
      <c r="W201" s="417" t="n">
        <f aca="false">1/2*Rho*Sref*Cx*vit_xz^2</f>
        <v>84.4586620120332</v>
      </c>
      <c r="X201" s="401"/>
      <c r="Y201" s="422" t="str">
        <f aca="false">IF(AND(pos_z&lt;=0,K200&gt;0),"Impact balistique","") &amp; IF(AND(H202&lt;0,vit_z&gt;=0),"Apogée","") &amp; IF(AND(Poussee=0,Q200&gt;0),"Fin de propulsion","") &amp; IF(AND(L202&gt;L_rampe,pos_xz&lt;=L_rampe),"Sortie de rampe","")</f>
        <v/>
      </c>
      <c r="Z201" s="423" t="str">
        <f aca="false">IF(ABS(t-T_para)&lt;pas/2,"Para","")</f>
        <v/>
      </c>
      <c r="AA201" s="424" t="str">
        <f aca="false">IF(ABS(t-T_satellite)&lt;pas/2,"Satellite","")</f>
        <v/>
      </c>
      <c r="AB201" s="412"/>
      <c r="AC201" s="420" t="e">
        <f aca="false">IF(ABS(t-ROUND(t,0))&lt;0.001,t,NA())</f>
        <v>#N/A</v>
      </c>
      <c r="AD201" s="425" t="e">
        <f aca="false">IF(ABS(t-ROUND(t,0))&lt;0.001,pos_x,NA())</f>
        <v>#N/A</v>
      </c>
      <c r="AE201" s="426" t="n">
        <f aca="false">IF(t&lt;T_para, pos_z, NA())</f>
        <v>155.800443841716</v>
      </c>
      <c r="AF201" s="412"/>
      <c r="AG201" s="418" t="n">
        <f aca="false">IF(AND(L200&lt;L_rampe,Poussee&lt;Poids*SIN(M200)),0,(-W200+Poussee)/m-Poids*SIN(M200)/m)</f>
        <v>56.3518688019901</v>
      </c>
      <c r="AH201" s="417" t="n">
        <f aca="false">IF(AND(L200&lt;L_rampe,Poussee&lt;Poids*SIN(M200)), g*SIN(M200), (-W200+Poussee)/m)</f>
        <v>65.9366481808503</v>
      </c>
    </row>
    <row r="202" customFormat="false" ht="12" hidden="false" customHeight="false" outlineLevel="0" collapsed="false">
      <c r="A202" s="416" t="n">
        <f aca="false">IF(B201+0.01&lt;=T_ini+ROUNDUP(Temps_fin_propu,0), 0.01, IF(K201&gt;0, 0.1, 0.0001))</f>
        <v>0.01</v>
      </c>
      <c r="B202" s="417" t="n">
        <f aca="false">B201+pas</f>
        <v>1.98</v>
      </c>
      <c r="C202" s="401"/>
      <c r="D202" s="418" t="n">
        <f aca="false">IF(AND(L201&lt;L_rampe,Poussee&lt;Poids*SIN(M201)),0,(-W201+Poussee)/m*COS(M201)-U201/m*SIN(M201))</f>
        <v>14.004419480519</v>
      </c>
      <c r="E202" s="419" t="n">
        <f aca="false">IF(AND(L201&lt;L_rampe,Poussee&lt;Poids*SIN(M201)),0,(-W201+Poussee)/m*SIN(M201)+U201/m*COS(M201)-Poids/m)</f>
        <v>54.3717969938893</v>
      </c>
      <c r="F202" s="417" t="n">
        <f aca="false">SQRT(acc_x^2+acc_z^2)</f>
        <v>56.1463807678736</v>
      </c>
      <c r="G202" s="418" t="n">
        <f aca="false">G201+acc_x*pas</f>
        <v>32.3116443479214</v>
      </c>
      <c r="H202" s="419" t="n">
        <f aca="false">H201+acc_z*pas</f>
        <v>147.985110515213</v>
      </c>
      <c r="I202" s="417" t="n">
        <f aca="false">SQRT(vit_x^2+vit_z^2)</f>
        <v>151.471565960963</v>
      </c>
      <c r="J202" s="418" t="n">
        <f aca="false">J201+0.5*(vit_x+G201)*pas*(K201&gt;=0)</f>
        <v>32.3526385161685</v>
      </c>
      <c r="K202" s="419" t="n">
        <f aca="false">K201+0.5*(vit_z+H201)*pas</f>
        <v>157.277576357019</v>
      </c>
      <c r="L202" s="417" t="n">
        <f aca="false">SQRT(pos_x^2+pos_z^2)</f>
        <v>160.570636305944</v>
      </c>
      <c r="M202" s="418" t="n">
        <f aca="false">IF(AND(L201&gt;L_rampe,G202&gt;0),ATAN2(G202,H202),$M$4)</f>
        <v>1.3558262265934</v>
      </c>
      <c r="N202" s="417" t="n">
        <f aca="false">DEGREES(Beta)</f>
        <v>77.68312053695</v>
      </c>
      <c r="O202" s="401"/>
      <c r="P202" s="420" t="n">
        <f aca="false">MATCH(t-pas/2-T_ini,CdP_t)</f>
        <v>5</v>
      </c>
      <c r="Q202" s="417" t="n">
        <f aca="false">(INDEX(CdP,2,i_P+1)-INDEX(CdP,2,i_P+0))/(INDEX(CdP,1,i_P+1)-INDEX(CdP,1,i_P+0))*(t-pas/2-T_ini-INDEX(CdP,1,i_P+0))+INDEX(CdP,2,i_P+0)</f>
        <v>589.65</v>
      </c>
      <c r="R202" s="418" t="n">
        <f aca="false">Poussee/(g*ISP)</f>
        <v>0.295917862191929</v>
      </c>
      <c r="S202" s="419" t="n">
        <f aca="false">S201-Débit*pas</f>
        <v>7.69031301155768</v>
      </c>
      <c r="T202" s="417" t="n">
        <f aca="false">m*g</f>
        <v>75.4419706433809</v>
      </c>
      <c r="U202" s="421" t="n">
        <f aca="false">IF(pos_xz&lt;L_rampe,Poids*COS(Beta),0)</f>
        <v>0</v>
      </c>
      <c r="V202" s="418" t="n">
        <f aca="false">Rho_moyen*(20000-Alt_rampe-pos_z)/(20000+Alt_rampe+pos_z)</f>
        <v>1.20588382418633</v>
      </c>
      <c r="W202" s="417" t="n">
        <f aca="false">1/2*Rho*Sref*Cx*vit_xz^2</f>
        <v>85.0752849381364</v>
      </c>
      <c r="X202" s="401"/>
      <c r="Y202" s="422" t="str">
        <f aca="false">IF(AND(pos_z&lt;=0,K201&gt;0),"Impact balistique","") &amp; IF(AND(H203&lt;0,vit_z&gt;=0),"Apogée","") &amp; IF(AND(Poussee=0,Q201&gt;0),"Fin de propulsion","") &amp; IF(AND(L203&gt;L_rampe,pos_xz&lt;=L_rampe),"Sortie de rampe","")</f>
        <v/>
      </c>
      <c r="Z202" s="423" t="str">
        <f aca="false">IF(ABS(t-T_para)&lt;pas/2,"Para","")</f>
        <v/>
      </c>
      <c r="AA202" s="424" t="str">
        <f aca="false">IF(ABS(t-T_satellite)&lt;pas/2,"Satellite","")</f>
        <v/>
      </c>
      <c r="AB202" s="412"/>
      <c r="AC202" s="420" t="e">
        <f aca="false">IF(ABS(t-ROUND(t,0))&lt;0.001,t,NA())</f>
        <v>#N/A</v>
      </c>
      <c r="AD202" s="425" t="e">
        <f aca="false">IF(ABS(t-ROUND(t,0))&lt;0.001,pos_x,NA())</f>
        <v>#N/A</v>
      </c>
      <c r="AE202" s="426" t="n">
        <f aca="false">IF(t&lt;T_para, pos_z, NA())</f>
        <v>157.277576357019</v>
      </c>
      <c r="AF202" s="412"/>
      <c r="AG202" s="418" t="n">
        <f aca="false">IF(AND(L201&lt;L_rampe,Poussee&lt;Poids*SIN(M201)),0,(-W201+Poussee)/m-Poids*SIN(M201)/m)</f>
        <v>56.1074185715697</v>
      </c>
      <c r="AH202" s="417" t="n">
        <f aca="false">IF(AND(L201&lt;L_rampe,Poussee&lt;Poids*SIN(M201)), g*SIN(M201), (-W201+Poussee)/m)</f>
        <v>65.691908408503</v>
      </c>
    </row>
    <row r="203" customFormat="false" ht="12" hidden="false" customHeight="false" outlineLevel="0" collapsed="false">
      <c r="A203" s="416" t="n">
        <f aca="false">IF(B202+0.01&lt;=T_ini+ROUNDUP(Temps_fin_propu,0), 0.01, IF(K202&gt;0, 0.1, 0.0001))</f>
        <v>0.01</v>
      </c>
      <c r="B203" s="417" t="n">
        <f aca="false">B202+pas</f>
        <v>1.99</v>
      </c>
      <c r="C203" s="401"/>
      <c r="D203" s="418" t="n">
        <f aca="false">IF(AND(L202&lt;L_rampe,Poussee&lt;Poids*SIN(M202)),0,(-W202+Poussee)/m*COS(M202)-U202/m*SIN(M202))</f>
        <v>13.9610370364034</v>
      </c>
      <c r="E203" s="419" t="n">
        <f aca="false">IF(AND(L202&lt;L_rampe,Poussee&lt;Poids*SIN(M202)),0,(-W202+Poussee)/m*SIN(M202)+U202/m*COS(M202)-Poids/m)</f>
        <v>54.1305901628786</v>
      </c>
      <c r="F203" s="417" t="n">
        <f aca="false">SQRT(acc_x^2+acc_z^2)</f>
        <v>55.9019798085305</v>
      </c>
      <c r="G203" s="418" t="n">
        <f aca="false">G202+acc_x*pas</f>
        <v>32.4512547182855</v>
      </c>
      <c r="H203" s="419" t="n">
        <f aca="false">H202+acc_z*pas</f>
        <v>148.526416416842</v>
      </c>
      <c r="I203" s="417" t="n">
        <f aca="false">SQRT(vit_x^2+vit_z^2)</f>
        <v>152.030195377169</v>
      </c>
      <c r="J203" s="418" t="n">
        <f aca="false">J202+0.5*(vit_x+G202)*pas*(K202&gt;=0)</f>
        <v>32.6764530114995</v>
      </c>
      <c r="K203" s="419" t="n">
        <f aca="false">K202+0.5*(vit_z+H202)*pas</f>
        <v>158.760133991679</v>
      </c>
      <c r="L203" s="417" t="n">
        <f aca="false">SQRT(pos_x^2+pos_z^2)</f>
        <v>162.088033878102</v>
      </c>
      <c r="M203" s="418" t="n">
        <f aca="false">IF(AND(L202&gt;L_rampe,G203&gt;0),ATAN2(G203,H203),$M$4)</f>
        <v>1.35568857948269</v>
      </c>
      <c r="N203" s="417" t="n">
        <f aca="false">DEGREES(Beta)</f>
        <v>77.6752339384439</v>
      </c>
      <c r="O203" s="401"/>
      <c r="P203" s="420" t="n">
        <f aca="false">MATCH(t-pas/2-T_ini,CdP_t)</f>
        <v>5</v>
      </c>
      <c r="Q203" s="417" t="n">
        <f aca="false">(INDEX(CdP,2,i_P+1)-INDEX(CdP,2,i_P+0))/(INDEX(CdP,1,i_P+1)-INDEX(CdP,1,i_P+0))*(t-pas/2-T_ini-INDEX(CdP,1,i_P+0))+INDEX(CdP,2,i_P+0)</f>
        <v>588.19</v>
      </c>
      <c r="R203" s="418" t="n">
        <f aca="false">Poussee/(g*ISP)</f>
        <v>0.295185156215841</v>
      </c>
      <c r="S203" s="419" t="n">
        <f aca="false">S202-Débit*pas</f>
        <v>7.68736115999553</v>
      </c>
      <c r="T203" s="417" t="n">
        <f aca="false">m*g</f>
        <v>75.4130129795561</v>
      </c>
      <c r="U203" s="421" t="n">
        <f aca="false">IF(pos_xz&lt;L_rampe,Poids*COS(Beta),0)</f>
        <v>0</v>
      </c>
      <c r="V203" s="418" t="n">
        <f aca="false">Rho_moyen*(20000-Alt_rampe-pos_z)/(20000+Alt_rampe+pos_z)</f>
        <v>1.20570504705179</v>
      </c>
      <c r="W203" s="417" t="n">
        <f aca="false">1/2*Rho*Sref*Cx*vit_xz^2</f>
        <v>85.6912539924271</v>
      </c>
      <c r="X203" s="401"/>
      <c r="Y203" s="422" t="str">
        <f aca="false">IF(AND(pos_z&lt;=0,K202&gt;0),"Impact balistique","") &amp; IF(AND(H204&lt;0,vit_z&gt;=0),"Apogée","") &amp; IF(AND(Poussee=0,Q202&gt;0),"Fin de propulsion","") &amp; IF(AND(L204&gt;L_rampe,pos_xz&lt;=L_rampe),"Sortie de rampe","")</f>
        <v/>
      </c>
      <c r="Z203" s="423" t="str">
        <f aca="false">IF(ABS(t-T_para)&lt;pas/2,"Para","")</f>
        <v/>
      </c>
      <c r="AA203" s="424" t="str">
        <f aca="false">IF(ABS(t-T_satellite)&lt;pas/2,"Satellite","")</f>
        <v/>
      </c>
      <c r="AB203" s="412"/>
      <c r="AC203" s="420" t="e">
        <f aca="false">IF(ABS(t-ROUND(t,0))&lt;0.001,t,NA())</f>
        <v>#N/A</v>
      </c>
      <c r="AD203" s="425" t="e">
        <f aca="false">IF(ABS(t-ROUND(t,0))&lt;0.001,pos_x,NA())</f>
        <v>#N/A</v>
      </c>
      <c r="AE203" s="426" t="n">
        <f aca="false">IF(t&lt;T_para, pos_z, NA())</f>
        <v>158.760133991679</v>
      </c>
      <c r="AF203" s="412"/>
      <c r="AG203" s="418" t="n">
        <f aca="false">IF(AND(L202&lt;L_rampe,Poussee&lt;Poids*SIN(M202)),0,(-W202+Poussee)/m-Poids*SIN(M202)/m)</f>
        <v>55.8627975968534</v>
      </c>
      <c r="AH203" s="417" t="n">
        <f aca="false">IF(AND(L202&lt;L_rampe,Poussee&lt;Poids*SIN(M202)), g*SIN(M202), (-W202+Poussee)/m)</f>
        <v>65.4469985981713</v>
      </c>
    </row>
    <row r="204" customFormat="false" ht="12" hidden="false" customHeight="false" outlineLevel="0" collapsed="false">
      <c r="A204" s="416" t="n">
        <f aca="false">IF(B203+0.01&lt;=T_ini+ROUNDUP(Temps_fin_propu,0), 0.01, IF(K203&gt;0, 0.1, 0.0001))</f>
        <v>0.01</v>
      </c>
      <c r="B204" s="417" t="n">
        <f aca="false">B203+pas</f>
        <v>2</v>
      </c>
      <c r="C204" s="401"/>
      <c r="D204" s="418" t="n">
        <f aca="false">IF(AND(L203&lt;L_rampe,Poussee&lt;Poids*SIN(M203)),0,(-W203+Poussee)/m*COS(M203)-U203/m*SIN(M203))</f>
        <v>13.9175262128175</v>
      </c>
      <c r="E204" s="419" t="n">
        <f aca="false">IF(AND(L203&lt;L_rampe,Poussee&lt;Poids*SIN(M203)),0,(-W203+Poussee)/m*SIN(M203)+U203/m*COS(M203)-Poids/m)</f>
        <v>53.8892409607037</v>
      </c>
      <c r="F204" s="417" t="n">
        <f aca="false">SQRT(acc_x^2+acc_z^2)</f>
        <v>55.6574148447918</v>
      </c>
      <c r="G204" s="418" t="n">
        <f aca="false">G203+acc_x*pas</f>
        <v>32.5904299804136</v>
      </c>
      <c r="H204" s="419" t="n">
        <f aca="false">H203+acc_z*pas</f>
        <v>149.065308826449</v>
      </c>
      <c r="I204" s="417" t="n">
        <f aca="false">SQRT(vit_x^2+vit_z^2)</f>
        <v>152.586376920854</v>
      </c>
      <c r="J204" s="418" t="n">
        <f aca="false">J203+0.5*(vit_x+G203)*pas*(K203&gt;=0)</f>
        <v>33.001661434993</v>
      </c>
      <c r="K204" s="419" t="n">
        <f aca="false">K203+0.5*(vit_z+H203)*pas</f>
        <v>160.248092617895</v>
      </c>
      <c r="L204" s="417" t="n">
        <f aca="false">SQRT(pos_x^2+pos_z^2)</f>
        <v>163.611004657827</v>
      </c>
      <c r="M204" s="418" t="n">
        <f aca="false">IF(AND(L203&gt;L_rampe,G204&gt;0),ATAN2(G204,H204),$M$4)</f>
        <v>1.35555134764237</v>
      </c>
      <c r="N204" s="417" t="n">
        <f aca="false">DEGREES(Beta)</f>
        <v>77.667371133179</v>
      </c>
      <c r="O204" s="401"/>
      <c r="P204" s="420" t="n">
        <f aca="false">MATCH(t-pas/2-T_ini,CdP_t)</f>
        <v>5</v>
      </c>
      <c r="Q204" s="417" t="n">
        <f aca="false">(INDEX(CdP,2,i_P+1)-INDEX(CdP,2,i_P+0))/(INDEX(CdP,1,i_P+1)-INDEX(CdP,1,i_P+0))*(t-pas/2-T_ini-INDEX(CdP,1,i_P+0))+INDEX(CdP,2,i_P+0)</f>
        <v>586.73</v>
      </c>
      <c r="R204" s="418" t="n">
        <f aca="false">Poussee/(g*ISP)</f>
        <v>0.294452450239753</v>
      </c>
      <c r="S204" s="419" t="n">
        <f aca="false">S203-Débit*pas</f>
        <v>7.68441663549313</v>
      </c>
      <c r="T204" s="417" t="n">
        <f aca="false">m*g</f>
        <v>75.3841271941876</v>
      </c>
      <c r="U204" s="421" t="n">
        <f aca="false">IF(pos_xz&lt;L_rampe,Poids*COS(Beta),0)</f>
        <v>0</v>
      </c>
      <c r="V204" s="418" t="n">
        <f aca="false">Rho_moyen*(20000-Alt_rampe-pos_z)/(20000+Alt_rampe+pos_z)</f>
        <v>1.20552564506597</v>
      </c>
      <c r="W204" s="417" t="n">
        <f aca="false">1/2*Rho*Sref*Cx*vit_xz^2</f>
        <v>86.3065363388344</v>
      </c>
      <c r="X204" s="401"/>
      <c r="Y204" s="422" t="str">
        <f aca="false">IF(AND(pos_z&lt;=0,K203&gt;0),"Impact balistique","") &amp; IF(AND(H205&lt;0,vit_z&gt;=0),"Apogée","") &amp; IF(AND(Poussee=0,Q203&gt;0),"Fin de propulsion","") &amp; IF(AND(L205&gt;L_rampe,pos_xz&lt;=L_rampe),"Sortie de rampe","")</f>
        <v/>
      </c>
      <c r="Z204" s="423" t="str">
        <f aca="false">IF(ABS(t-T_para)&lt;pas/2,"Para","")</f>
        <v/>
      </c>
      <c r="AA204" s="424" t="str">
        <f aca="false">IF(ABS(t-T_satellite)&lt;pas/2,"Satellite","")</f>
        <v/>
      </c>
      <c r="AB204" s="412"/>
      <c r="AC204" s="420" t="n">
        <f aca="false">IF(ABS(t-ROUND(t,0))&lt;0.001,t,NA())</f>
        <v>2</v>
      </c>
      <c r="AD204" s="425" t="n">
        <f aca="false">IF(ABS(t-ROUND(t,0))&lt;0.001,pos_x,NA())</f>
        <v>33.001661434993</v>
      </c>
      <c r="AE204" s="426" t="n">
        <f aca="false">IF(t&lt;T_para, pos_z, NA())</f>
        <v>160.248092617895</v>
      </c>
      <c r="AF204" s="412"/>
      <c r="AG204" s="418" t="n">
        <f aca="false">IF(AND(L203&lt;L_rampe,Poussee&lt;Poids*SIN(M203)),0,(-W203+Poussee)/m-Poids*SIN(M203)/m)</f>
        <v>55.6180106887331</v>
      </c>
      <c r="AH204" s="417" t="n">
        <f aca="false">IF(AND(L203&lt;L_rampe,Poussee&lt;Poids*SIN(M203)), g*SIN(M203), (-W203+Poussee)/m)</f>
        <v>65.201923551796</v>
      </c>
    </row>
    <row r="205" customFormat="false" ht="12" hidden="false" customHeight="false" outlineLevel="0" collapsed="false">
      <c r="A205" s="416" t="n">
        <f aca="false">IF(B204+0.01&lt;=T_ini+ROUNDUP(Temps_fin_propu,0), 0.01, IF(K204&gt;0, 0.1, 0.0001))</f>
        <v>0.01</v>
      </c>
      <c r="B205" s="417" t="n">
        <f aca="false">B204+pas</f>
        <v>2.01</v>
      </c>
      <c r="C205" s="401"/>
      <c r="D205" s="418" t="n">
        <f aca="false">IF(AND(L204&lt;L_rampe,Poussee&lt;Poids*SIN(M204)),0,(-W204+Poussee)/m*COS(M204)-U204/m*SIN(M204))</f>
        <v>13.8738885905004</v>
      </c>
      <c r="E205" s="419" t="n">
        <f aca="false">IF(AND(L204&lt;L_rampe,Poussee&lt;Poids*SIN(M204)),0,(-W204+Poussee)/m*SIN(M204)+U204/m*COS(M204)-Poids/m)</f>
        <v>53.6477539667195</v>
      </c>
      <c r="F205" s="417" t="n">
        <f aca="false">SQRT(acc_x^2+acc_z^2)</f>
        <v>55.4126906971254</v>
      </c>
      <c r="G205" s="418" t="n">
        <f aca="false">G204+acc_x*pas</f>
        <v>32.7291688663187</v>
      </c>
      <c r="H205" s="419" t="n">
        <f aca="false">H204+acc_z*pas</f>
        <v>149.601786366116</v>
      </c>
      <c r="I205" s="417" t="n">
        <f aca="false">SQRT(vit_x^2+vit_z^2)</f>
        <v>153.140108980675</v>
      </c>
      <c r="J205" s="418" t="n">
        <f aca="false">J204+0.5*(vit_x+G204)*pas*(K204&gt;=0)</f>
        <v>33.3282594292267</v>
      </c>
      <c r="K205" s="419" t="n">
        <f aca="false">K204+0.5*(vit_z+H204)*pas</f>
        <v>161.741428093858</v>
      </c>
      <c r="L205" s="417" t="n">
        <f aca="false">SQRT(pos_x^2+pos_z^2)</f>
        <v>165.139524155856</v>
      </c>
      <c r="M205" s="418" t="n">
        <f aca="false">IF(AND(L204&gt;L_rampe,G205&gt;0),ATAN2(G205,H205),$M$4)</f>
        <v>1.35541452613014</v>
      </c>
      <c r="N205" s="417" t="n">
        <f aca="false">DEGREES(Beta)</f>
        <v>77.6595318379813</v>
      </c>
      <c r="O205" s="401"/>
      <c r="P205" s="420" t="n">
        <f aca="false">MATCH(t-pas/2-T_ini,CdP_t)</f>
        <v>6</v>
      </c>
      <c r="Q205" s="417" t="n">
        <f aca="false">(INDEX(CdP,2,i_P+1)-INDEX(CdP,2,i_P+0))/(INDEX(CdP,1,i_P+1)-INDEX(CdP,1,i_P+0))*(t-pas/2-T_ini-INDEX(CdP,1,i_P+0))+INDEX(CdP,2,i_P+0)</f>
        <v>585.27</v>
      </c>
      <c r="R205" s="418" t="n">
        <f aca="false">Poussee/(g*ISP)</f>
        <v>0.293719744263665</v>
      </c>
      <c r="S205" s="419" t="n">
        <f aca="false">S204-Débit*pas</f>
        <v>7.68147943805049</v>
      </c>
      <c r="T205" s="417" t="n">
        <f aca="false">m*g</f>
        <v>75.3553132872753</v>
      </c>
      <c r="U205" s="421" t="n">
        <f aca="false">IF(pos_xz&lt;L_rampe,Poids*COS(Beta),0)</f>
        <v>0</v>
      </c>
      <c r="V205" s="418" t="n">
        <f aca="false">Rho_moyen*(20000-Alt_rampe-pos_z)/(20000+Alt_rampe+pos_z)</f>
        <v>1.20534562142148</v>
      </c>
      <c r="W205" s="417" t="n">
        <f aca="false">1/2*Rho*Sref*Cx*vit_xz^2</f>
        <v>86.9210993288565</v>
      </c>
      <c r="X205" s="401"/>
      <c r="Y205" s="422" t="str">
        <f aca="false">IF(AND(pos_z&lt;=0,K204&gt;0),"Impact balistique","") &amp; IF(AND(H206&lt;0,vit_z&gt;=0),"Apogée","") &amp; IF(AND(Poussee=0,Q204&gt;0),"Fin de propulsion","") &amp; IF(AND(L206&gt;L_rampe,pos_xz&lt;=L_rampe),"Sortie de rampe","")</f>
        <v/>
      </c>
      <c r="Z205" s="423" t="str">
        <f aca="false">IF(ABS(t-T_para)&lt;pas/2,"Para","")</f>
        <v/>
      </c>
      <c r="AA205" s="424" t="str">
        <f aca="false">IF(ABS(t-T_satellite)&lt;pas/2,"Satellite","")</f>
        <v/>
      </c>
      <c r="AB205" s="412"/>
      <c r="AC205" s="420" t="e">
        <f aca="false">IF(ABS(t-ROUND(t,0))&lt;0.001,t,NA())</f>
        <v>#N/A</v>
      </c>
      <c r="AD205" s="425" t="e">
        <f aca="false">IF(ABS(t-ROUND(t,0))&lt;0.001,pos_x,NA())</f>
        <v>#N/A</v>
      </c>
      <c r="AE205" s="426" t="n">
        <f aca="false">IF(t&lt;T_para, pos_z, NA())</f>
        <v>161.741428093858</v>
      </c>
      <c r="AF205" s="412"/>
      <c r="AG205" s="418" t="n">
        <f aca="false">IF(AND(L204&lt;L_rampe,Poussee&lt;Poids*SIN(M204)),0,(-W204+Poussee)/m-Poids*SIN(M204)/m)</f>
        <v>55.3730626420321</v>
      </c>
      <c r="AH205" s="417" t="n">
        <f aca="false">IF(AND(L204&lt;L_rampe,Poussee&lt;Poids*SIN(M204)), g*SIN(M204), (-W204+Poussee)/m)</f>
        <v>64.9566880553675</v>
      </c>
    </row>
    <row r="206" customFormat="false" ht="12" hidden="false" customHeight="false" outlineLevel="0" collapsed="false">
      <c r="A206" s="416" t="n">
        <f aca="false">IF(B205+0.01&lt;=T_ini+ROUNDUP(Temps_fin_propu,0), 0.01, IF(K205&gt;0, 0.1, 0.0001))</f>
        <v>0.01</v>
      </c>
      <c r="B206" s="417" t="n">
        <f aca="false">B205+pas</f>
        <v>2.02</v>
      </c>
      <c r="C206" s="401"/>
      <c r="D206" s="418" t="n">
        <f aca="false">IF(AND(L205&lt;L_rampe,Poussee&lt;Poids*SIN(M205)),0,(-W205+Poussee)/m*COS(M205)-U205/m*SIN(M205))</f>
        <v>13.8301257404008</v>
      </c>
      <c r="E206" s="419" t="n">
        <f aca="false">IF(AND(L205&lt;L_rampe,Poussee&lt;Poids*SIN(M205)),0,(-W205+Poussee)/m*SIN(M205)+U205/m*COS(M205)-Poids/m)</f>
        <v>53.4061337454909</v>
      </c>
      <c r="F206" s="417" t="n">
        <f aca="false">SQRT(acc_x^2+acc_z^2)</f>
        <v>55.1678121701102</v>
      </c>
      <c r="G206" s="418" t="n">
        <f aca="false">G205+acc_x*pas</f>
        <v>32.8674701237227</v>
      </c>
      <c r="H206" s="419" t="n">
        <f aca="false">H205+acc_z*pas</f>
        <v>150.135847703571</v>
      </c>
      <c r="I206" s="417" t="n">
        <f aca="false">SQRT(vit_x^2+vit_z^2)</f>
        <v>153.691389993076</v>
      </c>
      <c r="J206" s="418" t="n">
        <f aca="false">J205+0.5*(vit_x+G205)*pas*(K205&gt;=0)</f>
        <v>33.6562426241769</v>
      </c>
      <c r="K206" s="419" t="n">
        <f aca="false">K205+0.5*(vit_z+H205)*pas</f>
        <v>163.240116264207</v>
      </c>
      <c r="L206" s="417" t="n">
        <f aca="false">SQRT(pos_x^2+pos_z^2)</f>
        <v>166.673567867041</v>
      </c>
      <c r="M206" s="418" t="n">
        <f aca="false">IF(AND(L205&gt;L_rampe,G206&gt;0),ATAN2(G206,H206),$M$4)</f>
        <v>1.35527811007222</v>
      </c>
      <c r="N206" s="417" t="n">
        <f aca="false">DEGREES(Beta)</f>
        <v>77.6517157736046</v>
      </c>
      <c r="O206" s="401"/>
      <c r="P206" s="420" t="n">
        <f aca="false">MATCH(t-pas/2-T_ini,CdP_t)</f>
        <v>6</v>
      </c>
      <c r="Q206" s="417" t="n">
        <f aca="false">(INDEX(CdP,2,i_P+1)-INDEX(CdP,2,i_P+0))/(INDEX(CdP,1,i_P+1)-INDEX(CdP,1,i_P+0))*(t-pas/2-T_ini-INDEX(CdP,1,i_P+0))+INDEX(CdP,2,i_P+0)</f>
        <v>583.81</v>
      </c>
      <c r="R206" s="418" t="n">
        <f aca="false">Poussee/(g*ISP)</f>
        <v>0.292987038287577</v>
      </c>
      <c r="S206" s="419" t="n">
        <f aca="false">S205-Débit*pas</f>
        <v>7.67854956766762</v>
      </c>
      <c r="T206" s="417" t="n">
        <f aca="false">m*g</f>
        <v>75.3265712588193</v>
      </c>
      <c r="U206" s="421" t="n">
        <f aca="false">IF(pos_xz&lt;L_rampe,Poids*COS(Beta),0)</f>
        <v>0</v>
      </c>
      <c r="V206" s="418" t="n">
        <f aca="false">Rho_moyen*(20000-Alt_rampe-pos_z)/(20000+Alt_rampe+pos_z)</f>
        <v>1.2051649793118</v>
      </c>
      <c r="W206" s="417" t="n">
        <f aca="false">1/2*Rho*Sref*Cx*vit_xz^2</f>
        <v>87.5349105026869</v>
      </c>
      <c r="X206" s="401"/>
      <c r="Y206" s="422" t="str">
        <f aca="false">IF(AND(pos_z&lt;=0,K205&gt;0),"Impact balistique","") &amp; IF(AND(H207&lt;0,vit_z&gt;=0),"Apogée","") &amp; IF(AND(Poussee=0,Q205&gt;0),"Fin de propulsion","") &amp; IF(AND(L207&gt;L_rampe,pos_xz&lt;=L_rampe),"Sortie de rampe","")</f>
        <v/>
      </c>
      <c r="Z206" s="423" t="str">
        <f aca="false">IF(ABS(t-T_para)&lt;pas/2,"Para","")</f>
        <v/>
      </c>
      <c r="AA206" s="424" t="str">
        <f aca="false">IF(ABS(t-T_satellite)&lt;pas/2,"Satellite","")</f>
        <v/>
      </c>
      <c r="AB206" s="412"/>
      <c r="AC206" s="420" t="e">
        <f aca="false">IF(ABS(t-ROUND(t,0))&lt;0.001,t,NA())</f>
        <v>#N/A</v>
      </c>
      <c r="AD206" s="425" t="e">
        <f aca="false">IF(ABS(t-ROUND(t,0))&lt;0.001,pos_x,NA())</f>
        <v>#N/A</v>
      </c>
      <c r="AE206" s="426" t="n">
        <f aca="false">IF(t&lt;T_para, pos_z, NA())</f>
        <v>163.240116264207</v>
      </c>
      <c r="AF206" s="412"/>
      <c r="AG206" s="418" t="n">
        <f aca="false">IF(AND(L205&lt;L_rampe,Poussee&lt;Poids*SIN(M205)),0,(-W205+Poussee)/m-Poids*SIN(M205)/m)</f>
        <v>55.1279582352818</v>
      </c>
      <c r="AH206" s="417" t="n">
        <f aca="false">IF(AND(L205&lt;L_rampe,Poussee&lt;Poids*SIN(M205)), g*SIN(M205), (-W205+Poussee)/m)</f>
        <v>64.7112968786988</v>
      </c>
    </row>
    <row r="207" customFormat="false" ht="12" hidden="false" customHeight="false" outlineLevel="0" collapsed="false">
      <c r="A207" s="416" t="n">
        <f aca="false">IF(B206+0.01&lt;=T_ini+ROUNDUP(Temps_fin_propu,0), 0.01, IF(K206&gt;0, 0.1, 0.0001))</f>
        <v>0.01</v>
      </c>
      <c r="B207" s="417" t="n">
        <f aca="false">B206+pas</f>
        <v>2.03</v>
      </c>
      <c r="C207" s="401"/>
      <c r="D207" s="418" t="n">
        <f aca="false">IF(AND(L206&lt;L_rampe,Poussee&lt;Poids*SIN(M206)),0,(-W206+Poussee)/m*COS(M206)-U206/m*SIN(M206))</f>
        <v>13.7862392237631</v>
      </c>
      <c r="E207" s="419" t="n">
        <f aca="false">IF(AND(L206&lt;L_rampe,Poussee&lt;Poids*SIN(M206)),0,(-W206+Poussee)/m*SIN(M206)+U206/m*COS(M206)-Poids/m)</f>
        <v>53.1643848465531</v>
      </c>
      <c r="F207" s="417" t="n">
        <f aca="false">SQRT(acc_x^2+acc_z^2)</f>
        <v>54.922784052224</v>
      </c>
      <c r="G207" s="418" t="n">
        <f aca="false">G206+acc_x*pas</f>
        <v>33.0053325159603</v>
      </c>
      <c r="H207" s="419" t="n">
        <f aca="false">H206+acc_z*pas</f>
        <v>150.667491552037</v>
      </c>
      <c r="I207" s="417" t="n">
        <f aca="false">SQRT(vit_x^2+vit_z^2)</f>
        <v>154.240218442117</v>
      </c>
      <c r="J207" s="418" t="n">
        <f aca="false">J206+0.5*(vit_x+G206)*pas*(K206&gt;=0)</f>
        <v>33.9856066373753</v>
      </c>
      <c r="K207" s="419" t="n">
        <f aca="false">K206+0.5*(vit_z+H206)*pas</f>
        <v>164.744132960485</v>
      </c>
      <c r="L207" s="417" t="n">
        <f aca="false">SQRT(pos_x^2+pos_z^2)</f>
        <v>168.213111270829</v>
      </c>
      <c r="M207" s="418" t="n">
        <f aca="false">IF(AND(L206&gt;L_rampe,G207&gt;0),ATAN2(G207,H207),$M$4)</f>
        <v>1.35514209466204</v>
      </c>
      <c r="N207" s="417" t="n">
        <f aca="false">DEGREES(Beta)</f>
        <v>77.643922664653</v>
      </c>
      <c r="O207" s="401"/>
      <c r="P207" s="420" t="n">
        <f aca="false">MATCH(t-pas/2-T_ini,CdP_t)</f>
        <v>6</v>
      </c>
      <c r="Q207" s="417" t="n">
        <f aca="false">(INDEX(CdP,2,i_P+1)-INDEX(CdP,2,i_P+0))/(INDEX(CdP,1,i_P+1)-INDEX(CdP,1,i_P+0))*(t-pas/2-T_ini-INDEX(CdP,1,i_P+0))+INDEX(CdP,2,i_P+0)</f>
        <v>582.35</v>
      </c>
      <c r="R207" s="418" t="n">
        <f aca="false">Poussee/(g*ISP)</f>
        <v>0.29225433231149</v>
      </c>
      <c r="S207" s="419" t="n">
        <f aca="false">S206-Débit*pas</f>
        <v>7.6756270243445</v>
      </c>
      <c r="T207" s="417" t="n">
        <f aca="false">m*g</f>
        <v>75.2979011088195</v>
      </c>
      <c r="U207" s="421" t="n">
        <f aca="false">IF(pos_xz&lt;L_rampe,Poids*COS(Beta),0)</f>
        <v>0</v>
      </c>
      <c r="V207" s="418" t="n">
        <f aca="false">Rho_moyen*(20000-Alt_rampe-pos_z)/(20000+Alt_rampe+pos_z)</f>
        <v>1.20498372193112</v>
      </c>
      <c r="W207" s="417" t="n">
        <f aca="false">1/2*Rho*Sref*Cx*vit_xz^2</f>
        <v>88.1479375903177</v>
      </c>
      <c r="X207" s="401"/>
      <c r="Y207" s="422" t="str">
        <f aca="false">IF(AND(pos_z&lt;=0,K206&gt;0),"Impact balistique","") &amp; IF(AND(H208&lt;0,vit_z&gt;=0),"Apogée","") &amp; IF(AND(Poussee=0,Q206&gt;0),"Fin de propulsion","") &amp; IF(AND(L208&gt;L_rampe,pos_xz&lt;=L_rampe),"Sortie de rampe","")</f>
        <v/>
      </c>
      <c r="Z207" s="423" t="str">
        <f aca="false">IF(ABS(t-T_para)&lt;pas/2,"Para","")</f>
        <v/>
      </c>
      <c r="AA207" s="424" t="str">
        <f aca="false">IF(ABS(t-T_satellite)&lt;pas/2,"Satellite","")</f>
        <v/>
      </c>
      <c r="AB207" s="412"/>
      <c r="AC207" s="420" t="e">
        <f aca="false">IF(ABS(t-ROUND(t,0))&lt;0.001,t,NA())</f>
        <v>#N/A</v>
      </c>
      <c r="AD207" s="425" t="e">
        <f aca="false">IF(ABS(t-ROUND(t,0))&lt;0.001,pos_x,NA())</f>
        <v>#N/A</v>
      </c>
      <c r="AE207" s="426" t="n">
        <f aca="false">IF(t&lt;T_para, pos_z, NA())</f>
        <v>164.744132960485</v>
      </c>
      <c r="AF207" s="412"/>
      <c r="AG207" s="418" t="n">
        <f aca="false">IF(AND(L206&lt;L_rampe,Poussee&lt;Poids*SIN(M206)),0,(-W206+Poussee)/m-Poids*SIN(M206)/m)</f>
        <v>54.8827022305003</v>
      </c>
      <c r="AH207" s="417" t="n">
        <f aca="false">IF(AND(L206&lt;L_rampe,Poussee&lt;Poids*SIN(M206)), g*SIN(M206), (-W206+Poussee)/m)</f>
        <v>64.4657547752029</v>
      </c>
    </row>
    <row r="208" customFormat="false" ht="12" hidden="false" customHeight="false" outlineLevel="0" collapsed="false">
      <c r="A208" s="416" t="n">
        <f aca="false">IF(B207+0.01&lt;=T_ini+ROUNDUP(Temps_fin_propu,0), 0.01, IF(K207&gt;0, 0.1, 0.0001))</f>
        <v>0.01</v>
      </c>
      <c r="B208" s="417" t="n">
        <f aca="false">B207+pas</f>
        <v>2.04</v>
      </c>
      <c r="C208" s="401"/>
      <c r="D208" s="418" t="n">
        <f aca="false">IF(AND(L207&lt;L_rampe,Poussee&lt;Poids*SIN(M207)),0,(-W207+Poussee)/m*COS(M207)-U207/m*SIN(M207))</f>
        <v>13.7422305922116</v>
      </c>
      <c r="E208" s="419" t="n">
        <f aca="false">IF(AND(L207&lt;L_rampe,Poussee&lt;Poids*SIN(M207)),0,(-W207+Poussee)/m*SIN(M207)+U207/m*COS(M207)-Poids/m)</f>
        <v>52.9225118041744</v>
      </c>
      <c r="F208" s="417" t="n">
        <f aca="false">SQRT(acc_x^2+acc_z^2)</f>
        <v>54.6776111156339</v>
      </c>
      <c r="G208" s="418" t="n">
        <f aca="false">G207+acc_x*pas</f>
        <v>33.1427548218824</v>
      </c>
      <c r="H208" s="419" t="n">
        <f aca="false">H207+acc_z*pas</f>
        <v>151.196716670078</v>
      </c>
      <c r="I208" s="417" t="n">
        <f aca="false">SQRT(vit_x^2+vit_z^2)</f>
        <v>154.786592859315</v>
      </c>
      <c r="J208" s="418" t="n">
        <f aca="false">J207+0.5*(vit_x+G207)*pas*(K207&gt;=0)</f>
        <v>34.3163470740645</v>
      </c>
      <c r="K208" s="419" t="n">
        <f aca="false">K207+0.5*(vit_z+H207)*pas</f>
        <v>166.253454001595</v>
      </c>
      <c r="L208" s="417" t="n">
        <f aca="false">SQRT(pos_x^2+pos_z^2)</f>
        <v>169.758129831735</v>
      </c>
      <c r="M208" s="418" t="n">
        <f aca="false">IF(AND(L207&gt;L_rampe,G208&gt;0),ATAN2(G208,H208),$M$4)</f>
        <v>1.35500647515894</v>
      </c>
      <c r="N208" s="417" t="n">
        <f aca="false">DEGREES(Beta)</f>
        <v>77.6361522395056</v>
      </c>
      <c r="O208" s="401"/>
      <c r="P208" s="420" t="n">
        <f aca="false">MATCH(t-pas/2-T_ini,CdP_t)</f>
        <v>6</v>
      </c>
      <c r="Q208" s="417" t="n">
        <f aca="false">(INDEX(CdP,2,i_P+1)-INDEX(CdP,2,i_P+0))/(INDEX(CdP,1,i_P+1)-INDEX(CdP,1,i_P+0))*(t-pas/2-T_ini-INDEX(CdP,1,i_P+0))+INDEX(CdP,2,i_P+0)</f>
        <v>580.89</v>
      </c>
      <c r="R208" s="418" t="n">
        <f aca="false">Poussee/(g*ISP)</f>
        <v>0.291521626335402</v>
      </c>
      <c r="S208" s="419" t="n">
        <f aca="false">S207-Débit*pas</f>
        <v>7.67271180808115</v>
      </c>
      <c r="T208" s="417" t="n">
        <f aca="false">m*g</f>
        <v>75.2693028372761</v>
      </c>
      <c r="U208" s="421" t="n">
        <f aca="false">IF(pos_xz&lt;L_rampe,Poids*COS(Beta),0)</f>
        <v>0</v>
      </c>
      <c r="V208" s="418" t="n">
        <f aca="false">Rho_moyen*(20000-Alt_rampe-pos_z)/(20000+Alt_rampe+pos_z)</f>
        <v>1.20480185247433</v>
      </c>
      <c r="W208" s="417" t="n">
        <f aca="false">1/2*Rho*Sref*Cx*vit_xz^2</f>
        <v>88.7601485126187</v>
      </c>
      <c r="X208" s="401"/>
      <c r="Y208" s="422" t="str">
        <f aca="false">IF(AND(pos_z&lt;=0,K207&gt;0),"Impact balistique","") &amp; IF(AND(H209&lt;0,vit_z&gt;=0),"Apogée","") &amp; IF(AND(Poussee=0,Q207&gt;0),"Fin de propulsion","") &amp; IF(AND(L209&gt;L_rampe,pos_xz&lt;=L_rampe),"Sortie de rampe","")</f>
        <v/>
      </c>
      <c r="Z208" s="423" t="str">
        <f aca="false">IF(ABS(t-T_para)&lt;pas/2,"Para","")</f>
        <v/>
      </c>
      <c r="AA208" s="424" t="str">
        <f aca="false">IF(ABS(t-T_satellite)&lt;pas/2,"Satellite","")</f>
        <v/>
      </c>
      <c r="AB208" s="412"/>
      <c r="AC208" s="420" t="e">
        <f aca="false">IF(ABS(t-ROUND(t,0))&lt;0.001,t,NA())</f>
        <v>#N/A</v>
      </c>
      <c r="AD208" s="425" t="e">
        <f aca="false">IF(ABS(t-ROUND(t,0))&lt;0.001,pos_x,NA())</f>
        <v>#N/A</v>
      </c>
      <c r="AE208" s="426" t="n">
        <f aca="false">IF(t&lt;T_para, pos_z, NA())</f>
        <v>166.253454001595</v>
      </c>
      <c r="AF208" s="412"/>
      <c r="AG208" s="418" t="n">
        <f aca="false">IF(AND(L207&lt;L_rampe,Poussee&lt;Poids*SIN(M207)),0,(-W207+Poussee)/m-Poids*SIN(M207)/m)</f>
        <v>54.6372993729744</v>
      </c>
      <c r="AH208" s="417" t="n">
        <f aca="false">IF(AND(L207&lt;L_rampe,Poussee&lt;Poids*SIN(M207)), g*SIN(M207), (-W207+Poussee)/m)</f>
        <v>64.2200664816722</v>
      </c>
    </row>
    <row r="209" customFormat="false" ht="12" hidden="false" customHeight="false" outlineLevel="0" collapsed="false">
      <c r="A209" s="416" t="n">
        <f aca="false">IF(B208+0.01&lt;=T_ini+ROUNDUP(Temps_fin_propu,0), 0.01, IF(K208&gt;0, 0.1, 0.0001))</f>
        <v>0.01</v>
      </c>
      <c r="B209" s="417" t="n">
        <f aca="false">B208+pas</f>
        <v>2.05</v>
      </c>
      <c r="C209" s="401"/>
      <c r="D209" s="418" t="n">
        <f aca="false">IF(AND(L208&lt;L_rampe,Poussee&lt;Poids*SIN(M208)),0,(-W208+Poussee)/m*COS(M208)-U208/m*SIN(M208))</f>
        <v>13.6981013878306</v>
      </c>
      <c r="E209" s="419" t="n">
        <f aca="false">IF(AND(L208&lt;L_rampe,Poussee&lt;Poids*SIN(M208)),0,(-W208+Poussee)/m*SIN(M208)+U208/m*COS(M208)-Poids/m)</f>
        <v>52.6805191371232</v>
      </c>
      <c r="F209" s="417" t="n">
        <f aca="false">SQRT(acc_x^2+acc_z^2)</f>
        <v>54.4322981159908</v>
      </c>
      <c r="G209" s="418" t="n">
        <f aca="false">G208+acc_x*pas</f>
        <v>33.2797358357607</v>
      </c>
      <c r="H209" s="419" t="n">
        <f aca="false">H208+acc_z*pas</f>
        <v>151.72352186145</v>
      </c>
      <c r="I209" s="417" t="n">
        <f aca="false">SQRT(vit_x^2+vit_z^2)</f>
        <v>155.330511823466</v>
      </c>
      <c r="J209" s="418" t="n">
        <f aca="false">J208+0.5*(vit_x+G208)*pas*(K208&gt;=0)</f>
        <v>34.6484595273527</v>
      </c>
      <c r="K209" s="419" t="n">
        <f aca="false">K208+0.5*(vit_z+H208)*pas</f>
        <v>167.768055194253</v>
      </c>
      <c r="L209" s="417" t="n">
        <f aca="false">SQRT(pos_x^2+pos_z^2)</f>
        <v>171.308598999818</v>
      </c>
      <c r="M209" s="418" t="n">
        <f aca="false">IF(AND(L208&gt;L_rampe,G209&gt;0),ATAN2(G209,H209),$M$4)</f>
        <v>1.35487124688684</v>
      </c>
      <c r="N209" s="417" t="n">
        <f aca="false">DEGREES(Beta)</f>
        <v>77.6284042302436</v>
      </c>
      <c r="O209" s="401"/>
      <c r="P209" s="420" t="n">
        <f aca="false">MATCH(t-pas/2-T_ini,CdP_t)</f>
        <v>6</v>
      </c>
      <c r="Q209" s="417" t="n">
        <f aca="false">(INDEX(CdP,2,i_P+1)-INDEX(CdP,2,i_P+0))/(INDEX(CdP,1,i_P+1)-INDEX(CdP,1,i_P+0))*(t-pas/2-T_ini-INDEX(CdP,1,i_P+0))+INDEX(CdP,2,i_P+0)</f>
        <v>579.43</v>
      </c>
      <c r="R209" s="418" t="n">
        <f aca="false">Poussee/(g*ISP)</f>
        <v>0.290788920359314</v>
      </c>
      <c r="S209" s="419" t="n">
        <f aca="false">S208-Débit*pas</f>
        <v>7.66980391887755</v>
      </c>
      <c r="T209" s="417" t="n">
        <f aca="false">m*g</f>
        <v>75.2407764441888</v>
      </c>
      <c r="U209" s="421" t="n">
        <f aca="false">IF(pos_xz&lt;L_rampe,Poids*COS(Beta),0)</f>
        <v>0</v>
      </c>
      <c r="V209" s="418" t="n">
        <f aca="false">Rho_moyen*(20000-Alt_rampe-pos_z)/(20000+Alt_rampe+pos_z)</f>
        <v>1.20461937413694</v>
      </c>
      <c r="W209" s="417" t="n">
        <f aca="false">1/2*Rho*Sref*Cx*vit_xz^2</f>
        <v>89.3715113823938</v>
      </c>
      <c r="X209" s="401"/>
      <c r="Y209" s="422" t="str">
        <f aca="false">IF(AND(pos_z&lt;=0,K208&gt;0),"Impact balistique","") &amp; IF(AND(H210&lt;0,vit_z&gt;=0),"Apogée","") &amp; IF(AND(Poussee=0,Q208&gt;0),"Fin de propulsion","") &amp; IF(AND(L210&gt;L_rampe,pos_xz&lt;=L_rampe),"Sortie de rampe","")</f>
        <v/>
      </c>
      <c r="Z209" s="423" t="str">
        <f aca="false">IF(ABS(t-T_para)&lt;pas/2,"Para","")</f>
        <v/>
      </c>
      <c r="AA209" s="424" t="str">
        <f aca="false">IF(ABS(t-T_satellite)&lt;pas/2,"Satellite","")</f>
        <v/>
      </c>
      <c r="AB209" s="412"/>
      <c r="AC209" s="420" t="e">
        <f aca="false">IF(ABS(t-ROUND(t,0))&lt;0.001,t,NA())</f>
        <v>#N/A</v>
      </c>
      <c r="AD209" s="425" t="e">
        <f aca="false">IF(ABS(t-ROUND(t,0))&lt;0.001,pos_x,NA())</f>
        <v>#N/A</v>
      </c>
      <c r="AE209" s="426" t="n">
        <f aca="false">IF(t&lt;T_para, pos_z, NA())</f>
        <v>167.768055194253</v>
      </c>
      <c r="AF209" s="412"/>
      <c r="AG209" s="418" t="n">
        <f aca="false">IF(AND(L208&lt;L_rampe,Poussee&lt;Poids*SIN(M208)),0,(-W208+Poussee)/m-Poids*SIN(M208)/m)</f>
        <v>54.3917543910442</v>
      </c>
      <c r="AH209" s="417" t="n">
        <f aca="false">IF(AND(L208&lt;L_rampe,Poussee&lt;Poids*SIN(M208)), g*SIN(M208), (-W208+Poussee)/m)</f>
        <v>63.9742367180606</v>
      </c>
    </row>
    <row r="210" customFormat="false" ht="12" hidden="false" customHeight="false" outlineLevel="0" collapsed="false">
      <c r="A210" s="416" t="n">
        <f aca="false">IF(B209+0.01&lt;=T_ini+ROUNDUP(Temps_fin_propu,0), 0.01, IF(K209&gt;0, 0.1, 0.0001))</f>
        <v>0.01</v>
      </c>
      <c r="B210" s="417" t="n">
        <f aca="false">B209+pas</f>
        <v>2.06</v>
      </c>
      <c r="C210" s="401"/>
      <c r="D210" s="418" t="n">
        <f aca="false">IF(AND(L209&lt;L_rampe,Poussee&lt;Poids*SIN(M209)),0,(-W209+Poussee)/m*COS(M209)-U209/m*SIN(M209))</f>
        <v>13.6538531432425</v>
      </c>
      <c r="E210" s="419" t="n">
        <f aca="false">IF(AND(L209&lt;L_rampe,Poussee&lt;Poids*SIN(M209)),0,(-W209+Poussee)/m*SIN(M209)+U209/m*COS(M209)-Poids/m)</f>
        <v>52.4384113484378</v>
      </c>
      <c r="F210" s="417" t="n">
        <f aca="false">SQRT(acc_x^2+acc_z^2)</f>
        <v>54.1868497922255</v>
      </c>
      <c r="G210" s="418" t="n">
        <f aca="false">G209+acc_x*pas</f>
        <v>33.4162743671931</v>
      </c>
      <c r="H210" s="419" t="n">
        <f aca="false">H209+acc_z*pas</f>
        <v>152.247905974934</v>
      </c>
      <c r="I210" s="417" t="n">
        <f aca="false">SQRT(vit_x^2+vit_z^2)</f>
        <v>155.871973960478</v>
      </c>
      <c r="J210" s="418" t="n">
        <f aca="false">J209+0.5*(vit_x+G209)*pas*(K209&gt;=0)</f>
        <v>34.9819395783675</v>
      </c>
      <c r="K210" s="419" t="n">
        <f aca="false">K209+0.5*(vit_z+H209)*pas</f>
        <v>169.287912333435</v>
      </c>
      <c r="L210" s="417" t="n">
        <f aca="false">SQRT(pos_x^2+pos_z^2)</f>
        <v>172.864494211152</v>
      </c>
      <c r="M210" s="418" t="n">
        <f aca="false">IF(AND(L209&gt;L_rampe,G210&gt;0),ATAN2(G210,H210),$M$4)</f>
        <v>1.35473640523304</v>
      </c>
      <c r="N210" s="417" t="n">
        <f aca="false">DEGREES(Beta)</f>
        <v>77.6206783725779</v>
      </c>
      <c r="O210" s="401"/>
      <c r="P210" s="420" t="n">
        <f aca="false">MATCH(t-pas/2-T_ini,CdP_t)</f>
        <v>6</v>
      </c>
      <c r="Q210" s="417" t="n">
        <f aca="false">(INDEX(CdP,2,i_P+1)-INDEX(CdP,2,i_P+0))/(INDEX(CdP,1,i_P+1)-INDEX(CdP,1,i_P+0))*(t-pas/2-T_ini-INDEX(CdP,1,i_P+0))+INDEX(CdP,2,i_P+0)</f>
        <v>577.97</v>
      </c>
      <c r="R210" s="418" t="n">
        <f aca="false">Poussee/(g*ISP)</f>
        <v>0.290056214383226</v>
      </c>
      <c r="S210" s="419" t="n">
        <f aca="false">S209-Débit*pas</f>
        <v>7.66690335673372</v>
      </c>
      <c r="T210" s="417" t="n">
        <f aca="false">m*g</f>
        <v>75.2123219295578</v>
      </c>
      <c r="U210" s="421" t="n">
        <f aca="false">IF(pos_xz&lt;L_rampe,Poids*COS(Beta),0)</f>
        <v>0</v>
      </c>
      <c r="V210" s="418" t="n">
        <f aca="false">Rho_moyen*(20000-Alt_rampe-pos_z)/(20000+Alt_rampe+pos_z)</f>
        <v>1.20443629011497</v>
      </c>
      <c r="W210" s="417" t="n">
        <f aca="false">1/2*Rho*Sref*Cx*vit_xz^2</f>
        <v>89.9819945054137</v>
      </c>
      <c r="X210" s="401"/>
      <c r="Y210" s="422" t="str">
        <f aca="false">IF(AND(pos_z&lt;=0,K209&gt;0),"Impact balistique","") &amp; IF(AND(H211&lt;0,vit_z&gt;=0),"Apogée","") &amp; IF(AND(Poussee=0,Q209&gt;0),"Fin de propulsion","") &amp; IF(AND(L211&gt;L_rampe,pos_xz&lt;=L_rampe),"Sortie de rampe","")</f>
        <v/>
      </c>
      <c r="Z210" s="423" t="str">
        <f aca="false">IF(ABS(t-T_para)&lt;pas/2,"Para","")</f>
        <v/>
      </c>
      <c r="AA210" s="424" t="str">
        <f aca="false">IF(ABS(t-T_satellite)&lt;pas/2,"Satellite","")</f>
        <v/>
      </c>
      <c r="AB210" s="412"/>
      <c r="AC210" s="420" t="e">
        <f aca="false">IF(ABS(t-ROUND(t,0))&lt;0.001,t,NA())</f>
        <v>#N/A</v>
      </c>
      <c r="AD210" s="425" t="e">
        <f aca="false">IF(ABS(t-ROUND(t,0))&lt;0.001,pos_x,NA())</f>
        <v>#N/A</v>
      </c>
      <c r="AE210" s="426" t="n">
        <f aca="false">IF(t&lt;T_para, pos_z, NA())</f>
        <v>169.287912333435</v>
      </c>
      <c r="AF210" s="412"/>
      <c r="AG210" s="418" t="n">
        <f aca="false">IF(AND(L209&lt;L_rampe,Poussee&lt;Poids*SIN(M209)),0,(-W209+Poussee)/m-Poids*SIN(M209)/m)</f>
        <v>54.1460719958898</v>
      </c>
      <c r="AH210" s="417" t="n">
        <f aca="false">IF(AND(L209&lt;L_rampe,Poussee&lt;Poids*SIN(M209)), g*SIN(M209), (-W209+Poussee)/m)</f>
        <v>63.728270187269</v>
      </c>
    </row>
    <row r="211" customFormat="false" ht="12" hidden="false" customHeight="false" outlineLevel="0" collapsed="false">
      <c r="A211" s="416" t="n">
        <f aca="false">IF(B210+0.01&lt;=T_ini+ROUNDUP(Temps_fin_propu,0), 0.01, IF(K210&gt;0, 0.1, 0.0001))</f>
        <v>0.01</v>
      </c>
      <c r="B211" s="417" t="n">
        <f aca="false">B210+pas</f>
        <v>2.07</v>
      </c>
      <c r="C211" s="401"/>
      <c r="D211" s="418" t="n">
        <f aca="false">IF(AND(L210&lt;L_rampe,Poussee&lt;Poids*SIN(M210)),0,(-W210+Poussee)/m*COS(M210)-U210/m*SIN(M210))</f>
        <v>13.6094873816833</v>
      </c>
      <c r="E211" s="419" t="n">
        <f aca="false">IF(AND(L210&lt;L_rampe,Poussee&lt;Poids*SIN(M210)),0,(-W210+Poussee)/m*SIN(M210)+U210/m*COS(M210)-Poids/m)</f>
        <v>52.1961929251993</v>
      </c>
      <c r="F211" s="417" t="n">
        <f aca="false">SQRT(acc_x^2+acc_z^2)</f>
        <v>53.9412708663489</v>
      </c>
      <c r="G211" s="418" t="n">
        <f aca="false">G210+acc_x*pas</f>
        <v>33.55236924101</v>
      </c>
      <c r="H211" s="419" t="n">
        <f aca="false">H210+acc_z*pas</f>
        <v>152.769867904186</v>
      </c>
      <c r="I211" s="417" t="n">
        <f aca="false">SQRT(vit_x^2+vit_z^2)</f>
        <v>156.410977943198</v>
      </c>
      <c r="J211" s="418" t="n">
        <f aca="false">J210+0.5*(vit_x+G210)*pas*(K210&gt;=0)</f>
        <v>35.3167827964085</v>
      </c>
      <c r="K211" s="419" t="n">
        <f aca="false">K210+0.5*(vit_z+H210)*pas</f>
        <v>170.81300120283</v>
      </c>
      <c r="L211" s="417" t="n">
        <f aca="false">SQRT(pos_x^2+pos_z^2)</f>
        <v>174.425790888294</v>
      </c>
      <c r="M211" s="418" t="n">
        <f aca="false">IF(AND(L210&gt;L_rampe,G211&gt;0),ATAN2(G211,H211),$M$4)</f>
        <v>1.35460194564695</v>
      </c>
      <c r="N211" s="417" t="n">
        <f aca="false">DEGREES(Beta)</f>
        <v>77.6129744057799</v>
      </c>
      <c r="O211" s="401"/>
      <c r="P211" s="420" t="n">
        <f aca="false">MATCH(t-pas/2-T_ini,CdP_t)</f>
        <v>6</v>
      </c>
      <c r="Q211" s="417" t="n">
        <f aca="false">(INDEX(CdP,2,i_P+1)-INDEX(CdP,2,i_P+0))/(INDEX(CdP,1,i_P+1)-INDEX(CdP,1,i_P+0))*(t-pas/2-T_ini-INDEX(CdP,1,i_P+0))+INDEX(CdP,2,i_P+0)</f>
        <v>576.51</v>
      </c>
      <c r="R211" s="418" t="n">
        <f aca="false">Poussee/(g*ISP)</f>
        <v>0.289323508407138</v>
      </c>
      <c r="S211" s="419" t="n">
        <f aca="false">S210-Débit*pas</f>
        <v>7.66401012164965</v>
      </c>
      <c r="T211" s="417" t="n">
        <f aca="false">m*g</f>
        <v>75.1839392933831</v>
      </c>
      <c r="U211" s="421" t="n">
        <f aca="false">IF(pos_xz&lt;L_rampe,Poids*COS(Beta),0)</f>
        <v>0</v>
      </c>
      <c r="V211" s="418" t="n">
        <f aca="false">Rho_moyen*(20000-Alt_rampe-pos_z)/(20000+Alt_rampe+pos_z)</f>
        <v>1.20425260360492</v>
      </c>
      <c r="W211" s="417" t="n">
        <f aca="false">1/2*Rho*Sref*Cx*vit_xz^2</f>
        <v>90.5915663814248</v>
      </c>
      <c r="X211" s="401"/>
      <c r="Y211" s="422" t="str">
        <f aca="false">IF(AND(pos_z&lt;=0,K210&gt;0),"Impact balistique","") &amp; IF(AND(H212&lt;0,vit_z&gt;=0),"Apogée","") &amp; IF(AND(Poussee=0,Q210&gt;0),"Fin de propulsion","") &amp; IF(AND(L212&gt;L_rampe,pos_xz&lt;=L_rampe),"Sortie de rampe","")</f>
        <v/>
      </c>
      <c r="Z211" s="423" t="str">
        <f aca="false">IF(ABS(t-T_para)&lt;pas/2,"Para","")</f>
        <v/>
      </c>
      <c r="AA211" s="424" t="str">
        <f aca="false">IF(ABS(t-T_satellite)&lt;pas/2,"Satellite","")</f>
        <v/>
      </c>
      <c r="AB211" s="412"/>
      <c r="AC211" s="420" t="e">
        <f aca="false">IF(ABS(t-ROUND(t,0))&lt;0.001,t,NA())</f>
        <v>#N/A</v>
      </c>
      <c r="AD211" s="425" t="e">
        <f aca="false">IF(ABS(t-ROUND(t,0))&lt;0.001,pos_x,NA())</f>
        <v>#N/A</v>
      </c>
      <c r="AE211" s="426" t="n">
        <f aca="false">IF(t&lt;T_para, pos_z, NA())</f>
        <v>170.81300120283</v>
      </c>
      <c r="AF211" s="412"/>
      <c r="AG211" s="418" t="n">
        <f aca="false">IF(AND(L210&lt;L_rampe,Poussee&lt;Poids*SIN(M210)),0,(-W210+Poussee)/m-Poids*SIN(M210)/m)</f>
        <v>53.9002568813217</v>
      </c>
      <c r="AH211" s="417" t="n">
        <f aca="false">IF(AND(L210&lt;L_rampe,Poussee&lt;Poids*SIN(M210)), g*SIN(M210), (-W210+Poussee)/m)</f>
        <v>63.482171574933</v>
      </c>
    </row>
    <row r="212" customFormat="false" ht="12" hidden="false" customHeight="false" outlineLevel="0" collapsed="false">
      <c r="A212" s="416" t="n">
        <f aca="false">IF(B211+0.01&lt;=T_ini+ROUNDUP(Temps_fin_propu,0), 0.01, IF(K211&gt;0, 0.1, 0.0001))</f>
        <v>0.01</v>
      </c>
      <c r="B212" s="417" t="n">
        <f aca="false">B211+pas</f>
        <v>2.08</v>
      </c>
      <c r="C212" s="401"/>
      <c r="D212" s="418" t="n">
        <f aca="false">IF(AND(L211&lt;L_rampe,Poussee&lt;Poids*SIN(M211)),0,(-W211+Poussee)/m*COS(M211)-U211/m*SIN(M211))</f>
        <v>13.5650056170747</v>
      </c>
      <c r="E212" s="419" t="n">
        <f aca="false">IF(AND(L211&lt;L_rampe,Poussee&lt;Poids*SIN(M211)),0,(-W211+Poussee)/m*SIN(M211)+U211/m*COS(M211)-Poids/m)</f>
        <v>51.9538683383082</v>
      </c>
      <c r="F212" s="417" t="n">
        <f aca="false">SQRT(acc_x^2+acc_z^2)</f>
        <v>53.6955660432547</v>
      </c>
      <c r="G212" s="418" t="n">
        <f aca="false">G211+acc_x*pas</f>
        <v>33.6880192971807</v>
      </c>
      <c r="H212" s="419" t="n">
        <f aca="false">H211+acc_z*pas</f>
        <v>153.289406587569</v>
      </c>
      <c r="I212" s="417" t="n">
        <f aca="false">SQRT(vit_x^2+vit_z^2)</f>
        <v>156.947522491234</v>
      </c>
      <c r="J212" s="418" t="n">
        <f aca="false">J211+0.5*(vit_x+G211)*pas*(K211&gt;=0)</f>
        <v>35.6529847390995</v>
      </c>
      <c r="K212" s="419" t="n">
        <f aca="false">K211+0.5*(vit_z+H211)*pas</f>
        <v>172.343297575289</v>
      </c>
      <c r="L212" s="417" t="n">
        <f aca="false">SQRT(pos_x^2+pos_z^2)</f>
        <v>175.992464440757</v>
      </c>
      <c r="M212" s="418" t="n">
        <f aca="false">IF(AND(L211&gt;L_rampe,G212&gt;0),ATAN2(G212,H212),$M$4)</f>
        <v>1.35446786363895</v>
      </c>
      <c r="N212" s="417" t="n">
        <f aca="false">DEGREES(Beta)</f>
        <v>77.6052920726128</v>
      </c>
      <c r="O212" s="401"/>
      <c r="P212" s="420" t="n">
        <f aca="false">MATCH(t-pas/2-T_ini,CdP_t)</f>
        <v>6</v>
      </c>
      <c r="Q212" s="417" t="n">
        <f aca="false">(INDEX(CdP,2,i_P+1)-INDEX(CdP,2,i_P+0))/(INDEX(CdP,1,i_P+1)-INDEX(CdP,1,i_P+0))*(t-pas/2-T_ini-INDEX(CdP,1,i_P+0))+INDEX(CdP,2,i_P+0)</f>
        <v>575.05</v>
      </c>
      <c r="R212" s="418" t="n">
        <f aca="false">Poussee/(g*ISP)</f>
        <v>0.28859080243105</v>
      </c>
      <c r="S212" s="419" t="n">
        <f aca="false">S211-Débit*pas</f>
        <v>7.66112421362534</v>
      </c>
      <c r="T212" s="417" t="n">
        <f aca="false">m*g</f>
        <v>75.1556285356646</v>
      </c>
      <c r="U212" s="421" t="n">
        <f aca="false">IF(pos_xz&lt;L_rampe,Poids*COS(Beta),0)</f>
        <v>0</v>
      </c>
      <c r="V212" s="418" t="n">
        <f aca="false">Rho_moyen*(20000-Alt_rampe-pos_z)/(20000+Alt_rampe+pos_z)</f>
        <v>1.2040683178037</v>
      </c>
      <c r="W212" s="417" t="n">
        <f aca="false">1/2*Rho*Sref*Cx*vit_xz^2</f>
        <v>91.200195705136</v>
      </c>
      <c r="X212" s="401"/>
      <c r="Y212" s="422" t="str">
        <f aca="false">IF(AND(pos_z&lt;=0,K211&gt;0),"Impact balistique","") &amp; IF(AND(H213&lt;0,vit_z&gt;=0),"Apogée","") &amp; IF(AND(Poussee=0,Q211&gt;0),"Fin de propulsion","") &amp; IF(AND(L213&gt;L_rampe,pos_xz&lt;=L_rampe),"Sortie de rampe","")</f>
        <v/>
      </c>
      <c r="Z212" s="423" t="str">
        <f aca="false">IF(ABS(t-T_para)&lt;pas/2,"Para","")</f>
        <v/>
      </c>
      <c r="AA212" s="424" t="str">
        <f aca="false">IF(ABS(t-T_satellite)&lt;pas/2,"Satellite","")</f>
        <v/>
      </c>
      <c r="AB212" s="412"/>
      <c r="AC212" s="420" t="e">
        <f aca="false">IF(ABS(t-ROUND(t,0))&lt;0.001,t,NA())</f>
        <v>#N/A</v>
      </c>
      <c r="AD212" s="425" t="e">
        <f aca="false">IF(ABS(t-ROUND(t,0))&lt;0.001,pos_x,NA())</f>
        <v>#N/A</v>
      </c>
      <c r="AE212" s="426" t="n">
        <f aca="false">IF(t&lt;T_para, pos_z, NA())</f>
        <v>172.343297575289</v>
      </c>
      <c r="AF212" s="412"/>
      <c r="AG212" s="418" t="n">
        <f aca="false">IF(AND(L211&lt;L_rampe,Poussee&lt;Poids*SIN(M211)),0,(-W211+Poussee)/m-Poids*SIN(M211)/m)</f>
        <v>53.6543137235735</v>
      </c>
      <c r="AH212" s="417" t="n">
        <f aca="false">IF(AND(L211&lt;L_rampe,Poussee&lt;Poids*SIN(M211)), g*SIN(M211), (-W211+Poussee)/m)</f>
        <v>63.2359455492138</v>
      </c>
    </row>
    <row r="213" customFormat="false" ht="12" hidden="false" customHeight="false" outlineLevel="0" collapsed="false">
      <c r="A213" s="416" t="n">
        <f aca="false">IF(B212+0.01&lt;=T_ini+ROUNDUP(Temps_fin_propu,0), 0.01, IF(K212&gt;0, 0.1, 0.0001))</f>
        <v>0.01</v>
      </c>
      <c r="B213" s="417" t="n">
        <f aca="false">B212+pas</f>
        <v>2.09</v>
      </c>
      <c r="C213" s="401"/>
      <c r="D213" s="418" t="n">
        <f aca="false">IF(AND(L212&lt;L_rampe,Poussee&lt;Poids*SIN(M212)),0,(-W212+Poussee)/m*COS(M212)-U212/m*SIN(M212))</f>
        <v>13.5204093540946</v>
      </c>
      <c r="E213" s="419" t="n">
        <f aca="false">IF(AND(L212&lt;L_rampe,Poussee&lt;Poids*SIN(M212)),0,(-W212+Poussee)/m*SIN(M212)+U212/m*COS(M212)-Poids/m)</f>
        <v>51.7114420422639</v>
      </c>
      <c r="F213" s="417" t="n">
        <f aca="false">SQRT(acc_x^2+acc_z^2)</f>
        <v>53.4497400105249</v>
      </c>
      <c r="G213" s="418" t="n">
        <f aca="false">G212+acc_x*pas</f>
        <v>33.8232233907217</v>
      </c>
      <c r="H213" s="419" t="n">
        <f aca="false">H212+acc_z*pas</f>
        <v>153.806521007992</v>
      </c>
      <c r="I213" s="417" t="n">
        <f aca="false">SQRT(vit_x^2+vit_z^2)</f>
        <v>157.481606370777</v>
      </c>
      <c r="J213" s="418" t="n">
        <f aca="false">J212+0.5*(vit_x+G212)*pas*(K212&gt;=0)</f>
        <v>35.990540952539</v>
      </c>
      <c r="K213" s="419" t="n">
        <f aca="false">K212+0.5*(vit_z+H212)*pas</f>
        <v>173.878777213267</v>
      </c>
      <c r="L213" s="417" t="n">
        <f aca="false">SQRT(pos_x^2+pos_z^2)</f>
        <v>177.564490265473</v>
      </c>
      <c r="M213" s="418" t="n">
        <f aca="false">IF(AND(L212&gt;L_rampe,G213&gt;0),ATAN2(G213,H213),$M$4)</f>
        <v>1.35433415477919</v>
      </c>
      <c r="N213" s="417" t="n">
        <f aca="false">DEGREES(Beta)</f>
        <v>77.597631119265</v>
      </c>
      <c r="O213" s="401"/>
      <c r="P213" s="420" t="n">
        <f aca="false">MATCH(t-pas/2-T_ini,CdP_t)</f>
        <v>6</v>
      </c>
      <c r="Q213" s="417" t="n">
        <f aca="false">(INDEX(CdP,2,i_P+1)-INDEX(CdP,2,i_P+0))/(INDEX(CdP,1,i_P+1)-INDEX(CdP,1,i_P+0))*(t-pas/2-T_ini-INDEX(CdP,1,i_P+0))+INDEX(CdP,2,i_P+0)</f>
        <v>573.59</v>
      </c>
      <c r="R213" s="418" t="n">
        <f aca="false">Poussee/(g*ISP)</f>
        <v>0.287858096454962</v>
      </c>
      <c r="S213" s="419" t="n">
        <f aca="false">S212-Débit*pas</f>
        <v>7.65824563266079</v>
      </c>
      <c r="T213" s="417" t="n">
        <f aca="false">m*g</f>
        <v>75.1273896564023</v>
      </c>
      <c r="U213" s="421" t="n">
        <f aca="false">IF(pos_xz&lt;L_rampe,Poids*COS(Beta),0)</f>
        <v>0</v>
      </c>
      <c r="V213" s="418" t="n">
        <f aca="false">Rho_moyen*(20000-Alt_rampe-pos_z)/(20000+Alt_rampe+pos_z)</f>
        <v>1.20388343590853</v>
      </c>
      <c r="W213" s="417" t="n">
        <f aca="false">1/2*Rho*Sref*Cx*vit_xz^2</f>
        <v>91.8078513671808</v>
      </c>
      <c r="X213" s="401"/>
      <c r="Y213" s="422" t="str">
        <f aca="false">IF(AND(pos_z&lt;=0,K212&gt;0),"Impact balistique","") &amp; IF(AND(H214&lt;0,vit_z&gt;=0),"Apogée","") &amp; IF(AND(Poussee=0,Q212&gt;0),"Fin de propulsion","") &amp; IF(AND(L214&gt;L_rampe,pos_xz&lt;=L_rampe),"Sortie de rampe","")</f>
        <v/>
      </c>
      <c r="Z213" s="423" t="str">
        <f aca="false">IF(ABS(t-T_para)&lt;pas/2,"Para","")</f>
        <v/>
      </c>
      <c r="AA213" s="424" t="str">
        <f aca="false">IF(ABS(t-T_satellite)&lt;pas/2,"Satellite","")</f>
        <v/>
      </c>
      <c r="AB213" s="412"/>
      <c r="AC213" s="420" t="e">
        <f aca="false">IF(ABS(t-ROUND(t,0))&lt;0.001,t,NA())</f>
        <v>#N/A</v>
      </c>
      <c r="AD213" s="425" t="e">
        <f aca="false">IF(ABS(t-ROUND(t,0))&lt;0.001,pos_x,NA())</f>
        <v>#N/A</v>
      </c>
      <c r="AE213" s="426" t="n">
        <f aca="false">IF(t&lt;T_para, pos_z, NA())</f>
        <v>173.878777213267</v>
      </c>
      <c r="AF213" s="412"/>
      <c r="AG213" s="418" t="n">
        <f aca="false">IF(AND(L212&lt;L_rampe,Poussee&lt;Poids*SIN(M212)),0,(-W212+Poussee)/m-Poids*SIN(M212)/m)</f>
        <v>53.4082471810972</v>
      </c>
      <c r="AH213" s="417" t="n">
        <f aca="false">IF(AND(L212&lt;L_rampe,Poussee&lt;Poids*SIN(M212)), g*SIN(M212), (-W212+Poussee)/m)</f>
        <v>62.9895967605915</v>
      </c>
    </row>
    <row r="214" customFormat="false" ht="12" hidden="false" customHeight="false" outlineLevel="0" collapsed="false">
      <c r="A214" s="416" t="n">
        <f aca="false">IF(B213+0.01&lt;=T_ini+ROUNDUP(Temps_fin_propu,0), 0.01, IF(K213&gt;0, 0.1, 0.0001))</f>
        <v>0.01</v>
      </c>
      <c r="B214" s="417" t="n">
        <f aca="false">B213+pas</f>
        <v>2.1</v>
      </c>
      <c r="C214" s="401"/>
      <c r="D214" s="418" t="n">
        <f aca="false">IF(AND(L213&lt;L_rampe,Poussee&lt;Poids*SIN(M213)),0,(-W213+Poussee)/m*COS(M213)-U213/m*SIN(M213))</f>
        <v>13.4757000882446</v>
      </c>
      <c r="E214" s="419" t="n">
        <f aca="false">IF(AND(L213&lt;L_rampe,Poussee&lt;Poids*SIN(M213)),0,(-W213+Poussee)/m*SIN(M213)+U213/m*COS(M213)-Poids/m)</f>
        <v>51.468918474948</v>
      </c>
      <c r="F214" s="417" t="n">
        <f aca="false">SQRT(acc_x^2+acc_z^2)</f>
        <v>53.2037974382389</v>
      </c>
      <c r="G214" s="418" t="n">
        <f aca="false">G213+acc_x*pas</f>
        <v>33.9579803916041</v>
      </c>
      <c r="H214" s="419" t="n">
        <f aca="false">H213+acc_z*pas</f>
        <v>154.321210192741</v>
      </c>
      <c r="I214" s="417" t="n">
        <f aca="false">SQRT(vit_x^2+vit_z^2)</f>
        <v>158.013228394425</v>
      </c>
      <c r="J214" s="418" t="n">
        <f aca="false">J213+0.5*(vit_x+G213)*pas*(K213&gt;=0)</f>
        <v>36.3294469714506</v>
      </c>
      <c r="K214" s="419" t="n">
        <f aca="false">K213+0.5*(vit_z+H213)*pas</f>
        <v>175.419415869271</v>
      </c>
      <c r="L214" s="417" t="n">
        <f aca="false">SQRT(pos_x^2+pos_z^2)</f>
        <v>179.14184374726</v>
      </c>
      <c r="M214" s="418" t="n">
        <f aca="false">IF(AND(L213&gt;L_rampe,G214&gt;0),ATAN2(G214,H214),$M$4)</f>
        <v>1.35420081469646</v>
      </c>
      <c r="N214" s="417" t="n">
        <f aca="false">DEGREES(Beta)</f>
        <v>77.5899912952849</v>
      </c>
      <c r="O214" s="401"/>
      <c r="P214" s="420" t="n">
        <f aca="false">MATCH(t-pas/2-T_ini,CdP_t)</f>
        <v>6</v>
      </c>
      <c r="Q214" s="417" t="n">
        <f aca="false">(INDEX(CdP,2,i_P+1)-INDEX(CdP,2,i_P+0))/(INDEX(CdP,1,i_P+1)-INDEX(CdP,1,i_P+0))*(t-pas/2-T_ini-INDEX(CdP,1,i_P+0))+INDEX(CdP,2,i_P+0)</f>
        <v>572.13</v>
      </c>
      <c r="R214" s="418" t="n">
        <f aca="false">Poussee/(g*ISP)</f>
        <v>0.287125390478875</v>
      </c>
      <c r="S214" s="419" t="n">
        <f aca="false">S213-Débit*pas</f>
        <v>7.655374378756</v>
      </c>
      <c r="T214" s="417" t="n">
        <f aca="false">m*g</f>
        <v>75.0992226555964</v>
      </c>
      <c r="U214" s="421" t="n">
        <f aca="false">IF(pos_xz&lt;L_rampe,Poids*COS(Beta),0)</f>
        <v>0</v>
      </c>
      <c r="V214" s="418" t="n">
        <f aca="false">Rho_moyen*(20000-Alt_rampe-pos_z)/(20000+Alt_rampe+pos_z)</f>
        <v>1.2036979611169</v>
      </c>
      <c r="W214" s="417" t="n">
        <f aca="false">1/2*Rho*Sref*Cx*vit_xz^2</f>
        <v>92.4145024550575</v>
      </c>
      <c r="X214" s="401"/>
      <c r="Y214" s="422" t="str">
        <f aca="false">IF(AND(pos_z&lt;=0,K213&gt;0),"Impact balistique","") &amp; IF(AND(H215&lt;0,vit_z&gt;=0),"Apogée","") &amp; IF(AND(Poussee=0,Q213&gt;0),"Fin de propulsion","") &amp; IF(AND(L215&gt;L_rampe,pos_xz&lt;=L_rampe),"Sortie de rampe","")</f>
        <v/>
      </c>
      <c r="Z214" s="423" t="str">
        <f aca="false">IF(ABS(t-T_para)&lt;pas/2,"Para","")</f>
        <v/>
      </c>
      <c r="AA214" s="424" t="str">
        <f aca="false">IF(ABS(t-T_satellite)&lt;pas/2,"Satellite","")</f>
        <v/>
      </c>
      <c r="AB214" s="412"/>
      <c r="AC214" s="420" t="e">
        <f aca="false">IF(ABS(t-ROUND(t,0))&lt;0.001,t,NA())</f>
        <v>#N/A</v>
      </c>
      <c r="AD214" s="425" t="e">
        <f aca="false">IF(ABS(t-ROUND(t,0))&lt;0.001,pos_x,NA())</f>
        <v>#N/A</v>
      </c>
      <c r="AE214" s="426" t="n">
        <f aca="false">IF(t&lt;T_para, pos_z, NA())</f>
        <v>175.419415869271</v>
      </c>
      <c r="AF214" s="412"/>
      <c r="AG214" s="418" t="n">
        <f aca="false">IF(AND(L213&lt;L_rampe,Poussee&lt;Poids*SIN(M213)),0,(-W213+Poussee)/m-Poids*SIN(M213)/m)</f>
        <v>53.1620618943617</v>
      </c>
      <c r="AH214" s="417" t="n">
        <f aca="false">IF(AND(L213&lt;L_rampe,Poussee&lt;Poids*SIN(M213)), g*SIN(M213), (-W213+Poussee)/m)</f>
        <v>62.7431298416619</v>
      </c>
    </row>
    <row r="215" customFormat="false" ht="12" hidden="false" customHeight="false" outlineLevel="0" collapsed="false">
      <c r="A215" s="416" t="n">
        <f aca="false">IF(B214+0.01&lt;=T_ini+ROUNDUP(Temps_fin_propu,0), 0.01, IF(K214&gt;0, 0.1, 0.0001))</f>
        <v>0.01</v>
      </c>
      <c r="B215" s="417" t="n">
        <f aca="false">B214+pas</f>
        <v>2.11</v>
      </c>
      <c r="C215" s="401"/>
      <c r="D215" s="418" t="n">
        <f aca="false">IF(AND(L214&lt;L_rampe,Poussee&lt;Poids*SIN(M214)),0,(-W214+Poussee)/m*COS(M214)-U214/m*SIN(M214))</f>
        <v>13.4308793059158</v>
      </c>
      <c r="E215" s="419" t="n">
        <f aca="false">IF(AND(L214&lt;L_rampe,Poussee&lt;Poids*SIN(M214)),0,(-W214+Poussee)/m*SIN(M214)+U214/m*COS(M214)-Poids/m)</f>
        <v>51.2263020574103</v>
      </c>
      <c r="F215" s="417" t="n">
        <f aca="false">SQRT(acc_x^2+acc_z^2)</f>
        <v>52.9577429787856</v>
      </c>
      <c r="G215" s="418" t="n">
        <f aca="false">G214+acc_x*pas</f>
        <v>34.0922891846633</v>
      </c>
      <c r="H215" s="419" t="n">
        <f aca="false">H214+acc_z*pas</f>
        <v>154.833473213315</v>
      </c>
      <c r="I215" s="417" t="n">
        <f aca="false">SQRT(vit_x^2+vit_z^2)</f>
        <v>158.542387420996</v>
      </c>
      <c r="J215" s="418" t="n">
        <f aca="false">J214+0.5*(vit_x+G214)*pas*(K214&gt;=0)</f>
        <v>36.6696983193319</v>
      </c>
      <c r="K215" s="419" t="n">
        <f aca="false">K214+0.5*(vit_z+H214)*pas</f>
        <v>176.965189286301</v>
      </c>
      <c r="L215" s="417" t="n">
        <f aca="false">SQRT(pos_x^2+pos_z^2)</f>
        <v>180.724500259282</v>
      </c>
      <c r="M215" s="418" t="n">
        <f aca="false">IF(AND(L214&gt;L_rampe,G215&gt;0),ATAN2(G215,H215),$M$4)</f>
        <v>1.3540678390771</v>
      </c>
      <c r="N215" s="417" t="n">
        <f aca="false">DEGREES(Beta)</f>
        <v>77.5823723535174</v>
      </c>
      <c r="O215" s="401"/>
      <c r="P215" s="420" t="n">
        <f aca="false">MATCH(t-pas/2-T_ini,CdP_t)</f>
        <v>6</v>
      </c>
      <c r="Q215" s="417" t="n">
        <f aca="false">(INDEX(CdP,2,i_P+1)-INDEX(CdP,2,i_P+0))/(INDEX(CdP,1,i_P+1)-INDEX(CdP,1,i_P+0))*(t-pas/2-T_ini-INDEX(CdP,1,i_P+0))+INDEX(CdP,2,i_P+0)</f>
        <v>570.67</v>
      </c>
      <c r="R215" s="418" t="n">
        <f aca="false">Poussee/(g*ISP)</f>
        <v>0.286392684502787</v>
      </c>
      <c r="S215" s="419" t="n">
        <f aca="false">S214-Débit*pas</f>
        <v>7.65251045191097</v>
      </c>
      <c r="T215" s="417" t="n">
        <f aca="false">m*g</f>
        <v>75.0711275332467</v>
      </c>
      <c r="U215" s="421" t="n">
        <f aca="false">IF(pos_xz&lt;L_rampe,Poids*COS(Beta),0)</f>
        <v>0</v>
      </c>
      <c r="V215" s="418" t="n">
        <f aca="false">Rho_moyen*(20000-Alt_rampe-pos_z)/(20000+Alt_rampe+pos_z)</f>
        <v>1.20351189662647</v>
      </c>
      <c r="W215" s="417" t="n">
        <f aca="false">1/2*Rho*Sref*Cx*vit_xz^2</f>
        <v>93.0201182540453</v>
      </c>
      <c r="X215" s="401"/>
      <c r="Y215" s="422" t="str">
        <f aca="false">IF(AND(pos_z&lt;=0,K214&gt;0),"Impact balistique","") &amp; IF(AND(H216&lt;0,vit_z&gt;=0),"Apogée","") &amp; IF(AND(Poussee=0,Q214&gt;0),"Fin de propulsion","") &amp; IF(AND(L216&gt;L_rampe,pos_xz&lt;=L_rampe),"Sortie de rampe","")</f>
        <v/>
      </c>
      <c r="Z215" s="423" t="str">
        <f aca="false">IF(ABS(t-T_para)&lt;pas/2,"Para","")</f>
        <v/>
      </c>
      <c r="AA215" s="424" t="str">
        <f aca="false">IF(ABS(t-T_satellite)&lt;pas/2,"Satellite","")</f>
        <v/>
      </c>
      <c r="AB215" s="412"/>
      <c r="AC215" s="420" t="e">
        <f aca="false">IF(ABS(t-ROUND(t,0))&lt;0.001,t,NA())</f>
        <v>#N/A</v>
      </c>
      <c r="AD215" s="425" t="e">
        <f aca="false">IF(ABS(t-ROUND(t,0))&lt;0.001,pos_x,NA())</f>
        <v>#N/A</v>
      </c>
      <c r="AE215" s="426" t="n">
        <f aca="false">IF(t&lt;T_para, pos_z, NA())</f>
        <v>176.965189286301</v>
      </c>
      <c r="AF215" s="412"/>
      <c r="AG215" s="418" t="n">
        <f aca="false">IF(AND(L214&lt;L_rampe,Poussee&lt;Poids*SIN(M214)),0,(-W214+Poussee)/m-Poids*SIN(M214)/m)</f>
        <v>52.9157624856537</v>
      </c>
      <c r="AH215" s="417" t="n">
        <f aca="false">IF(AND(L214&lt;L_rampe,Poussee&lt;Poids*SIN(M214)), g*SIN(M214), (-W214+Poussee)/m)</f>
        <v>62.4965494069353</v>
      </c>
    </row>
    <row r="216" customFormat="false" ht="12" hidden="false" customHeight="false" outlineLevel="0" collapsed="false">
      <c r="A216" s="416" t="n">
        <f aca="false">IF(B215+0.01&lt;=T_ini+ROUNDUP(Temps_fin_propu,0), 0.01, IF(K215&gt;0, 0.1, 0.0001))</f>
        <v>0.01</v>
      </c>
      <c r="B216" s="417" t="n">
        <f aca="false">B215+pas</f>
        <v>2.12</v>
      </c>
      <c r="C216" s="401"/>
      <c r="D216" s="418" t="n">
        <f aca="false">IF(AND(L215&lt;L_rampe,Poussee&lt;Poids*SIN(M215)),0,(-W215+Poussee)/m*COS(M215)-U215/m*SIN(M215))</f>
        <v>13.3859484844514</v>
      </c>
      <c r="E216" s="419" t="n">
        <f aca="false">IF(AND(L215&lt;L_rampe,Poussee&lt;Poids*SIN(M215)),0,(-W215+Poussee)/m*SIN(M215)+U215/m*COS(M215)-Poids/m)</f>
        <v>50.983597193658</v>
      </c>
      <c r="F216" s="417" t="n">
        <f aca="false">SQRT(acc_x^2+acc_z^2)</f>
        <v>52.7115812666776</v>
      </c>
      <c r="G216" s="418" t="n">
        <f aca="false">G215+acc_x*pas</f>
        <v>34.2261486695078</v>
      </c>
      <c r="H216" s="419" t="n">
        <f aca="false">H215+acc_z*pas</f>
        <v>155.343309185252</v>
      </c>
      <c r="I216" s="417" t="n">
        <f aca="false">SQRT(vit_x^2+vit_z^2)</f>
        <v>159.069082355346</v>
      </c>
      <c r="J216" s="418" t="n">
        <f aca="false">J215+0.5*(vit_x+G215)*pas*(K215&gt;=0)</f>
        <v>37.0112905086028</v>
      </c>
      <c r="K216" s="419" t="n">
        <f aca="false">K215+0.5*(vit_z+H215)*pas</f>
        <v>178.516073198294</v>
      </c>
      <c r="L216" s="417" t="n">
        <f aca="false">SQRT(pos_x^2+pos_z^2)</f>
        <v>182.312435163515</v>
      </c>
      <c r="M216" s="418" t="n">
        <f aca="false">IF(AND(L215&gt;L_rampe,G216&gt;0),ATAN2(G216,H216),$M$4)</f>
        <v>1.35393522366389</v>
      </c>
      <c r="N216" s="417" t="n">
        <f aca="false">DEGREES(Beta)</f>
        <v>77.5747740500419</v>
      </c>
      <c r="O216" s="401"/>
      <c r="P216" s="420" t="n">
        <f aca="false">MATCH(t-pas/2-T_ini,CdP_t)</f>
        <v>6</v>
      </c>
      <c r="Q216" s="417" t="n">
        <f aca="false">(INDEX(CdP,2,i_P+1)-INDEX(CdP,2,i_P+0))/(INDEX(CdP,1,i_P+1)-INDEX(CdP,1,i_P+0))*(t-pas/2-T_ini-INDEX(CdP,1,i_P+0))+INDEX(CdP,2,i_P+0)</f>
        <v>569.21</v>
      </c>
      <c r="R216" s="418" t="n">
        <f aca="false">Poussee/(g*ISP)</f>
        <v>0.285659978526699</v>
      </c>
      <c r="S216" s="419" t="n">
        <f aca="false">S215-Débit*pas</f>
        <v>7.64965385212571</v>
      </c>
      <c r="T216" s="417" t="n">
        <f aca="false">m*g</f>
        <v>75.0431042893532</v>
      </c>
      <c r="U216" s="421" t="n">
        <f aca="false">IF(pos_xz&lt;L_rampe,Poids*COS(Beta),0)</f>
        <v>0</v>
      </c>
      <c r="V216" s="418" t="n">
        <f aca="false">Rho_moyen*(20000-Alt_rampe-pos_z)/(20000+Alt_rampe+pos_z)</f>
        <v>1.20332524563505</v>
      </c>
      <c r="W216" s="417" t="n">
        <f aca="false">1/2*Rho*Sref*Cx*vit_xz^2</f>
        <v>93.6246682480981</v>
      </c>
      <c r="X216" s="401"/>
      <c r="Y216" s="422" t="str">
        <f aca="false">IF(AND(pos_z&lt;=0,K215&gt;0),"Impact balistique","") &amp; IF(AND(H217&lt;0,vit_z&gt;=0),"Apogée","") &amp; IF(AND(Poussee=0,Q215&gt;0),"Fin de propulsion","") &amp; IF(AND(L217&gt;L_rampe,pos_xz&lt;=L_rampe),"Sortie de rampe","")</f>
        <v/>
      </c>
      <c r="Z216" s="423" t="str">
        <f aca="false">IF(ABS(t-T_para)&lt;pas/2,"Para","")</f>
        <v/>
      </c>
      <c r="AA216" s="424" t="str">
        <f aca="false">IF(ABS(t-T_satellite)&lt;pas/2,"Satellite","")</f>
        <v/>
      </c>
      <c r="AB216" s="412"/>
      <c r="AC216" s="420" t="e">
        <f aca="false">IF(ABS(t-ROUND(t,0))&lt;0.001,t,NA())</f>
        <v>#N/A</v>
      </c>
      <c r="AD216" s="425" t="e">
        <f aca="false">IF(ABS(t-ROUND(t,0))&lt;0.001,pos_x,NA())</f>
        <v>#N/A</v>
      </c>
      <c r="AE216" s="426" t="n">
        <f aca="false">IF(t&lt;T_para, pos_z, NA())</f>
        <v>178.516073198294</v>
      </c>
      <c r="AF216" s="412"/>
      <c r="AG216" s="418" t="n">
        <f aca="false">IF(AND(L215&lt;L_rampe,Poussee&lt;Poids*SIN(M215)),0,(-W215+Poussee)/m-Poids*SIN(M215)/m)</f>
        <v>52.6693535588816</v>
      </c>
      <c r="AH216" s="417" t="n">
        <f aca="false">IF(AND(L215&lt;L_rampe,Poussee&lt;Poids*SIN(M215)), g*SIN(M215), (-W215+Poussee)/m)</f>
        <v>62.2498600526389</v>
      </c>
    </row>
    <row r="217" customFormat="false" ht="12" hidden="false" customHeight="false" outlineLevel="0" collapsed="false">
      <c r="A217" s="416" t="n">
        <f aca="false">IF(B216+0.01&lt;=T_ini+ROUNDUP(Temps_fin_propu,0), 0.01, IF(K216&gt;0, 0.1, 0.0001))</f>
        <v>0.01</v>
      </c>
      <c r="B217" s="417" t="n">
        <f aca="false">B216+pas</f>
        <v>2.13</v>
      </c>
      <c r="C217" s="401"/>
      <c r="D217" s="418" t="n">
        <f aca="false">IF(AND(L216&lt;L_rampe,Poussee&lt;Poids*SIN(M216)),0,(-W216+Poussee)/m*COS(M216)-U216/m*SIN(M216))</f>
        <v>13.3409090922082</v>
      </c>
      <c r="E217" s="419" t="n">
        <f aca="false">IF(AND(L216&lt;L_rampe,Poussee&lt;Poids*SIN(M216)),0,(-W216+Poussee)/m*SIN(M216)+U216/m*COS(M216)-Poids/m)</f>
        <v>50.7408082704486</v>
      </c>
      <c r="F217" s="417" t="n">
        <f aca="false">SQRT(acc_x^2+acc_z^2)</f>
        <v>52.4653169183699</v>
      </c>
      <c r="G217" s="418" t="n">
        <f aca="false">G216+acc_x*pas</f>
        <v>34.3595577604299</v>
      </c>
      <c r="H217" s="419" t="n">
        <f aca="false">H216+acc_z*pas</f>
        <v>155.850717267956</v>
      </c>
      <c r="I217" s="417" t="n">
        <f aca="false">SQRT(vit_x^2+vit_z^2)</f>
        <v>159.593312148187</v>
      </c>
      <c r="J217" s="418" t="n">
        <f aca="false">J216+0.5*(vit_x+G216)*pas*(K216&gt;=0)</f>
        <v>37.3542190407525</v>
      </c>
      <c r="K217" s="419" t="n">
        <f aca="false">K216+0.5*(vit_z+H216)*pas</f>
        <v>180.07204333056</v>
      </c>
      <c r="L217" s="417" t="n">
        <f aca="false">SQRT(pos_x^2+pos_z^2)</f>
        <v>183.905623811203</v>
      </c>
      <c r="M217" s="418" t="n">
        <f aca="false">IF(AND(L216&gt;L_rampe,G217&gt;0),ATAN2(G217,H217),$M$4)</f>
        <v>1.35380296425499</v>
      </c>
      <c r="N217" s="417" t="n">
        <f aca="false">DEGREES(Beta)</f>
        <v>77.5671961441112</v>
      </c>
      <c r="O217" s="401"/>
      <c r="P217" s="420" t="n">
        <f aca="false">MATCH(t-pas/2-T_ini,CdP_t)</f>
        <v>6</v>
      </c>
      <c r="Q217" s="417" t="n">
        <f aca="false">(INDEX(CdP,2,i_P+1)-INDEX(CdP,2,i_P+0))/(INDEX(CdP,1,i_P+1)-INDEX(CdP,1,i_P+0))*(t-pas/2-T_ini-INDEX(CdP,1,i_P+0))+INDEX(CdP,2,i_P+0)</f>
        <v>567.75</v>
      </c>
      <c r="R217" s="418" t="n">
        <f aca="false">Poussee/(g*ISP)</f>
        <v>0.284927272550611</v>
      </c>
      <c r="S217" s="419" t="n">
        <f aca="false">S216-Débit*pas</f>
        <v>7.6468045794002</v>
      </c>
      <c r="T217" s="417" t="n">
        <f aca="false">m*g</f>
        <v>75.015152923916</v>
      </c>
      <c r="U217" s="421" t="n">
        <f aca="false">IF(pos_xz&lt;L_rampe,Poids*COS(Beta),0)</f>
        <v>0</v>
      </c>
      <c r="V217" s="418" t="n">
        <f aca="false">Rho_moyen*(20000-Alt_rampe-pos_z)/(20000+Alt_rampe+pos_z)</f>
        <v>1.20313801134047</v>
      </c>
      <c r="W217" s="417" t="n">
        <f aca="false">1/2*Rho*Sref*Cx*vit_xz^2</f>
        <v>94.228122120715</v>
      </c>
      <c r="X217" s="401"/>
      <c r="Y217" s="422" t="str">
        <f aca="false">IF(AND(pos_z&lt;=0,K216&gt;0),"Impact balistique","") &amp; IF(AND(H218&lt;0,vit_z&gt;=0),"Apogée","") &amp; IF(AND(Poussee=0,Q216&gt;0),"Fin de propulsion","") &amp; IF(AND(L218&gt;L_rampe,pos_xz&lt;=L_rampe),"Sortie de rampe","")</f>
        <v/>
      </c>
      <c r="Z217" s="423" t="str">
        <f aca="false">IF(ABS(t-T_para)&lt;pas/2,"Para","")</f>
        <v/>
      </c>
      <c r="AA217" s="424" t="str">
        <f aca="false">IF(ABS(t-T_satellite)&lt;pas/2,"Satellite","")</f>
        <v/>
      </c>
      <c r="AB217" s="412"/>
      <c r="AC217" s="420" t="e">
        <f aca="false">IF(ABS(t-ROUND(t,0))&lt;0.001,t,NA())</f>
        <v>#N/A</v>
      </c>
      <c r="AD217" s="425" t="e">
        <f aca="false">IF(ABS(t-ROUND(t,0))&lt;0.001,pos_x,NA())</f>
        <v>#N/A</v>
      </c>
      <c r="AE217" s="426" t="n">
        <f aca="false">IF(t&lt;T_para, pos_z, NA())</f>
        <v>180.07204333056</v>
      </c>
      <c r="AF217" s="412"/>
      <c r="AG217" s="418" t="n">
        <f aca="false">IF(AND(L216&lt;L_rampe,Poussee&lt;Poids*SIN(M216)),0,(-W216+Poussee)/m-Poids*SIN(M216)/m)</f>
        <v>52.4228396993824</v>
      </c>
      <c r="AH217" s="417" t="n">
        <f aca="false">IF(AND(L216&lt;L_rampe,Poussee&lt;Poids*SIN(M216)), g*SIN(M216), (-W216+Poussee)/m)</f>
        <v>62.0030663565214</v>
      </c>
    </row>
    <row r="218" customFormat="false" ht="12" hidden="false" customHeight="false" outlineLevel="0" collapsed="false">
      <c r="A218" s="416" t="n">
        <f aca="false">IF(B217+0.01&lt;=T_ini+ROUNDUP(Temps_fin_propu,0), 0.01, IF(K217&gt;0, 0.1, 0.0001))</f>
        <v>0.01</v>
      </c>
      <c r="B218" s="417" t="n">
        <f aca="false">B217+pas</f>
        <v>2.14</v>
      </c>
      <c r="C218" s="401"/>
      <c r="D218" s="418" t="n">
        <f aca="false">IF(AND(L217&lt;L_rampe,Poussee&lt;Poids*SIN(M217)),0,(-W217+Poussee)/m*COS(M217)-U217/m*SIN(M217))</f>
        <v>13.2957625886154</v>
      </c>
      <c r="E218" s="419" t="n">
        <f aca="false">IF(AND(L217&lt;L_rampe,Poussee&lt;Poids*SIN(M217)),0,(-W217+Poussee)/m*SIN(M217)+U217/m*COS(M217)-Poids/m)</f>
        <v>50.4979396570859</v>
      </c>
      <c r="F218" s="417" t="n">
        <f aca="false">SQRT(acc_x^2+acc_z^2)</f>
        <v>52.2189545320807</v>
      </c>
      <c r="G218" s="418" t="n">
        <f aca="false">G217+acc_x*pas</f>
        <v>34.492515386316</v>
      </c>
      <c r="H218" s="419" t="n">
        <f aca="false">H217+acc_z*pas</f>
        <v>156.355696664527</v>
      </c>
      <c r="I218" s="417" t="n">
        <f aca="false">SQRT(vit_x^2+vit_z^2)</f>
        <v>160.115075795894</v>
      </c>
      <c r="J218" s="418" t="n">
        <f aca="false">J217+0.5*(vit_x+G217)*pas*(K217&gt;=0)</f>
        <v>37.6984794064862</v>
      </c>
      <c r="K218" s="419" t="n">
        <f aca="false">K217+0.5*(vit_z+H217)*pas</f>
        <v>181.633075400222</v>
      </c>
      <c r="L218" s="417" t="n">
        <f aca="false">SQRT(pos_x^2+pos_z^2)</f>
        <v>185.504041543315</v>
      </c>
      <c r="M218" s="418" t="n">
        <f aca="false">IF(AND(L217&gt;L_rampe,G218&gt;0),ATAN2(G218,H218),$M$4)</f>
        <v>1.35367105670294</v>
      </c>
      <c r="N218" s="417" t="n">
        <f aca="false">DEGREES(Beta)</f>
        <v>77.5596383980927</v>
      </c>
      <c r="O218" s="401"/>
      <c r="P218" s="420" t="n">
        <f aca="false">MATCH(t-pas/2-T_ini,CdP_t)</f>
        <v>6</v>
      </c>
      <c r="Q218" s="417" t="n">
        <f aca="false">(INDEX(CdP,2,i_P+1)-INDEX(CdP,2,i_P+0))/(INDEX(CdP,1,i_P+1)-INDEX(CdP,1,i_P+0))*(t-pas/2-T_ini-INDEX(CdP,1,i_P+0))+INDEX(CdP,2,i_P+0)</f>
        <v>566.29</v>
      </c>
      <c r="R218" s="418" t="n">
        <f aca="false">Poussee/(g*ISP)</f>
        <v>0.284194566574523</v>
      </c>
      <c r="S218" s="419" t="n">
        <f aca="false">S217-Débit*pas</f>
        <v>7.64396263373445</v>
      </c>
      <c r="T218" s="417" t="n">
        <f aca="false">m*g</f>
        <v>74.987273436935</v>
      </c>
      <c r="U218" s="421" t="n">
        <f aca="false">IF(pos_xz&lt;L_rampe,Poids*COS(Beta),0)</f>
        <v>0</v>
      </c>
      <c r="V218" s="418" t="n">
        <f aca="false">Rho_moyen*(20000-Alt_rampe-pos_z)/(20000+Alt_rampe+pos_z)</f>
        <v>1.20295019694056</v>
      </c>
      <c r="W218" s="417" t="n">
        <f aca="false">1/2*Rho*Sref*Cx*vit_xz^2</f>
        <v>94.8304497557873</v>
      </c>
      <c r="X218" s="401"/>
      <c r="Y218" s="422" t="str">
        <f aca="false">IF(AND(pos_z&lt;=0,K217&gt;0),"Impact balistique","") &amp; IF(AND(H219&lt;0,vit_z&gt;=0),"Apogée","") &amp; IF(AND(Poussee=0,Q217&gt;0),"Fin de propulsion","") &amp; IF(AND(L219&gt;L_rampe,pos_xz&lt;=L_rampe),"Sortie de rampe","")</f>
        <v/>
      </c>
      <c r="Z218" s="423" t="str">
        <f aca="false">IF(ABS(t-T_para)&lt;pas/2,"Para","")</f>
        <v/>
      </c>
      <c r="AA218" s="424" t="str">
        <f aca="false">IF(ABS(t-T_satellite)&lt;pas/2,"Satellite","")</f>
        <v/>
      </c>
      <c r="AB218" s="412"/>
      <c r="AC218" s="420" t="e">
        <f aca="false">IF(ABS(t-ROUND(t,0))&lt;0.001,t,NA())</f>
        <v>#N/A</v>
      </c>
      <c r="AD218" s="425" t="e">
        <f aca="false">IF(ABS(t-ROUND(t,0))&lt;0.001,pos_x,NA())</f>
        <v>#N/A</v>
      </c>
      <c r="AE218" s="426" t="n">
        <f aca="false">IF(t&lt;T_para, pos_z, NA())</f>
        <v>181.633075400222</v>
      </c>
      <c r="AF218" s="412"/>
      <c r="AG218" s="418" t="n">
        <f aca="false">IF(AND(L217&lt;L_rampe,Poussee&lt;Poids*SIN(M217)),0,(-W217+Poussee)/m-Poids*SIN(M217)/m)</f>
        <v>52.1762254737307</v>
      </c>
      <c r="AH218" s="417" t="n">
        <f aca="false">IF(AND(L217&lt;L_rampe,Poussee&lt;Poids*SIN(M217)), g*SIN(M217), (-W217+Poussee)/m)</f>
        <v>61.7561728776609</v>
      </c>
    </row>
    <row r="219" customFormat="false" ht="12" hidden="false" customHeight="false" outlineLevel="0" collapsed="false">
      <c r="A219" s="416" t="n">
        <f aca="false">IF(B218+0.01&lt;=T_ini+ROUNDUP(Temps_fin_propu,0), 0.01, IF(K218&gt;0, 0.1, 0.0001))</f>
        <v>0.01</v>
      </c>
      <c r="B219" s="417" t="n">
        <f aca="false">B218+pas</f>
        <v>2.15</v>
      </c>
      <c r="C219" s="401"/>
      <c r="D219" s="418" t="n">
        <f aca="false">IF(AND(L218&lt;L_rampe,Poussee&lt;Poids*SIN(M218)),0,(-W218+Poussee)/m*COS(M218)-U218/m*SIN(M218))</f>
        <v>13.2505104242313</v>
      </c>
      <c r="E219" s="419" t="n">
        <f aca="false">IF(AND(L218&lt;L_rampe,Poussee&lt;Poids*SIN(M218)),0,(-W218+Poussee)/m*SIN(M218)+U218/m*COS(M218)-Poids/m)</f>
        <v>50.2549957052188</v>
      </c>
      <c r="F219" s="417" t="n">
        <f aca="false">SQRT(acc_x^2+acc_z^2)</f>
        <v>51.9724986876158</v>
      </c>
      <c r="G219" s="418" t="n">
        <f aca="false">G218+acc_x*pas</f>
        <v>34.6250204905583</v>
      </c>
      <c r="H219" s="419" t="n">
        <f aca="false">H218+acc_z*pas</f>
        <v>156.858246621579</v>
      </c>
      <c r="I219" s="417" t="n">
        <f aca="false">SQRT(vit_x^2+vit_z^2)</f>
        <v>160.634372340318</v>
      </c>
      <c r="J219" s="418" t="n">
        <f aca="false">J218+0.5*(vit_x+G218)*pas*(K218&gt;=0)</f>
        <v>38.0440670858706</v>
      </c>
      <c r="K219" s="419" t="n">
        <f aca="false">K218+0.5*(vit_z+H218)*pas</f>
        <v>183.199145116653</v>
      </c>
      <c r="L219" s="417" t="n">
        <f aca="false">SQRT(pos_x^2+pos_z^2)</f>
        <v>187.107663691006</v>
      </c>
      <c r="M219" s="418" t="n">
        <f aca="false">IF(AND(L218&gt;L_rampe,G219&gt;0),ATAN2(G219,H219),$M$4)</f>
        <v>1.3535394969136</v>
      </c>
      <c r="N219" s="417" t="n">
        <f aca="false">DEGREES(Beta)</f>
        <v>77.5521005774102</v>
      </c>
      <c r="O219" s="401"/>
      <c r="P219" s="420" t="n">
        <f aca="false">MATCH(t-pas/2-T_ini,CdP_t)</f>
        <v>6</v>
      </c>
      <c r="Q219" s="417" t="n">
        <f aca="false">(INDEX(CdP,2,i_P+1)-INDEX(CdP,2,i_P+0))/(INDEX(CdP,1,i_P+1)-INDEX(CdP,1,i_P+0))*(t-pas/2-T_ini-INDEX(CdP,1,i_P+0))+INDEX(CdP,2,i_P+0)</f>
        <v>564.83</v>
      </c>
      <c r="R219" s="418" t="n">
        <f aca="false">Poussee/(g*ISP)</f>
        <v>0.283461860598435</v>
      </c>
      <c r="S219" s="419" t="n">
        <f aca="false">S218-Débit*pas</f>
        <v>7.64112801512847</v>
      </c>
      <c r="T219" s="417" t="n">
        <f aca="false">m*g</f>
        <v>74.9594658284103</v>
      </c>
      <c r="U219" s="421" t="n">
        <f aca="false">IF(pos_xz&lt;L_rampe,Poids*COS(Beta),0)</f>
        <v>0</v>
      </c>
      <c r="V219" s="418" t="n">
        <f aca="false">Rho_moyen*(20000-Alt_rampe-pos_z)/(20000+Alt_rampe+pos_z)</f>
        <v>1.20276180563306</v>
      </c>
      <c r="W219" s="417" t="n">
        <f aca="false">1/2*Rho*Sref*Cx*vit_xz^2</f>
        <v>95.431621238424</v>
      </c>
      <c r="X219" s="401"/>
      <c r="Y219" s="422" t="str">
        <f aca="false">IF(AND(pos_z&lt;=0,K218&gt;0),"Impact balistique","") &amp; IF(AND(H220&lt;0,vit_z&gt;=0),"Apogée","") &amp; IF(AND(Poussee=0,Q218&gt;0),"Fin de propulsion","") &amp; IF(AND(L220&gt;L_rampe,pos_xz&lt;=L_rampe),"Sortie de rampe","")</f>
        <v/>
      </c>
      <c r="Z219" s="423" t="str">
        <f aca="false">IF(ABS(t-T_para)&lt;pas/2,"Para","")</f>
        <v/>
      </c>
      <c r="AA219" s="424" t="str">
        <f aca="false">IF(ABS(t-T_satellite)&lt;pas/2,"Satellite","")</f>
        <v/>
      </c>
      <c r="AB219" s="412"/>
      <c r="AC219" s="420" t="e">
        <f aca="false">IF(ABS(t-ROUND(t,0))&lt;0.001,t,NA())</f>
        <v>#N/A</v>
      </c>
      <c r="AD219" s="425" t="e">
        <f aca="false">IF(ABS(t-ROUND(t,0))&lt;0.001,pos_x,NA())</f>
        <v>#N/A</v>
      </c>
      <c r="AE219" s="426" t="n">
        <f aca="false">IF(t&lt;T_para, pos_z, NA())</f>
        <v>183.199145116653</v>
      </c>
      <c r="AF219" s="412"/>
      <c r="AG219" s="418" t="n">
        <f aca="false">IF(AND(L218&lt;L_rampe,Poussee&lt;Poids*SIN(M218)),0,(-W218+Poussee)/m-Poids*SIN(M218)/m)</f>
        <v>51.9295154295512</v>
      </c>
      <c r="AH219" s="417" t="n">
        <f aca="false">IF(AND(L218&lt;L_rampe,Poussee&lt;Poids*SIN(M218)), g*SIN(M218), (-W218+Poussee)/m)</f>
        <v>61.5091841562755</v>
      </c>
    </row>
    <row r="220" customFormat="false" ht="12" hidden="false" customHeight="false" outlineLevel="0" collapsed="false">
      <c r="A220" s="416" t="n">
        <f aca="false">IF(B219+0.01&lt;=T_ini+ROUNDUP(Temps_fin_propu,0), 0.01, IF(K219&gt;0, 0.1, 0.0001))</f>
        <v>0.01</v>
      </c>
      <c r="B220" s="417" t="n">
        <f aca="false">B219+pas</f>
        <v>2.16</v>
      </c>
      <c r="C220" s="401"/>
      <c r="D220" s="418" t="n">
        <f aca="false">IF(AND(L219&lt;L_rampe,Poussee&lt;Poids*SIN(M219)),0,(-W219+Poussee)/m*COS(M219)-U219/m*SIN(M219))</f>
        <v>13.2051540407988</v>
      </c>
      <c r="E220" s="419" t="n">
        <f aca="false">IF(AND(L219&lt;L_rampe,Poussee&lt;Poids*SIN(M219)),0,(-W219+Poussee)/m*SIN(M219)+U219/m*COS(M219)-Poids/m)</f>
        <v>50.0119807486435</v>
      </c>
      <c r="F220" s="417" t="n">
        <f aca="false">SQRT(acc_x^2+acc_z^2)</f>
        <v>51.7259539461953</v>
      </c>
      <c r="G220" s="418" t="n">
        <f aca="false">G219+acc_x*pas</f>
        <v>34.7570720309663</v>
      </c>
      <c r="H220" s="419" t="n">
        <f aca="false">H219+acc_z*pas</f>
        <v>157.358366429066</v>
      </c>
      <c r="I220" s="417" t="n">
        <f aca="false">SQRT(vit_x^2+vit_z^2)</f>
        <v>161.151200868594</v>
      </c>
      <c r="J220" s="418" t="n">
        <f aca="false">J219+0.5*(vit_x+G219)*pas*(K219&gt;=0)</f>
        <v>38.3909775484782</v>
      </c>
      <c r="K220" s="419" t="n">
        <f aca="false">K219+0.5*(vit_z+H219)*pas</f>
        <v>184.770228181906</v>
      </c>
      <c r="L220" s="417" t="n">
        <f aca="false">SQRT(pos_x^2+pos_z^2)</f>
        <v>188.716465576063</v>
      </c>
      <c r="M220" s="418" t="n">
        <f aca="false">IF(AND(L219&gt;L_rampe,G220&gt;0),ATAN2(G220,H220),$M$4)</f>
        <v>1.35340828084522</v>
      </c>
      <c r="N220" s="417" t="n">
        <f aca="false">DEGREES(Beta)</f>
        <v>77.5445824504874</v>
      </c>
      <c r="O220" s="401"/>
      <c r="P220" s="420" t="n">
        <f aca="false">MATCH(t-pas/2-T_ini,CdP_t)</f>
        <v>6</v>
      </c>
      <c r="Q220" s="417" t="n">
        <f aca="false">(INDEX(CdP,2,i_P+1)-INDEX(CdP,2,i_P+0))/(INDEX(CdP,1,i_P+1)-INDEX(CdP,1,i_P+0))*(t-pas/2-T_ini-INDEX(CdP,1,i_P+0))+INDEX(CdP,2,i_P+0)</f>
        <v>563.37</v>
      </c>
      <c r="R220" s="418" t="n">
        <f aca="false">Poussee/(g*ISP)</f>
        <v>0.282729154622347</v>
      </c>
      <c r="S220" s="419" t="n">
        <f aca="false">S219-Débit*pas</f>
        <v>7.63830072358225</v>
      </c>
      <c r="T220" s="417" t="n">
        <f aca="false">m*g</f>
        <v>74.9317300983418</v>
      </c>
      <c r="U220" s="421" t="n">
        <f aca="false">IF(pos_xz&lt;L_rampe,Poids*COS(Beta),0)</f>
        <v>0</v>
      </c>
      <c r="V220" s="418" t="n">
        <f aca="false">Rho_moyen*(20000-Alt_rampe-pos_z)/(20000+Alt_rampe+pos_z)</f>
        <v>1.20257284061556</v>
      </c>
      <c r="W220" s="417" t="n">
        <f aca="false">1/2*Rho*Sref*Cx*vit_xz^2</f>
        <v>96.0316068557531</v>
      </c>
      <c r="X220" s="401"/>
      <c r="Y220" s="422" t="str">
        <f aca="false">IF(AND(pos_z&lt;=0,K219&gt;0),"Impact balistique","") &amp; IF(AND(H221&lt;0,vit_z&gt;=0),"Apogée","") &amp; IF(AND(Poussee=0,Q219&gt;0),"Fin de propulsion","") &amp; IF(AND(L221&gt;L_rampe,pos_xz&lt;=L_rampe),"Sortie de rampe","")</f>
        <v/>
      </c>
      <c r="Z220" s="423" t="str">
        <f aca="false">IF(ABS(t-T_para)&lt;pas/2,"Para","")</f>
        <v/>
      </c>
      <c r="AA220" s="424" t="str">
        <f aca="false">IF(ABS(t-T_satellite)&lt;pas/2,"Satellite","")</f>
        <v/>
      </c>
      <c r="AB220" s="412"/>
      <c r="AC220" s="420" t="e">
        <f aca="false">IF(ABS(t-ROUND(t,0))&lt;0.001,t,NA())</f>
        <v>#N/A</v>
      </c>
      <c r="AD220" s="425" t="e">
        <f aca="false">IF(ABS(t-ROUND(t,0))&lt;0.001,pos_x,NA())</f>
        <v>#N/A</v>
      </c>
      <c r="AE220" s="426" t="n">
        <f aca="false">IF(t&lt;T_para, pos_z, NA())</f>
        <v>184.770228181906</v>
      </c>
      <c r="AF220" s="412"/>
      <c r="AG220" s="418" t="n">
        <f aca="false">IF(AND(L219&lt;L_rampe,Poussee&lt;Poids*SIN(M219)),0,(-W219+Poussee)/m-Poids*SIN(M219)/m)</f>
        <v>51.6827140953338</v>
      </c>
      <c r="AH220" s="417" t="n">
        <f aca="false">IF(AND(L219&lt;L_rampe,Poussee&lt;Poids*SIN(M219)), g*SIN(M219), (-W219+Poussee)/m)</f>
        <v>61.2621047135364</v>
      </c>
    </row>
    <row r="221" customFormat="false" ht="12" hidden="false" customHeight="false" outlineLevel="0" collapsed="false">
      <c r="A221" s="416" t="n">
        <f aca="false">IF(B220+0.01&lt;=T_ini+ROUNDUP(Temps_fin_propu,0), 0.01, IF(K220&gt;0, 0.1, 0.0001))</f>
        <v>0.01</v>
      </c>
      <c r="B221" s="417" t="n">
        <f aca="false">B220+pas</f>
        <v>2.17</v>
      </c>
      <c r="C221" s="401"/>
      <c r="D221" s="418" t="n">
        <f aca="false">IF(AND(L220&lt;L_rampe,Poussee&lt;Poids*SIN(M220)),0,(-W220+Poussee)/m*COS(M220)-U220/m*SIN(M220))</f>
        <v>13.1596948712982</v>
      </c>
      <c r="E221" s="419" t="n">
        <f aca="false">IF(AND(L220&lt;L_rampe,Poussee&lt;Poids*SIN(M220)),0,(-W220+Poussee)/m*SIN(M220)+U220/m*COS(M220)-Poids/m)</f>
        <v>49.7688991031093</v>
      </c>
      <c r="F221" s="417" t="n">
        <f aca="false">SQRT(acc_x^2+acc_z^2)</f>
        <v>51.4793248502847</v>
      </c>
      <c r="G221" s="418" t="n">
        <f aca="false">G220+acc_x*pas</f>
        <v>34.8886689796793</v>
      </c>
      <c r="H221" s="419" t="n">
        <f aca="false">H220+acc_z*pas</f>
        <v>157.856055420097</v>
      </c>
      <c r="I221" s="417" t="n">
        <f aca="false">SQRT(vit_x^2+vit_z^2)</f>
        <v>161.66556051295</v>
      </c>
      <c r="J221" s="418" t="n">
        <f aca="false">J220+0.5*(vit_x+G220)*pas*(K220&gt;=0)</f>
        <v>38.7392062535314</v>
      </c>
      <c r="K221" s="419" t="n">
        <f aca="false">K220+0.5*(vit_z+H220)*pas</f>
        <v>186.346300291152</v>
      </c>
      <c r="L221" s="417" t="n">
        <f aca="false">SQRT(pos_x^2+pos_z^2)</f>
        <v>190.330422511363</v>
      </c>
      <c r="M221" s="418" t="n">
        <f aca="false">IF(AND(L220&gt;L_rampe,G221&gt;0),ATAN2(G221,H221),$M$4)</f>
        <v>1.3532774045074</v>
      </c>
      <c r="N221" s="417" t="n">
        <f aca="false">DEGREES(Beta)</f>
        <v>77.5370837886924</v>
      </c>
      <c r="O221" s="401"/>
      <c r="P221" s="420" t="n">
        <f aca="false">MATCH(t-pas/2-T_ini,CdP_t)</f>
        <v>6</v>
      </c>
      <c r="Q221" s="417" t="n">
        <f aca="false">(INDEX(CdP,2,i_P+1)-INDEX(CdP,2,i_P+0))/(INDEX(CdP,1,i_P+1)-INDEX(CdP,1,i_P+0))*(t-pas/2-T_ini-INDEX(CdP,1,i_P+0))+INDEX(CdP,2,i_P+0)</f>
        <v>561.91</v>
      </c>
      <c r="R221" s="418" t="n">
        <f aca="false">Poussee/(g*ISP)</f>
        <v>0.28199644864626</v>
      </c>
      <c r="S221" s="419" t="n">
        <f aca="false">S220-Débit*pas</f>
        <v>7.63548075909578</v>
      </c>
      <c r="T221" s="417" t="n">
        <f aca="false">m*g</f>
        <v>74.9040662467296</v>
      </c>
      <c r="U221" s="421" t="n">
        <f aca="false">IF(pos_xz&lt;L_rampe,Poids*COS(Beta),0)</f>
        <v>0</v>
      </c>
      <c r="V221" s="418" t="n">
        <f aca="false">Rho_moyen*(20000-Alt_rampe-pos_z)/(20000+Alt_rampe+pos_z)</f>
        <v>1.20238330508544</v>
      </c>
      <c r="W221" s="417" t="n">
        <f aca="false">1/2*Rho*Sref*Cx*vit_xz^2</f>
        <v>96.6303770977012</v>
      </c>
      <c r="X221" s="401"/>
      <c r="Y221" s="422" t="str">
        <f aca="false">IF(AND(pos_z&lt;=0,K220&gt;0),"Impact balistique","") &amp; IF(AND(H222&lt;0,vit_z&gt;=0),"Apogée","") &amp; IF(AND(Poussee=0,Q220&gt;0),"Fin de propulsion","") &amp; IF(AND(L222&gt;L_rampe,pos_xz&lt;=L_rampe),"Sortie de rampe","")</f>
        <v/>
      </c>
      <c r="Z221" s="423" t="str">
        <f aca="false">IF(ABS(t-T_para)&lt;pas/2,"Para","")</f>
        <v/>
      </c>
      <c r="AA221" s="424" t="str">
        <f aca="false">IF(ABS(t-T_satellite)&lt;pas/2,"Satellite","")</f>
        <v/>
      </c>
      <c r="AB221" s="412"/>
      <c r="AC221" s="420" t="e">
        <f aca="false">IF(ABS(t-ROUND(t,0))&lt;0.001,t,NA())</f>
        <v>#N/A</v>
      </c>
      <c r="AD221" s="425" t="e">
        <f aca="false">IF(ABS(t-ROUND(t,0))&lt;0.001,pos_x,NA())</f>
        <v>#N/A</v>
      </c>
      <c r="AE221" s="426" t="n">
        <f aca="false">IF(t&lt;T_para, pos_z, NA())</f>
        <v>186.346300291152</v>
      </c>
      <c r="AF221" s="412"/>
      <c r="AG221" s="418" t="n">
        <f aca="false">IF(AND(L220&lt;L_rampe,Poussee&lt;Poids*SIN(M220)),0,(-W220+Poussee)/m-Poids*SIN(M220)/m)</f>
        <v>51.4358259802513</v>
      </c>
      <c r="AH221" s="417" t="n">
        <f aca="false">IF(AND(L220&lt;L_rampe,Poussee&lt;Poids*SIN(M220)), g*SIN(M220), (-W220+Poussee)/m)</f>
        <v>61.0149390513844</v>
      </c>
    </row>
    <row r="222" customFormat="false" ht="12" hidden="false" customHeight="false" outlineLevel="0" collapsed="false">
      <c r="A222" s="416" t="n">
        <f aca="false">IF(B221+0.01&lt;=T_ini+ROUNDUP(Temps_fin_propu,0), 0.01, IF(K221&gt;0, 0.1, 0.0001))</f>
        <v>0.01</v>
      </c>
      <c r="B222" s="417" t="n">
        <f aca="false">B221+pas</f>
        <v>2.18</v>
      </c>
      <c r="C222" s="401"/>
      <c r="D222" s="418" t="n">
        <f aca="false">IF(AND(L221&lt;L_rampe,Poussee&lt;Poids*SIN(M221)),0,(-W221+Poussee)/m*COS(M221)-U221/m*SIN(M221))</f>
        <v>13.1141343399987</v>
      </c>
      <c r="E222" s="419" t="n">
        <f aca="false">IF(AND(L221&lt;L_rampe,Poussee&lt;Poids*SIN(M221)),0,(-W221+Poussee)/m*SIN(M221)+U221/m*COS(M221)-Poids/m)</f>
        <v>49.525755066127</v>
      </c>
      <c r="F222" s="417" t="n">
        <f aca="false">SQRT(acc_x^2+acc_z^2)</f>
        <v>51.2326159234285</v>
      </c>
      <c r="G222" s="418" t="n">
        <f aca="false">G221+acc_x*pas</f>
        <v>35.0198103230793</v>
      </c>
      <c r="H222" s="419" t="n">
        <f aca="false">H221+acc_z*pas</f>
        <v>158.351312970758</v>
      </c>
      <c r="I222" s="417" t="n">
        <f aca="false">SQRT(vit_x^2+vit_z^2)</f>
        <v>162.177450450509</v>
      </c>
      <c r="J222" s="418" t="n">
        <f aca="false">J221+0.5*(vit_x+G221)*pas*(K221&gt;=0)</f>
        <v>39.0887486500452</v>
      </c>
      <c r="K222" s="419" t="n">
        <f aca="false">K221+0.5*(vit_z+H221)*pas</f>
        <v>187.927337133106</v>
      </c>
      <c r="L222" s="417" t="n">
        <f aca="false">SQRT(pos_x^2+pos_z^2)</f>
        <v>191.949509801319</v>
      </c>
      <c r="M222" s="418" t="n">
        <f aca="false">IF(AND(L221&gt;L_rampe,G222&gt;0),ATAN2(G222,H222),$M$4)</f>
        <v>1.35314686396022</v>
      </c>
      <c r="N222" s="417" t="n">
        <f aca="false">DEGREES(Beta)</f>
        <v>77.5296043662837</v>
      </c>
      <c r="O222" s="401"/>
      <c r="P222" s="420" t="n">
        <f aca="false">MATCH(t-pas/2-T_ini,CdP_t)</f>
        <v>6</v>
      </c>
      <c r="Q222" s="417" t="n">
        <f aca="false">(INDEX(CdP,2,i_P+1)-INDEX(CdP,2,i_P+0))/(INDEX(CdP,1,i_P+1)-INDEX(CdP,1,i_P+0))*(t-pas/2-T_ini-INDEX(CdP,1,i_P+0))+INDEX(CdP,2,i_P+0)</f>
        <v>560.45</v>
      </c>
      <c r="R222" s="418" t="n">
        <f aca="false">Poussee/(g*ISP)</f>
        <v>0.281263742670172</v>
      </c>
      <c r="S222" s="419" t="n">
        <f aca="false">S221-Débit*pas</f>
        <v>7.63266812166908</v>
      </c>
      <c r="T222" s="417" t="n">
        <f aca="false">m*g</f>
        <v>74.8764742735737</v>
      </c>
      <c r="U222" s="421" t="n">
        <f aca="false">IF(pos_xz&lt;L_rampe,Poids*COS(Beta),0)</f>
        <v>0</v>
      </c>
      <c r="V222" s="418" t="n">
        <f aca="false">Rho_moyen*(20000-Alt_rampe-pos_z)/(20000+Alt_rampe+pos_z)</f>
        <v>1.20219320223978</v>
      </c>
      <c r="W222" s="417" t="n">
        <f aca="false">1/2*Rho*Sref*Cx*vit_xz^2</f>
        <v>97.2279026577497</v>
      </c>
      <c r="X222" s="401"/>
      <c r="Y222" s="422" t="str">
        <f aca="false">IF(AND(pos_z&lt;=0,K221&gt;0),"Impact balistique","") &amp; IF(AND(H223&lt;0,vit_z&gt;=0),"Apogée","") &amp; IF(AND(Poussee=0,Q221&gt;0),"Fin de propulsion","") &amp; IF(AND(L223&gt;L_rampe,pos_xz&lt;=L_rampe),"Sortie de rampe","")</f>
        <v/>
      </c>
      <c r="Z222" s="423" t="str">
        <f aca="false">IF(ABS(t-T_para)&lt;pas/2,"Para","")</f>
        <v/>
      </c>
      <c r="AA222" s="424" t="str">
        <f aca="false">IF(ABS(t-T_satellite)&lt;pas/2,"Satellite","")</f>
        <v/>
      </c>
      <c r="AB222" s="412"/>
      <c r="AC222" s="420" t="e">
        <f aca="false">IF(ABS(t-ROUND(t,0))&lt;0.001,t,NA())</f>
        <v>#N/A</v>
      </c>
      <c r="AD222" s="425" t="e">
        <f aca="false">IF(ABS(t-ROUND(t,0))&lt;0.001,pos_x,NA())</f>
        <v>#N/A</v>
      </c>
      <c r="AE222" s="426" t="n">
        <f aca="false">IF(t&lt;T_para, pos_z, NA())</f>
        <v>187.927337133106</v>
      </c>
      <c r="AF222" s="412"/>
      <c r="AG222" s="418" t="n">
        <f aca="false">IF(AND(L221&lt;L_rampe,Poussee&lt;Poids*SIN(M221)),0,(-W221+Poussee)/m-Poids*SIN(M221)/m)</f>
        <v>51.1888555739801</v>
      </c>
      <c r="AH222" s="417" t="n">
        <f aca="false">IF(AND(L221&lt;L_rampe,Poussee&lt;Poids*SIN(M221)), g*SIN(M221), (-W221+Poussee)/m)</f>
        <v>60.7676916523488</v>
      </c>
    </row>
    <row r="223" customFormat="false" ht="12" hidden="false" customHeight="false" outlineLevel="0" collapsed="false">
      <c r="A223" s="416" t="n">
        <f aca="false">IF(B222+0.01&lt;=T_ini+ROUNDUP(Temps_fin_propu,0), 0.01, IF(K222&gt;0, 0.1, 0.0001))</f>
        <v>0.01</v>
      </c>
      <c r="B223" s="417" t="n">
        <f aca="false">B222+pas</f>
        <v>2.19</v>
      </c>
      <c r="C223" s="401"/>
      <c r="D223" s="418" t="n">
        <f aca="false">IF(AND(L222&lt;L_rampe,Poussee&lt;Poids*SIN(M222)),0,(-W222+Poussee)/m*COS(M222)-U222/m*SIN(M222))</f>
        <v>13.068473862508</v>
      </c>
      <c r="E223" s="419" t="n">
        <f aca="false">IF(AND(L222&lt;L_rampe,Poussee&lt;Poids*SIN(M222)),0,(-W222+Poussee)/m*SIN(M222)+U222/m*COS(M222)-Poids/m)</f>
        <v>49.2825529167806</v>
      </c>
      <c r="F223" s="417" t="n">
        <f aca="false">SQRT(acc_x^2+acc_z^2)</f>
        <v>50.985831670086</v>
      </c>
      <c r="G223" s="418" t="n">
        <f aca="false">G222+acc_x*pas</f>
        <v>35.1504950617044</v>
      </c>
      <c r="H223" s="419" t="n">
        <f aca="false">H222+acc_z*pas</f>
        <v>158.844138499926</v>
      </c>
      <c r="I223" s="417" t="n">
        <f aca="false">SQRT(vit_x^2+vit_z^2)</f>
        <v>162.686869903095</v>
      </c>
      <c r="J223" s="418" t="n">
        <f aca="false">J222+0.5*(vit_x+G222)*pas*(K222&gt;=0)</f>
        <v>39.4396001769691</v>
      </c>
      <c r="K223" s="419" t="n">
        <f aca="false">K222+0.5*(vit_z+H222)*pas</f>
        <v>189.51331439046</v>
      </c>
      <c r="L223" s="417" t="n">
        <f aca="false">SQRT(pos_x^2+pos_z^2)</f>
        <v>193.573702742331</v>
      </c>
      <c r="M223" s="418" t="n">
        <f aca="false">IF(AND(L222&gt;L_rampe,G223&gt;0),ATAN2(G223,H223),$M$4)</f>
        <v>1.35301665531327</v>
      </c>
      <c r="N223" s="417" t="n">
        <f aca="false">DEGREES(Beta)</f>
        <v>77.5221439603574</v>
      </c>
      <c r="O223" s="401"/>
      <c r="P223" s="420" t="n">
        <f aca="false">MATCH(t-pas/2-T_ini,CdP_t)</f>
        <v>6</v>
      </c>
      <c r="Q223" s="417" t="n">
        <f aca="false">(INDEX(CdP,2,i_P+1)-INDEX(CdP,2,i_P+0))/(INDEX(CdP,1,i_P+1)-INDEX(CdP,1,i_P+0))*(t-pas/2-T_ini-INDEX(CdP,1,i_P+0))+INDEX(CdP,2,i_P+0)</f>
        <v>558.99</v>
      </c>
      <c r="R223" s="418" t="n">
        <f aca="false">Poussee/(g*ISP)</f>
        <v>0.280531036694084</v>
      </c>
      <c r="S223" s="419" t="n">
        <f aca="false">S222-Débit*pas</f>
        <v>7.62986281130214</v>
      </c>
      <c r="T223" s="417" t="n">
        <f aca="false">m*g</f>
        <v>74.848954178874</v>
      </c>
      <c r="U223" s="421" t="n">
        <f aca="false">IF(pos_xz&lt;L_rampe,Poids*COS(Beta),0)</f>
        <v>0</v>
      </c>
      <c r="V223" s="418" t="n">
        <f aca="false">Rho_moyen*(20000-Alt_rampe-pos_z)/(20000+Alt_rampe+pos_z)</f>
        <v>1.2020025352753</v>
      </c>
      <c r="W223" s="417" t="n">
        <f aca="false">1/2*Rho*Sref*Cx*vit_xz^2</f>
        <v>97.8241544336694</v>
      </c>
      <c r="X223" s="401"/>
      <c r="Y223" s="422" t="str">
        <f aca="false">IF(AND(pos_z&lt;=0,K222&gt;0),"Impact balistique","") &amp; IF(AND(H224&lt;0,vit_z&gt;=0),"Apogée","") &amp; IF(AND(Poussee=0,Q222&gt;0),"Fin de propulsion","") &amp; IF(AND(L224&gt;L_rampe,pos_xz&lt;=L_rampe),"Sortie de rampe","")</f>
        <v/>
      </c>
      <c r="Z223" s="423" t="str">
        <f aca="false">IF(ABS(t-T_para)&lt;pas/2,"Para","")</f>
        <v/>
      </c>
      <c r="AA223" s="424" t="str">
        <f aca="false">IF(ABS(t-T_satellite)&lt;pas/2,"Satellite","")</f>
        <v/>
      </c>
      <c r="AB223" s="412"/>
      <c r="AC223" s="420" t="e">
        <f aca="false">IF(ABS(t-ROUND(t,0))&lt;0.001,t,NA())</f>
        <v>#N/A</v>
      </c>
      <c r="AD223" s="425" t="e">
        <f aca="false">IF(ABS(t-ROUND(t,0))&lt;0.001,pos_x,NA())</f>
        <v>#N/A</v>
      </c>
      <c r="AE223" s="426" t="n">
        <f aca="false">IF(t&lt;T_para, pos_z, NA())</f>
        <v>189.51331439046</v>
      </c>
      <c r="AF223" s="412"/>
      <c r="AG223" s="418" t="n">
        <f aca="false">IF(AND(L222&lt;L_rampe,Poussee&lt;Poids*SIN(M222)),0,(-W222+Poussee)/m-Poids*SIN(M222)/m)</f>
        <v>50.9418073465236</v>
      </c>
      <c r="AH223" s="417" t="n">
        <f aca="false">IF(AND(L222&lt;L_rampe,Poussee&lt;Poids*SIN(M222)), g*SIN(M222), (-W222+Poussee)/m)</f>
        <v>60.5203669793697</v>
      </c>
    </row>
    <row r="224" customFormat="false" ht="12" hidden="false" customHeight="false" outlineLevel="0" collapsed="false">
      <c r="A224" s="416" t="n">
        <f aca="false">IF(B223+0.01&lt;=T_ini+ROUNDUP(Temps_fin_propu,0), 0.01, IF(K223&gt;0, 0.1, 0.0001))</f>
        <v>0.01</v>
      </c>
      <c r="B224" s="417" t="n">
        <f aca="false">B223+pas</f>
        <v>2.2</v>
      </c>
      <c r="C224" s="401"/>
      <c r="D224" s="418" t="n">
        <f aca="false">IF(AND(L223&lt;L_rampe,Poussee&lt;Poids*SIN(M223)),0,(-W223+Poussee)/m*COS(M223)-U223/m*SIN(M223))</f>
        <v>13.0227148458205</v>
      </c>
      <c r="E224" s="419" t="n">
        <f aca="false">IF(AND(L223&lt;L_rampe,Poussee&lt;Poids*SIN(M223)),0,(-W223+Poussee)/m*SIN(M223)+U223/m*COS(M223)-Poids/m)</f>
        <v>49.0392969155428</v>
      </c>
      <c r="F224" s="417" t="n">
        <f aca="false">SQRT(acc_x^2+acc_z^2)</f>
        <v>50.7389765754722</v>
      </c>
      <c r="G224" s="418" t="n">
        <f aca="false">G223+acc_x*pas</f>
        <v>35.2807222101626</v>
      </c>
      <c r="H224" s="419" t="n">
        <f aca="false">H223+acc_z*pas</f>
        <v>159.334531469081</v>
      </c>
      <c r="I224" s="417" t="n">
        <f aca="false">SQRT(vit_x^2+vit_z^2)</f>
        <v>163.193818137031</v>
      </c>
      <c r="J224" s="418" t="n">
        <f aca="false">J223+0.5*(vit_x+G223)*pas*(K223&gt;=0)</f>
        <v>39.7917562633285</v>
      </c>
      <c r="K224" s="419" t="n">
        <f aca="false">K223+0.5*(vit_z+H223)*pas</f>
        <v>191.104207740305</v>
      </c>
      <c r="L224" s="417" t="n">
        <f aca="false">SQRT(pos_x^2+pos_z^2)</f>
        <v>195.202976623231</v>
      </c>
      <c r="M224" s="418" t="n">
        <f aca="false">IF(AND(L223&gt;L_rampe,G224&gt;0),ATAN2(G224,H224),$M$4)</f>
        <v>1.35288677472477</v>
      </c>
      <c r="N224" s="417" t="n">
        <f aca="false">DEGREES(Beta)</f>
        <v>77.5147023507957</v>
      </c>
      <c r="O224" s="401"/>
      <c r="P224" s="420" t="n">
        <f aca="false">MATCH(t-pas/2-T_ini,CdP_t)</f>
        <v>6</v>
      </c>
      <c r="Q224" s="417" t="n">
        <f aca="false">(INDEX(CdP,2,i_P+1)-INDEX(CdP,2,i_P+0))/(INDEX(CdP,1,i_P+1)-INDEX(CdP,1,i_P+0))*(t-pas/2-T_ini-INDEX(CdP,1,i_P+0))+INDEX(CdP,2,i_P+0)</f>
        <v>557.53</v>
      </c>
      <c r="R224" s="418" t="n">
        <f aca="false">Poussee/(g*ISP)</f>
        <v>0.279798330717996</v>
      </c>
      <c r="S224" s="419" t="n">
        <f aca="false">S223-Débit*pas</f>
        <v>7.62706482799496</v>
      </c>
      <c r="T224" s="417" t="n">
        <f aca="false">m*g</f>
        <v>74.8215059626306</v>
      </c>
      <c r="U224" s="421" t="n">
        <f aca="false">IF(pos_xz&lt;L_rampe,Poids*COS(Beta),0)</f>
        <v>0</v>
      </c>
      <c r="V224" s="418" t="n">
        <f aca="false">Rho_moyen*(20000-Alt_rampe-pos_z)/(20000+Alt_rampe+pos_z)</f>
        <v>1.20181130738832</v>
      </c>
      <c r="W224" s="417" t="n">
        <f aca="false">1/2*Rho*Sref*Cx*vit_xz^2</f>
        <v>98.4191035282314</v>
      </c>
      <c r="X224" s="401"/>
      <c r="Y224" s="422" t="str">
        <f aca="false">IF(AND(pos_z&lt;=0,K223&gt;0),"Impact balistique","") &amp; IF(AND(H225&lt;0,vit_z&gt;=0),"Apogée","") &amp; IF(AND(Poussee=0,Q223&gt;0),"Fin de propulsion","") &amp; IF(AND(L225&gt;L_rampe,pos_xz&lt;=L_rampe),"Sortie de rampe","")</f>
        <v/>
      </c>
      <c r="Z224" s="423" t="str">
        <f aca="false">IF(ABS(t-T_para)&lt;pas/2,"Para","")</f>
        <v/>
      </c>
      <c r="AA224" s="424" t="str">
        <f aca="false">IF(ABS(t-T_satellite)&lt;pas/2,"Satellite","")</f>
        <v/>
      </c>
      <c r="AB224" s="412"/>
      <c r="AC224" s="420" t="e">
        <f aca="false">IF(ABS(t-ROUND(t,0))&lt;0.001,t,NA())</f>
        <v>#N/A</v>
      </c>
      <c r="AD224" s="425" t="e">
        <f aca="false">IF(ABS(t-ROUND(t,0))&lt;0.001,pos_x,NA())</f>
        <v>#N/A</v>
      </c>
      <c r="AE224" s="426" t="n">
        <f aca="false">IF(t&lt;T_para, pos_z, NA())</f>
        <v>191.104207740305</v>
      </c>
      <c r="AF224" s="412"/>
      <c r="AG224" s="418" t="n">
        <f aca="false">IF(AND(L223&lt;L_rampe,Poussee&lt;Poids*SIN(M223)),0,(-W223+Poussee)/m-Poids*SIN(M223)/m)</f>
        <v>50.6946857480388</v>
      </c>
      <c r="AH224" s="417" t="n">
        <f aca="false">IF(AND(L223&lt;L_rampe,Poussee&lt;Poids*SIN(M223)), g*SIN(M223), (-W223+Poussee)/m)</f>
        <v>60.2729694756221</v>
      </c>
    </row>
    <row r="225" customFormat="false" ht="12" hidden="false" customHeight="false" outlineLevel="0" collapsed="false">
      <c r="A225" s="416" t="n">
        <f aca="false">IF(B224+0.01&lt;=T_ini+ROUNDUP(Temps_fin_propu,0), 0.01, IF(K224&gt;0, 0.1, 0.0001))</f>
        <v>0.01</v>
      </c>
      <c r="B225" s="417" t="n">
        <f aca="false">B224+pas</f>
        <v>2.21</v>
      </c>
      <c r="C225" s="401"/>
      <c r="D225" s="418" t="n">
        <f aca="false">IF(AND(L224&lt;L_rampe,Poussee&lt;Poids*SIN(M224)),0,(-W224+Poussee)/m*COS(M224)-U224/m*SIN(M224))</f>
        <v>12.9768586883635</v>
      </c>
      <c r="E225" s="419" t="n">
        <f aca="false">IF(AND(L224&lt;L_rampe,Poussee&lt;Poids*SIN(M224)),0,(-W224+Poussee)/m*SIN(M224)+U224/m*COS(M224)-Poids/m)</f>
        <v>48.7959913040922</v>
      </c>
      <c r="F225" s="417" t="n">
        <f aca="false">SQRT(acc_x^2+acc_z^2)</f>
        <v>50.4920551054005</v>
      </c>
      <c r="G225" s="418" t="n">
        <f aca="false">G224+acc_x*pas</f>
        <v>35.4104907970462</v>
      </c>
      <c r="H225" s="419" t="n">
        <f aca="false">H224+acc_z*pas</f>
        <v>159.822491382122</v>
      </c>
      <c r="I225" s="417" t="n">
        <f aca="false">SQRT(vit_x^2+vit_z^2)</f>
        <v>163.698294462943</v>
      </c>
      <c r="J225" s="418" t="n">
        <f aca="false">J224+0.5*(vit_x+G224)*pas*(K224&gt;=0)</f>
        <v>40.1452123283645</v>
      </c>
      <c r="K225" s="419" t="n">
        <f aca="false">K224+0.5*(vit_z+H224)*pas</f>
        <v>192.699992854561</v>
      </c>
      <c r="L225" s="417" t="n">
        <f aca="false">SQRT(pos_x^2+pos_z^2)</f>
        <v>196.837306725725</v>
      </c>
      <c r="M225" s="418" t="n">
        <f aca="false">IF(AND(L224&gt;L_rampe,G225&gt;0),ATAN2(G225,H225),$M$4)</f>
        <v>1.35275721840068</v>
      </c>
      <c r="N225" s="417" t="n">
        <f aca="false">DEGREES(Beta)</f>
        <v>77.5072793202157</v>
      </c>
      <c r="O225" s="401"/>
      <c r="P225" s="420" t="n">
        <f aca="false">MATCH(t-pas/2-T_ini,CdP_t)</f>
        <v>6</v>
      </c>
      <c r="Q225" s="417" t="n">
        <f aca="false">(INDEX(CdP,2,i_P+1)-INDEX(CdP,2,i_P+0))/(INDEX(CdP,1,i_P+1)-INDEX(CdP,1,i_P+0))*(t-pas/2-T_ini-INDEX(CdP,1,i_P+0))+INDEX(CdP,2,i_P+0)</f>
        <v>556.07</v>
      </c>
      <c r="R225" s="418" t="n">
        <f aca="false">Poussee/(g*ISP)</f>
        <v>0.279065624741908</v>
      </c>
      <c r="S225" s="419" t="n">
        <f aca="false">S224-Débit*pas</f>
        <v>7.62427417174754</v>
      </c>
      <c r="T225" s="417" t="n">
        <f aca="false">m*g</f>
        <v>74.7941296248434</v>
      </c>
      <c r="U225" s="421" t="n">
        <f aca="false">IF(pos_xz&lt;L_rampe,Poids*COS(Beta),0)</f>
        <v>0</v>
      </c>
      <c r="V225" s="418" t="n">
        <f aca="false">Rho_moyen*(20000-Alt_rampe-pos_z)/(20000+Alt_rampe+pos_z)</f>
        <v>1.20161952177466</v>
      </c>
      <c r="W225" s="417" t="n">
        <f aca="false">1/2*Rho*Sref*Cx*vit_xz^2</f>
        <v>99.0127212498969</v>
      </c>
      <c r="X225" s="401"/>
      <c r="Y225" s="422" t="str">
        <f aca="false">IF(AND(pos_z&lt;=0,K224&gt;0),"Impact balistique","") &amp; IF(AND(H226&lt;0,vit_z&gt;=0),"Apogée","") &amp; IF(AND(Poussee=0,Q224&gt;0),"Fin de propulsion","") &amp; IF(AND(L226&gt;L_rampe,pos_xz&lt;=L_rampe),"Sortie de rampe","")</f>
        <v/>
      </c>
      <c r="Z225" s="423" t="str">
        <f aca="false">IF(ABS(t-T_para)&lt;pas/2,"Para","")</f>
        <v/>
      </c>
      <c r="AA225" s="424" t="str">
        <f aca="false">IF(ABS(t-T_satellite)&lt;pas/2,"Satellite","")</f>
        <v/>
      </c>
      <c r="AB225" s="412"/>
      <c r="AC225" s="420" t="e">
        <f aca="false">IF(ABS(t-ROUND(t,0))&lt;0.001,t,NA())</f>
        <v>#N/A</v>
      </c>
      <c r="AD225" s="425" t="e">
        <f aca="false">IF(ABS(t-ROUND(t,0))&lt;0.001,pos_x,NA())</f>
        <v>#N/A</v>
      </c>
      <c r="AE225" s="426" t="n">
        <f aca="false">IF(t&lt;T_para, pos_z, NA())</f>
        <v>192.699992854561</v>
      </c>
      <c r="AF225" s="412"/>
      <c r="AG225" s="418" t="n">
        <f aca="false">IF(AND(L224&lt;L_rampe,Poussee&lt;Poids*SIN(M224)),0,(-W224+Poussee)/m-Poids*SIN(M224)/m)</f>
        <v>50.4474952086648</v>
      </c>
      <c r="AH225" s="417" t="n">
        <f aca="false">IF(AND(L224&lt;L_rampe,Poussee&lt;Poids*SIN(M224)), g*SIN(M224), (-W224+Poussee)/m)</f>
        <v>60.0255035643441</v>
      </c>
    </row>
    <row r="226" customFormat="false" ht="12" hidden="false" customHeight="false" outlineLevel="0" collapsed="false">
      <c r="A226" s="416" t="n">
        <f aca="false">IF(B225+0.01&lt;=T_ini+ROUNDUP(Temps_fin_propu,0), 0.01, IF(K225&gt;0, 0.1, 0.0001))</f>
        <v>0.01</v>
      </c>
      <c r="B226" s="417" t="n">
        <f aca="false">B225+pas</f>
        <v>2.22</v>
      </c>
      <c r="C226" s="401"/>
      <c r="D226" s="418" t="n">
        <f aca="false">IF(AND(L225&lt;L_rampe,Poussee&lt;Poids*SIN(M225)),0,(-W225+Poussee)/m*COS(M225)-U225/m*SIN(M225))</f>
        <v>12.9309067800422</v>
      </c>
      <c r="E226" s="419" t="n">
        <f aca="false">IF(AND(L225&lt;L_rampe,Poussee&lt;Poids*SIN(M225)),0,(-W225+Poussee)/m*SIN(M225)+U225/m*COS(M225)-Poids/m)</f>
        <v>48.5526403051354</v>
      </c>
      <c r="F226" s="417" t="n">
        <f aca="false">SQRT(acc_x^2+acc_z^2)</f>
        <v>50.2450717061286</v>
      </c>
      <c r="G226" s="418" t="n">
        <f aca="false">G225+acc_x*pas</f>
        <v>35.5397998648466</v>
      </c>
      <c r="H226" s="419" t="n">
        <f aca="false">H225+acc_z*pas</f>
        <v>160.308017785174</v>
      </c>
      <c r="I226" s="417" t="n">
        <f aca="false">SQRT(vit_x^2+vit_z^2)</f>
        <v>164.200298235554</v>
      </c>
      <c r="J226" s="418" t="n">
        <f aca="false">J225+0.5*(vit_x+G225)*pas*(K225&gt;=0)</f>
        <v>40.499963781674</v>
      </c>
      <c r="K226" s="419" t="n">
        <f aca="false">K225+0.5*(vit_z+H225)*pas</f>
        <v>194.300645400397</v>
      </c>
      <c r="L226" s="417" t="n">
        <f aca="false">SQRT(pos_x^2+pos_z^2)</f>
        <v>198.476668324838</v>
      </c>
      <c r="M226" s="418" t="n">
        <f aca="false">IF(AND(L225&gt;L_rampe,G226&gt;0),ATAN2(G226,H226),$M$4)</f>
        <v>1.35262798259382</v>
      </c>
      <c r="N226" s="417" t="n">
        <f aca="false">DEGREES(Beta)</f>
        <v>77.4998746539208</v>
      </c>
      <c r="O226" s="401"/>
      <c r="P226" s="420" t="n">
        <f aca="false">MATCH(t-pas/2-T_ini,CdP_t)</f>
        <v>6</v>
      </c>
      <c r="Q226" s="417" t="n">
        <f aca="false">(INDEX(CdP,2,i_P+1)-INDEX(CdP,2,i_P+0))/(INDEX(CdP,1,i_P+1)-INDEX(CdP,1,i_P+0))*(t-pas/2-T_ini-INDEX(CdP,1,i_P+0))+INDEX(CdP,2,i_P+0)</f>
        <v>554.610000000001</v>
      </c>
      <c r="R226" s="418" t="n">
        <f aca="false">Poussee/(g*ISP)</f>
        <v>0.27833291876582</v>
      </c>
      <c r="S226" s="419" t="n">
        <f aca="false">S225-Débit*pas</f>
        <v>7.62149084255988</v>
      </c>
      <c r="T226" s="417" t="n">
        <f aca="false">m*g</f>
        <v>74.7668251655125</v>
      </c>
      <c r="U226" s="421" t="n">
        <f aca="false">IF(pos_xz&lt;L_rampe,Poids*COS(Beta),0)</f>
        <v>0</v>
      </c>
      <c r="V226" s="418" t="n">
        <f aca="false">Rho_moyen*(20000-Alt_rampe-pos_z)/(20000+Alt_rampe+pos_z)</f>
        <v>1.20142718162962</v>
      </c>
      <c r="W226" s="417" t="n">
        <f aca="false">1/2*Rho*Sref*Cx*vit_xz^2</f>
        <v>99.6049791134842</v>
      </c>
      <c r="X226" s="401"/>
      <c r="Y226" s="422" t="str">
        <f aca="false">IF(AND(pos_z&lt;=0,K225&gt;0),"Impact balistique","") &amp; IF(AND(H227&lt;0,vit_z&gt;=0),"Apogée","") &amp; IF(AND(Poussee=0,Q225&gt;0),"Fin de propulsion","") &amp; IF(AND(L227&gt;L_rampe,pos_xz&lt;=L_rampe),"Sortie de rampe","")</f>
        <v/>
      </c>
      <c r="Z226" s="423" t="str">
        <f aca="false">IF(ABS(t-T_para)&lt;pas/2,"Para","")</f>
        <v/>
      </c>
      <c r="AA226" s="424" t="str">
        <f aca="false">IF(ABS(t-T_satellite)&lt;pas/2,"Satellite","")</f>
        <v/>
      </c>
      <c r="AB226" s="412"/>
      <c r="AC226" s="420" t="e">
        <f aca="false">IF(ABS(t-ROUND(t,0))&lt;0.001,t,NA())</f>
        <v>#N/A</v>
      </c>
      <c r="AD226" s="425" t="e">
        <f aca="false">IF(ABS(t-ROUND(t,0))&lt;0.001,pos_x,NA())</f>
        <v>#N/A</v>
      </c>
      <c r="AE226" s="426" t="n">
        <f aca="false">IF(t&lt;T_para, pos_z, NA())</f>
        <v>194.300645400397</v>
      </c>
      <c r="AF226" s="412"/>
      <c r="AG226" s="418" t="n">
        <f aca="false">IF(AND(L225&lt;L_rampe,Poussee&lt;Poids*SIN(M225)),0,(-W225+Poussee)/m-Poids*SIN(M225)/m)</f>
        <v>50.2002401383554</v>
      </c>
      <c r="AH226" s="417" t="n">
        <f aca="false">IF(AND(L225&lt;L_rampe,Poussee&lt;Poids*SIN(M225)), g*SIN(M225), (-W225+Poussee)/m)</f>
        <v>59.7779736486673</v>
      </c>
    </row>
    <row r="227" customFormat="false" ht="12" hidden="false" customHeight="false" outlineLevel="0" collapsed="false">
      <c r="A227" s="416" t="n">
        <f aca="false">IF(B226+0.01&lt;=T_ini+ROUNDUP(Temps_fin_propu,0), 0.01, IF(K226&gt;0, 0.1, 0.0001))</f>
        <v>0.01</v>
      </c>
      <c r="B227" s="417" t="n">
        <f aca="false">B226+pas</f>
        <v>2.23</v>
      </c>
      <c r="C227" s="401"/>
      <c r="D227" s="418" t="n">
        <f aca="false">IF(AND(L226&lt;L_rampe,Poussee&lt;Poids*SIN(M226)),0,(-W226+Poussee)/m*COS(M226)-U226/m*SIN(M226))</f>
        <v>12.8848605022829</v>
      </c>
      <c r="E227" s="419" t="n">
        <f aca="false">IF(AND(L226&lt;L_rampe,Poussee&lt;Poids*SIN(M226)),0,(-W226+Poussee)/m*SIN(M226)+U226/m*COS(M226)-Poids/m)</f>
        <v>48.3092481222307</v>
      </c>
      <c r="F227" s="417" t="n">
        <f aca="false">SQRT(acc_x^2+acc_z^2)</f>
        <v>49.9980308042081</v>
      </c>
      <c r="G227" s="418" t="n">
        <f aca="false">G226+acc_x*pas</f>
        <v>35.6686484698694</v>
      </c>
      <c r="H227" s="419" t="n">
        <f aca="false">H226+acc_z*pas</f>
        <v>160.791110266396</v>
      </c>
      <c r="I227" s="417" t="n">
        <f aca="false">SQRT(vit_x^2+vit_z^2)</f>
        <v>164.699828853486</v>
      </c>
      <c r="J227" s="418" t="n">
        <f aca="false">J226+0.5*(vit_x+G226)*pas*(K226&gt;=0)</f>
        <v>40.8560060233476</v>
      </c>
      <c r="K227" s="419" t="n">
        <f aca="false">K226+0.5*(vit_z+H226)*pas</f>
        <v>195.906141040655</v>
      </c>
      <c r="L227" s="417" t="n">
        <f aca="false">SQRT(pos_x^2+pos_z^2)</f>
        <v>200.121036689352</v>
      </c>
      <c r="M227" s="418" t="n">
        <f aca="false">IF(AND(L226&gt;L_rampe,G227&gt;0),ATAN2(G227,H227),$M$4)</f>
        <v>1.35249906360307</v>
      </c>
      <c r="N227" s="417" t="n">
        <f aca="false">DEGREES(Beta)</f>
        <v>77.4924881398518</v>
      </c>
      <c r="O227" s="401"/>
      <c r="P227" s="420" t="n">
        <f aca="false">MATCH(t-pas/2-T_ini,CdP_t)</f>
        <v>6</v>
      </c>
      <c r="Q227" s="417" t="n">
        <f aca="false">(INDEX(CdP,2,i_P+1)-INDEX(CdP,2,i_P+0))/(INDEX(CdP,1,i_P+1)-INDEX(CdP,1,i_P+0))*(t-pas/2-T_ini-INDEX(CdP,1,i_P+0))+INDEX(CdP,2,i_P+0)</f>
        <v>553.150000000001</v>
      </c>
      <c r="R227" s="418" t="n">
        <f aca="false">Poussee/(g*ISP)</f>
        <v>0.277600212789732</v>
      </c>
      <c r="S227" s="419" t="n">
        <f aca="false">S226-Débit*pas</f>
        <v>7.61871484043199</v>
      </c>
      <c r="T227" s="417" t="n">
        <f aca="false">m*g</f>
        <v>74.7395925846378</v>
      </c>
      <c r="U227" s="421" t="n">
        <f aca="false">IF(pos_xz&lt;L_rampe,Poids*COS(Beta),0)</f>
        <v>0</v>
      </c>
      <c r="V227" s="418" t="n">
        <f aca="false">Rho_moyen*(20000-Alt_rampe-pos_z)/(20000+Alt_rampe+pos_z)</f>
        <v>1.20123429014783</v>
      </c>
      <c r="W227" s="417" t="n">
        <f aca="false">1/2*Rho*Sref*Cx*vit_xz^2</f>
        <v>100.195848840813</v>
      </c>
      <c r="X227" s="401"/>
      <c r="Y227" s="422" t="str">
        <f aca="false">IF(AND(pos_z&lt;=0,K226&gt;0),"Impact balistique","") &amp; IF(AND(H228&lt;0,vit_z&gt;=0),"Apogée","") &amp; IF(AND(Poussee=0,Q226&gt;0),"Fin de propulsion","") &amp; IF(AND(L228&gt;L_rampe,pos_xz&lt;=L_rampe),"Sortie de rampe","")</f>
        <v/>
      </c>
      <c r="Z227" s="423" t="str">
        <f aca="false">IF(ABS(t-T_para)&lt;pas/2,"Para","")</f>
        <v/>
      </c>
      <c r="AA227" s="424" t="str">
        <f aca="false">IF(ABS(t-T_satellite)&lt;pas/2,"Satellite","")</f>
        <v/>
      </c>
      <c r="AB227" s="412"/>
      <c r="AC227" s="420" t="e">
        <f aca="false">IF(ABS(t-ROUND(t,0))&lt;0.001,t,NA())</f>
        <v>#N/A</v>
      </c>
      <c r="AD227" s="425" t="e">
        <f aca="false">IF(ABS(t-ROUND(t,0))&lt;0.001,pos_x,NA())</f>
        <v>#N/A</v>
      </c>
      <c r="AE227" s="426" t="n">
        <f aca="false">IF(t&lt;T_para, pos_z, NA())</f>
        <v>195.906141040655</v>
      </c>
      <c r="AF227" s="412"/>
      <c r="AG227" s="418" t="n">
        <f aca="false">IF(AND(L226&lt;L_rampe,Poussee&lt;Poids*SIN(M226)),0,(-W226+Poussee)/m-Poids*SIN(M226)/m)</f>
        <v>49.9529249267131</v>
      </c>
      <c r="AH227" s="417" t="n">
        <f aca="false">IF(AND(L226&lt;L_rampe,Poussee&lt;Poids*SIN(M226)), g*SIN(M226), (-W226+Poussee)/m)</f>
        <v>59.5303841114494</v>
      </c>
    </row>
    <row r="228" customFormat="false" ht="12" hidden="false" customHeight="false" outlineLevel="0" collapsed="false">
      <c r="A228" s="416" t="n">
        <f aca="false">IF(B227+0.01&lt;=T_ini+ROUNDUP(Temps_fin_propu,0), 0.01, IF(K227&gt;0, 0.1, 0.0001))</f>
        <v>0.01</v>
      </c>
      <c r="B228" s="417" t="n">
        <f aca="false">B227+pas</f>
        <v>2.24</v>
      </c>
      <c r="C228" s="401"/>
      <c r="D228" s="418" t="n">
        <f aca="false">IF(AND(L227&lt;L_rampe,Poussee&lt;Poids*SIN(M227)),0,(-W227+Poussee)/m*COS(M227)-U227/m*SIN(M227))</f>
        <v>12.8387212280753</v>
      </c>
      <c r="E228" s="419" t="n">
        <f aca="false">IF(AND(L227&lt;L_rampe,Poussee&lt;Poids*SIN(M227)),0,(-W227+Poussee)/m*SIN(M227)+U227/m*COS(M227)-Poids/m)</f>
        <v>48.0658189396161</v>
      </c>
      <c r="F228" s="417" t="n">
        <f aca="false">SQRT(acc_x^2+acc_z^2)</f>
        <v>49.7509368063375</v>
      </c>
      <c r="G228" s="418" t="n">
        <f aca="false">G227+acc_x*pas</f>
        <v>35.7970356821502</v>
      </c>
      <c r="H228" s="419" t="n">
        <f aca="false">H227+acc_z*pas</f>
        <v>161.271768455792</v>
      </c>
      <c r="I228" s="417" t="n">
        <f aca="false">SQRT(vit_x^2+vit_z^2)</f>
        <v>165.196885759047</v>
      </c>
      <c r="J228" s="418" t="n">
        <f aca="false">J227+0.5*(vit_x+G227)*pas*(K227&gt;=0)</f>
        <v>41.2133344441077</v>
      </c>
      <c r="K228" s="419" t="n">
        <f aca="false">K227+0.5*(vit_z+H227)*pas</f>
        <v>197.516455434266</v>
      </c>
      <c r="L228" s="417" t="n">
        <f aca="false">SQRT(pos_x^2+pos_z^2)</f>
        <v>201.770387082243</v>
      </c>
      <c r="M228" s="418" t="n">
        <f aca="false">IF(AND(L227&gt;L_rampe,G228&gt;0),ATAN2(G228,H228),$M$4)</f>
        <v>1.35237045777251</v>
      </c>
      <c r="N228" s="417" t="n">
        <f aca="false">DEGREES(Beta)</f>
        <v>77.4851195685397</v>
      </c>
      <c r="O228" s="401"/>
      <c r="P228" s="420" t="n">
        <f aca="false">MATCH(t-pas/2-T_ini,CdP_t)</f>
        <v>6</v>
      </c>
      <c r="Q228" s="417" t="n">
        <f aca="false">(INDEX(CdP,2,i_P+1)-INDEX(CdP,2,i_P+0))/(INDEX(CdP,1,i_P+1)-INDEX(CdP,1,i_P+0))*(t-pas/2-T_ini-INDEX(CdP,1,i_P+0))+INDEX(CdP,2,i_P+0)</f>
        <v>551.690000000001</v>
      </c>
      <c r="R228" s="418" t="n">
        <f aca="false">Poussee/(g*ISP)</f>
        <v>0.276867506813645</v>
      </c>
      <c r="S228" s="419" t="n">
        <f aca="false">S227-Débit*pas</f>
        <v>7.61594616536385</v>
      </c>
      <c r="T228" s="417" t="n">
        <f aca="false">m*g</f>
        <v>74.7124318822194</v>
      </c>
      <c r="U228" s="421" t="n">
        <f aca="false">IF(pos_xz&lt;L_rampe,Poids*COS(Beta),0)</f>
        <v>0</v>
      </c>
      <c r="V228" s="418" t="n">
        <f aca="false">Rho_moyen*(20000-Alt_rampe-pos_z)/(20000+Alt_rampe+pos_z)</f>
        <v>1.2010408505233</v>
      </c>
      <c r="W228" s="417" t="n">
        <f aca="false">1/2*Rho*Sref*Cx*vit_xz^2</f>
        <v>100.785302361327</v>
      </c>
      <c r="X228" s="401"/>
      <c r="Y228" s="422" t="str">
        <f aca="false">IF(AND(pos_z&lt;=0,K227&gt;0),"Impact balistique","") &amp; IF(AND(H229&lt;0,vit_z&gt;=0),"Apogée","") &amp; IF(AND(Poussee=0,Q227&gt;0),"Fin de propulsion","") &amp; IF(AND(L229&gt;L_rampe,pos_xz&lt;=L_rampe),"Sortie de rampe","")</f>
        <v/>
      </c>
      <c r="Z228" s="423" t="str">
        <f aca="false">IF(ABS(t-T_para)&lt;pas/2,"Para","")</f>
        <v/>
      </c>
      <c r="AA228" s="424" t="str">
        <f aca="false">IF(ABS(t-T_satellite)&lt;pas/2,"Satellite","")</f>
        <v/>
      </c>
      <c r="AB228" s="412"/>
      <c r="AC228" s="420" t="e">
        <f aca="false">IF(ABS(t-ROUND(t,0))&lt;0.001,t,NA())</f>
        <v>#N/A</v>
      </c>
      <c r="AD228" s="425" t="e">
        <f aca="false">IF(ABS(t-ROUND(t,0))&lt;0.001,pos_x,NA())</f>
        <v>#N/A</v>
      </c>
      <c r="AE228" s="426" t="n">
        <f aca="false">IF(t&lt;T_para, pos_z, NA())</f>
        <v>197.516455434266</v>
      </c>
      <c r="AF228" s="412"/>
      <c r="AG228" s="418" t="n">
        <f aca="false">IF(AND(L227&lt;L_rampe,Poussee&lt;Poids*SIN(M227)),0,(-W227+Poussee)/m-Poids*SIN(M227)/m)</f>
        <v>49.7055539428271</v>
      </c>
      <c r="AH228" s="417" t="n">
        <f aca="false">IF(AND(L227&lt;L_rampe,Poussee&lt;Poids*SIN(M227)), g*SIN(M227), (-W227+Poussee)/m)</f>
        <v>59.2827393151115</v>
      </c>
    </row>
    <row r="229" customFormat="false" ht="12" hidden="false" customHeight="false" outlineLevel="0" collapsed="false">
      <c r="A229" s="416" t="n">
        <f aca="false">IF(B228+0.01&lt;=T_ini+ROUNDUP(Temps_fin_propu,0), 0.01, IF(K228&gt;0, 0.1, 0.0001))</f>
        <v>0.01</v>
      </c>
      <c r="B229" s="417" t="n">
        <f aca="false">B228+pas</f>
        <v>2.25</v>
      </c>
      <c r="C229" s="401"/>
      <c r="D229" s="418" t="n">
        <f aca="false">IF(AND(L228&lt;L_rampe,Poussee&lt;Poids*SIN(M228)),0,(-W228+Poussee)/m*COS(M228)-U228/m*SIN(M228))</f>
        <v>12.7924903220131</v>
      </c>
      <c r="E229" s="419" t="n">
        <f aca="false">IF(AND(L228&lt;L_rampe,Poussee&lt;Poids*SIN(M228)),0,(-W228+Poussee)/m*SIN(M228)+U228/m*COS(M228)-Poids/m)</f>
        <v>47.8223569220395</v>
      </c>
      <c r="F229" s="417" t="n">
        <f aca="false">SQRT(acc_x^2+acc_z^2)</f>
        <v>49.5037940992176</v>
      </c>
      <c r="G229" s="418" t="n">
        <f aca="false">G228+acc_x*pas</f>
        <v>35.9249605853703</v>
      </c>
      <c r="H229" s="419" t="n">
        <f aca="false">H228+acc_z*pas</f>
        <v>161.749992025013</v>
      </c>
      <c r="I229" s="417" t="n">
        <f aca="false">SQRT(vit_x^2+vit_z^2)</f>
        <v>165.691468438034</v>
      </c>
      <c r="J229" s="418" t="n">
        <f aca="false">J228+0.5*(vit_x+G228)*pas*(K228&gt;=0)</f>
        <v>41.5719444254453</v>
      </c>
      <c r="K229" s="419" t="n">
        <f aca="false">K228+0.5*(vit_z+H228)*pas</f>
        <v>199.13156423667</v>
      </c>
      <c r="L229" s="417" t="n">
        <f aca="false">SQRT(pos_x^2+pos_z^2)</f>
        <v>203.424694761121</v>
      </c>
      <c r="M229" s="418" t="n">
        <f aca="false">IF(AND(L228&gt;L_rampe,G229&gt;0),ATAN2(G229,H229),$M$4)</f>
        <v>1.35224216149061</v>
      </c>
      <c r="N229" s="417" t="n">
        <f aca="false">DEGREES(Beta)</f>
        <v>77.47776873306</v>
      </c>
      <c r="O229" s="401"/>
      <c r="P229" s="420" t="n">
        <f aca="false">MATCH(t-pas/2-T_ini,CdP_t)</f>
        <v>6</v>
      </c>
      <c r="Q229" s="417" t="n">
        <f aca="false">(INDEX(CdP,2,i_P+1)-INDEX(CdP,2,i_P+0))/(INDEX(CdP,1,i_P+1)-INDEX(CdP,1,i_P+0))*(t-pas/2-T_ini-INDEX(CdP,1,i_P+0))+INDEX(CdP,2,i_P+0)</f>
        <v>550.230000000001</v>
      </c>
      <c r="R229" s="418" t="n">
        <f aca="false">Poussee/(g*ISP)</f>
        <v>0.276134800837557</v>
      </c>
      <c r="S229" s="419" t="n">
        <f aca="false">S228-Débit*pas</f>
        <v>7.61318481735547</v>
      </c>
      <c r="T229" s="417" t="n">
        <f aca="false">m*g</f>
        <v>74.6853430582572</v>
      </c>
      <c r="U229" s="421" t="n">
        <f aca="false">IF(pos_xz&lt;L_rampe,Poids*COS(Beta),0)</f>
        <v>0</v>
      </c>
      <c r="V229" s="418" t="n">
        <f aca="false">Rho_moyen*(20000-Alt_rampe-pos_z)/(20000+Alt_rampe+pos_z)</f>
        <v>1.20084686594925</v>
      </c>
      <c r="W229" s="417" t="n">
        <f aca="false">1/2*Rho*Sref*Cx*vit_xz^2</f>
        <v>101.373311812695</v>
      </c>
      <c r="X229" s="401"/>
      <c r="Y229" s="422" t="str">
        <f aca="false">IF(AND(pos_z&lt;=0,K228&gt;0),"Impact balistique","") &amp; IF(AND(H230&lt;0,vit_z&gt;=0),"Apogée","") &amp; IF(AND(Poussee=0,Q228&gt;0),"Fin de propulsion","") &amp; IF(AND(L230&gt;L_rampe,pos_xz&lt;=L_rampe),"Sortie de rampe","")</f>
        <v/>
      </c>
      <c r="Z229" s="423" t="str">
        <f aca="false">IF(ABS(t-T_para)&lt;pas/2,"Para","")</f>
        <v/>
      </c>
      <c r="AA229" s="424" t="str">
        <f aca="false">IF(ABS(t-T_satellite)&lt;pas/2,"Satellite","")</f>
        <v/>
      </c>
      <c r="AB229" s="412"/>
      <c r="AC229" s="420" t="e">
        <f aca="false">IF(ABS(t-ROUND(t,0))&lt;0.001,t,NA())</f>
        <v>#N/A</v>
      </c>
      <c r="AD229" s="425" t="e">
        <f aca="false">IF(ABS(t-ROUND(t,0))&lt;0.001,pos_x,NA())</f>
        <v>#N/A</v>
      </c>
      <c r="AE229" s="426" t="n">
        <f aca="false">IF(t&lt;T_para, pos_z, NA())</f>
        <v>199.13156423667</v>
      </c>
      <c r="AF229" s="412"/>
      <c r="AG229" s="418" t="n">
        <f aca="false">IF(AND(L228&lt;L_rampe,Poussee&lt;Poids*SIN(M228)),0,(-W228+Poussee)/m-Poids*SIN(M228)/m)</f>
        <v>49.4581315351134</v>
      </c>
      <c r="AH229" s="417" t="n">
        <f aca="false">IF(AND(L228&lt;L_rampe,Poussee&lt;Poids*SIN(M228)), g*SIN(M228), (-W228+Poussee)/m)</f>
        <v>59.0350436014758</v>
      </c>
    </row>
    <row r="230" customFormat="false" ht="12" hidden="false" customHeight="false" outlineLevel="0" collapsed="false">
      <c r="A230" s="416" t="n">
        <f aca="false">IF(B229+0.01&lt;=T_ini+ROUNDUP(Temps_fin_propu,0), 0.01, IF(K229&gt;0, 0.1, 0.0001))</f>
        <v>0.01</v>
      </c>
      <c r="B230" s="417" t="n">
        <f aca="false">B229+pas</f>
        <v>2.26</v>
      </c>
      <c r="C230" s="401"/>
      <c r="D230" s="418" t="n">
        <f aca="false">IF(AND(L229&lt;L_rampe,Poussee&lt;Poids*SIN(M229)),0,(-W229+Poussee)/m*COS(M229)-U229/m*SIN(M229))</f>
        <v>12.746169140333</v>
      </c>
      <c r="E230" s="419" t="n">
        <f aca="false">IF(AND(L229&lt;L_rampe,Poussee&lt;Poids*SIN(M229)),0,(-W229+Poussee)/m*SIN(M229)+U229/m*COS(M229)-Poids/m)</f>
        <v>47.5788662145923</v>
      </c>
      <c r="F230" s="417" t="n">
        <f aca="false">SQRT(acc_x^2+acc_z^2)</f>
        <v>49.2566070494106</v>
      </c>
      <c r="G230" s="418" t="n">
        <f aca="false">G229+acc_x*pas</f>
        <v>36.0524222767737</v>
      </c>
      <c r="H230" s="419" t="n">
        <f aca="false">H229+acc_z*pas</f>
        <v>162.225780687158</v>
      </c>
      <c r="I230" s="417" t="n">
        <f aca="false">SQRT(vit_x^2+vit_z^2)</f>
        <v>166.183576419515</v>
      </c>
      <c r="J230" s="418" t="n">
        <f aca="false">J229+0.5*(vit_x+G229)*pas*(K229&gt;=0)</f>
        <v>41.931831339756</v>
      </c>
      <c r="K230" s="419" t="n">
        <f aca="false">K229+0.5*(vit_z+H229)*pas</f>
        <v>200.751443100231</v>
      </c>
      <c r="L230" s="417" t="n">
        <f aca="false">SQRT(pos_x^2+pos_z^2)</f>
        <v>205.083934978659</v>
      </c>
      <c r="M230" s="418" t="n">
        <f aca="false">IF(AND(L229&gt;L_rampe,G230&gt;0),ATAN2(G230,H230),$M$4)</f>
        <v>1.35211417118948</v>
      </c>
      <c r="N230" s="417" t="n">
        <f aca="false">DEGREES(Beta)</f>
        <v>77.4704354289865</v>
      </c>
      <c r="O230" s="401"/>
      <c r="P230" s="420" t="n">
        <f aca="false">MATCH(t-pas/2-T_ini,CdP_t)</f>
        <v>6</v>
      </c>
      <c r="Q230" s="417" t="n">
        <f aca="false">(INDEX(CdP,2,i_P+1)-INDEX(CdP,2,i_P+0))/(INDEX(CdP,1,i_P+1)-INDEX(CdP,1,i_P+0))*(t-pas/2-T_ini-INDEX(CdP,1,i_P+0))+INDEX(CdP,2,i_P+0)</f>
        <v>548.770000000001</v>
      </c>
      <c r="R230" s="418" t="n">
        <f aca="false">Poussee/(g*ISP)</f>
        <v>0.275402094861469</v>
      </c>
      <c r="S230" s="419" t="n">
        <f aca="false">S229-Débit*pas</f>
        <v>7.61043079640686</v>
      </c>
      <c r="T230" s="417" t="n">
        <f aca="false">m*g</f>
        <v>74.6583261127513</v>
      </c>
      <c r="U230" s="421" t="n">
        <f aca="false">IF(pos_xz&lt;L_rampe,Poids*COS(Beta),0)</f>
        <v>0</v>
      </c>
      <c r="V230" s="418" t="n">
        <f aca="false">Rho_moyen*(20000-Alt_rampe-pos_z)/(20000+Alt_rampe+pos_z)</f>
        <v>1.20065233961811</v>
      </c>
      <c r="W230" s="417" t="n">
        <f aca="false">1/2*Rho*Sref*Cx*vit_xz^2</f>
        <v>101.95984954139</v>
      </c>
      <c r="X230" s="401"/>
      <c r="Y230" s="422" t="str">
        <f aca="false">IF(AND(pos_z&lt;=0,K229&gt;0),"Impact balistique","") &amp; IF(AND(H231&lt;0,vit_z&gt;=0),"Apogée","") &amp; IF(AND(Poussee=0,Q229&gt;0),"Fin de propulsion","") &amp; IF(AND(L231&gt;L_rampe,pos_xz&lt;=L_rampe),"Sortie de rampe","")</f>
        <v/>
      </c>
      <c r="Z230" s="423" t="str">
        <f aca="false">IF(ABS(t-T_para)&lt;pas/2,"Para","")</f>
        <v/>
      </c>
      <c r="AA230" s="424" t="str">
        <f aca="false">IF(ABS(t-T_satellite)&lt;pas/2,"Satellite","")</f>
        <v/>
      </c>
      <c r="AB230" s="412"/>
      <c r="AC230" s="420" t="e">
        <f aca="false">IF(ABS(t-ROUND(t,0))&lt;0.001,t,NA())</f>
        <v>#N/A</v>
      </c>
      <c r="AD230" s="425" t="e">
        <f aca="false">IF(ABS(t-ROUND(t,0))&lt;0.001,pos_x,NA())</f>
        <v>#N/A</v>
      </c>
      <c r="AE230" s="426" t="n">
        <f aca="false">IF(t&lt;T_para, pos_z, NA())</f>
        <v>200.751443100231</v>
      </c>
      <c r="AF230" s="412"/>
      <c r="AG230" s="418" t="n">
        <f aca="false">IF(AND(L229&lt;L_rampe,Poussee&lt;Poids*SIN(M229)),0,(-W229+Poussee)/m-Poids*SIN(M229)/m)</f>
        <v>49.210662031158</v>
      </c>
      <c r="AH230" s="417" t="n">
        <f aca="false">IF(AND(L229&lt;L_rampe,Poussee&lt;Poids*SIN(M229)), g*SIN(M229), (-W229+Poussee)/m)</f>
        <v>58.7873012916085</v>
      </c>
    </row>
    <row r="231" customFormat="false" ht="12" hidden="false" customHeight="false" outlineLevel="0" collapsed="false">
      <c r="A231" s="416" t="n">
        <f aca="false">IF(B230+0.01&lt;=T_ini+ROUNDUP(Temps_fin_propu,0), 0.01, IF(K230&gt;0, 0.1, 0.0001))</f>
        <v>0.01</v>
      </c>
      <c r="B231" s="417" t="n">
        <f aca="false">B230+pas</f>
        <v>2.27</v>
      </c>
      <c r="C231" s="401"/>
      <c r="D231" s="418" t="n">
        <f aca="false">IF(AND(L230&lt;L_rampe,Poussee&lt;Poids*SIN(M230)),0,(-W230+Poussee)/m*COS(M230)-U230/m*SIN(M230))</f>
        <v>12.6997590309529</v>
      </c>
      <c r="E231" s="419" t="n">
        <f aca="false">IF(AND(L230&lt;L_rampe,Poussee&lt;Poids*SIN(M230)),0,(-W230+Poussee)/m*SIN(M230)+U230/m*COS(M230)-Poids/m)</f>
        <v>47.3353509425467</v>
      </c>
      <c r="F231" s="417" t="n">
        <f aca="false">SQRT(acc_x^2+acc_z^2)</f>
        <v>49.0093800032027</v>
      </c>
      <c r="G231" s="418" t="n">
        <f aca="false">G230+acc_x*pas</f>
        <v>36.1794198670832</v>
      </c>
      <c r="H231" s="419" t="n">
        <f aca="false">H230+acc_z*pas</f>
        <v>162.699134196584</v>
      </c>
      <c r="I231" s="417" t="n">
        <f aca="false">SQRT(vit_x^2+vit_z^2)</f>
        <v>166.673209275626</v>
      </c>
      <c r="J231" s="418" t="n">
        <f aca="false">J230+0.5*(vit_x+G230)*pas*(K230&gt;=0)</f>
        <v>42.2929905504753</v>
      </c>
      <c r="K231" s="419" t="n">
        <f aca="false">K230+0.5*(vit_z+H230)*pas</f>
        <v>202.376067674649</v>
      </c>
      <c r="L231" s="417" t="n">
        <f aca="false">SQRT(pos_x^2+pos_z^2)</f>
        <v>206.748082983028</v>
      </c>
      <c r="M231" s="418" t="n">
        <f aca="false">IF(AND(L230&gt;L_rampe,G231&gt;0),ATAN2(G231,H231),$M$4)</f>
        <v>1.35198648334405</v>
      </c>
      <c r="N231" s="417" t="n">
        <f aca="false">DEGREES(Beta)</f>
        <v>77.463119454348</v>
      </c>
      <c r="O231" s="401"/>
      <c r="P231" s="420" t="n">
        <f aca="false">MATCH(t-pas/2-T_ini,CdP_t)</f>
        <v>6</v>
      </c>
      <c r="Q231" s="417" t="n">
        <f aca="false">(INDEX(CdP,2,i_P+1)-INDEX(CdP,2,i_P+0))/(INDEX(CdP,1,i_P+1)-INDEX(CdP,1,i_P+0))*(t-pas/2-T_ini-INDEX(CdP,1,i_P+0))+INDEX(CdP,2,i_P+0)</f>
        <v>547.310000000001</v>
      </c>
      <c r="R231" s="418" t="n">
        <f aca="false">Poussee/(g*ISP)</f>
        <v>0.274669388885381</v>
      </c>
      <c r="S231" s="419" t="n">
        <f aca="false">S230-Débit*pas</f>
        <v>7.60768410251801</v>
      </c>
      <c r="T231" s="417" t="n">
        <f aca="false">m*g</f>
        <v>74.6313810457016</v>
      </c>
      <c r="U231" s="421" t="n">
        <f aca="false">IF(pos_xz&lt;L_rampe,Poids*COS(Beta),0)</f>
        <v>0</v>
      </c>
      <c r="V231" s="418" t="n">
        <f aca="false">Rho_moyen*(20000-Alt_rampe-pos_z)/(20000+Alt_rampe+pos_z)</f>
        <v>1.20045727472145</v>
      </c>
      <c r="W231" s="417" t="n">
        <f aca="false">1/2*Rho*Sref*Cx*vit_xz^2</f>
        <v>102.544888103245</v>
      </c>
      <c r="X231" s="401"/>
      <c r="Y231" s="422" t="str">
        <f aca="false">IF(AND(pos_z&lt;=0,K230&gt;0),"Impact balistique","") &amp; IF(AND(H232&lt;0,vit_z&gt;=0),"Apogée","") &amp; IF(AND(Poussee=0,Q230&gt;0),"Fin de propulsion","") &amp; IF(AND(L232&gt;L_rampe,pos_xz&lt;=L_rampe),"Sortie de rampe","")</f>
        <v/>
      </c>
      <c r="Z231" s="423" t="str">
        <f aca="false">IF(ABS(t-T_para)&lt;pas/2,"Para","")</f>
        <v/>
      </c>
      <c r="AA231" s="424" t="str">
        <f aca="false">IF(ABS(t-T_satellite)&lt;pas/2,"Satellite","")</f>
        <v/>
      </c>
      <c r="AB231" s="412"/>
      <c r="AC231" s="420" t="e">
        <f aca="false">IF(ABS(t-ROUND(t,0))&lt;0.001,t,NA())</f>
        <v>#N/A</v>
      </c>
      <c r="AD231" s="425" t="e">
        <f aca="false">IF(ABS(t-ROUND(t,0))&lt;0.001,pos_x,NA())</f>
        <v>#N/A</v>
      </c>
      <c r="AE231" s="426" t="n">
        <f aca="false">IF(t&lt;T_para, pos_z, NA())</f>
        <v>202.376067674649</v>
      </c>
      <c r="AF231" s="412"/>
      <c r="AG231" s="418" t="n">
        <f aca="false">IF(AND(L230&lt;L_rampe,Poussee&lt;Poids*SIN(M230)),0,(-W230+Poussee)/m-Poids*SIN(M230)/m)</f>
        <v>48.9631497375629</v>
      </c>
      <c r="AH231" s="417" t="n">
        <f aca="false">IF(AND(L230&lt;L_rampe,Poussee&lt;Poids*SIN(M230)), g*SIN(M230), (-W230+Poussee)/m)</f>
        <v>58.5395166856637</v>
      </c>
    </row>
    <row r="232" customFormat="false" ht="12" hidden="false" customHeight="false" outlineLevel="0" collapsed="false">
      <c r="A232" s="416" t="n">
        <f aca="false">IF(B231+0.01&lt;=T_ini+ROUNDUP(Temps_fin_propu,0), 0.01, IF(K231&gt;0, 0.1, 0.0001))</f>
        <v>0.01</v>
      </c>
      <c r="B232" s="417" t="n">
        <f aca="false">B231+pas</f>
        <v>2.28</v>
      </c>
      <c r="C232" s="401"/>
      <c r="D232" s="418" t="n">
        <f aca="false">IF(AND(L231&lt;L_rampe,Poussee&lt;Poids*SIN(M231)),0,(-W231+Poussee)/m*COS(M231)-U231/m*SIN(M231))</f>
        <v>12.6532613335088</v>
      </c>
      <c r="E232" s="419" t="n">
        <f aca="false">IF(AND(L231&lt;L_rampe,Poussee&lt;Poids*SIN(M231)),0,(-W231+Poussee)/m*SIN(M231)+U231/m*COS(M231)-Poids/m)</f>
        <v>47.0918152111949</v>
      </c>
      <c r="F232" s="417" t="n">
        <f aca="false">SQRT(acc_x^2+acc_z^2)</f>
        <v>48.7621172864694</v>
      </c>
      <c r="G232" s="418" t="n">
        <f aca="false">G231+acc_x*pas</f>
        <v>36.3059524804183</v>
      </c>
      <c r="H232" s="419" t="n">
        <f aca="false">H231+acc_z*pas</f>
        <v>163.170052348696</v>
      </c>
      <c r="I232" s="417" t="n">
        <f aca="false">SQRT(vit_x^2+vit_z^2)</f>
        <v>167.160366621357</v>
      </c>
      <c r="J232" s="418" t="n">
        <f aca="false">J231+0.5*(vit_x+G231)*pas*(K231&gt;=0)</f>
        <v>42.6554174122128</v>
      </c>
      <c r="K232" s="419" t="n">
        <f aca="false">K231+0.5*(vit_z+H231)*pas</f>
        <v>204.005413607376</v>
      </c>
      <c r="L232" s="417" t="n">
        <f aca="false">SQRT(pos_x^2+pos_z^2)</f>
        <v>208.417114018323</v>
      </c>
      <c r="M232" s="418" t="n">
        <f aca="false">IF(AND(L231&gt;L_rampe,G232&gt;0),ATAN2(G232,H232),$M$4)</f>
        <v>1.35185909447133</v>
      </c>
      <c r="N232" s="417" t="n">
        <f aca="false">DEGREES(Beta)</f>
        <v>77.4558206095843</v>
      </c>
      <c r="O232" s="401"/>
      <c r="P232" s="420" t="n">
        <f aca="false">MATCH(t-pas/2-T_ini,CdP_t)</f>
        <v>6</v>
      </c>
      <c r="Q232" s="417" t="n">
        <f aca="false">(INDEX(CdP,2,i_P+1)-INDEX(CdP,2,i_P+0))/(INDEX(CdP,1,i_P+1)-INDEX(CdP,1,i_P+0))*(t-pas/2-T_ini-INDEX(CdP,1,i_P+0))+INDEX(CdP,2,i_P+0)</f>
        <v>545.850000000001</v>
      </c>
      <c r="R232" s="418" t="n">
        <f aca="false">Poussee/(g*ISP)</f>
        <v>0.273936682909293</v>
      </c>
      <c r="S232" s="419" t="n">
        <f aca="false">S231-Débit*pas</f>
        <v>7.60494473568891</v>
      </c>
      <c r="T232" s="417" t="n">
        <f aca="false">m*g</f>
        <v>74.6045078571082</v>
      </c>
      <c r="U232" s="421" t="n">
        <f aca="false">IF(pos_xz&lt;L_rampe,Poids*COS(Beta),0)</f>
        <v>0</v>
      </c>
      <c r="V232" s="418" t="n">
        <f aca="false">Rho_moyen*(20000-Alt_rampe-pos_z)/(20000+Alt_rampe+pos_z)</f>
        <v>1.20026167444989</v>
      </c>
      <c r="W232" s="417" t="n">
        <f aca="false">1/2*Rho*Sref*Cx*vit_xz^2</f>
        <v>103.128400263991</v>
      </c>
      <c r="X232" s="401"/>
      <c r="Y232" s="422" t="str">
        <f aca="false">IF(AND(pos_z&lt;=0,K231&gt;0),"Impact balistique","") &amp; IF(AND(H233&lt;0,vit_z&gt;=0),"Apogée","") &amp; IF(AND(Poussee=0,Q231&gt;0),"Fin de propulsion","") &amp; IF(AND(L233&gt;L_rampe,pos_xz&lt;=L_rampe),"Sortie de rampe","")</f>
        <v/>
      </c>
      <c r="Z232" s="423" t="str">
        <f aca="false">IF(ABS(t-T_para)&lt;pas/2,"Para","")</f>
        <v/>
      </c>
      <c r="AA232" s="424" t="str">
        <f aca="false">IF(ABS(t-T_satellite)&lt;pas/2,"Satellite","")</f>
        <v/>
      </c>
      <c r="AB232" s="412"/>
      <c r="AC232" s="420" t="e">
        <f aca="false">IF(ABS(t-ROUND(t,0))&lt;0.001,t,NA())</f>
        <v>#N/A</v>
      </c>
      <c r="AD232" s="425" t="e">
        <f aca="false">IF(ABS(t-ROUND(t,0))&lt;0.001,pos_x,NA())</f>
        <v>#N/A</v>
      </c>
      <c r="AE232" s="426" t="n">
        <f aca="false">IF(t&lt;T_para, pos_z, NA())</f>
        <v>204.005413607376</v>
      </c>
      <c r="AF232" s="412"/>
      <c r="AG232" s="418" t="n">
        <f aca="false">IF(AND(L231&lt;L_rampe,Poussee&lt;Poids*SIN(M231)),0,(-W231+Poussee)/m-Poids*SIN(M231)/m)</f>
        <v>48.7155989397947</v>
      </c>
      <c r="AH232" s="417" t="n">
        <f aca="false">IF(AND(L231&lt;L_rampe,Poussee&lt;Poids*SIN(M231)), g*SIN(M231), (-W231+Poussee)/m)</f>
        <v>58.2916940627311</v>
      </c>
    </row>
    <row r="233" customFormat="false" ht="12" hidden="false" customHeight="false" outlineLevel="0" collapsed="false">
      <c r="A233" s="416" t="n">
        <f aca="false">IF(B232+0.01&lt;=T_ini+ROUNDUP(Temps_fin_propu,0), 0.01, IF(K232&gt;0, 0.1, 0.0001))</f>
        <v>0.01</v>
      </c>
      <c r="B233" s="417" t="n">
        <f aca="false">B232+pas</f>
        <v>2.29</v>
      </c>
      <c r="C233" s="401"/>
      <c r="D233" s="418" t="n">
        <f aca="false">IF(AND(L232&lt;L_rampe,Poussee&lt;Poids*SIN(M232)),0,(-W232+Poussee)/m*COS(M232)-U232/m*SIN(M232))</f>
        <v>12.6066773793907</v>
      </c>
      <c r="E233" s="419" t="n">
        <f aca="false">IF(AND(L232&lt;L_rampe,Poussee&lt;Poids*SIN(M232)),0,(-W232+Poussee)/m*SIN(M232)+U232/m*COS(M232)-Poids/m)</f>
        <v>46.8482631056922</v>
      </c>
      <c r="F233" s="417" t="n">
        <f aca="false">SQRT(acc_x^2+acc_z^2)</f>
        <v>48.5148232045444</v>
      </c>
      <c r="G233" s="418" t="n">
        <f aca="false">G232+acc_x*pas</f>
        <v>36.4320192542122</v>
      </c>
      <c r="H233" s="419" t="n">
        <f aca="false">H232+acc_z*pas</f>
        <v>163.638534979753</v>
      </c>
      <c r="I233" s="417" t="n">
        <f aca="false">SQRT(vit_x^2+vit_z^2)</f>
        <v>167.645048114339</v>
      </c>
      <c r="J233" s="418" t="n">
        <f aca="false">J232+0.5*(vit_x+G232)*pas*(K232&gt;=0)</f>
        <v>43.0191072708859</v>
      </c>
      <c r="K233" s="419" t="n">
        <f aca="false">K232+0.5*(vit_z+H232)*pas</f>
        <v>205.639456544018</v>
      </c>
      <c r="L233" s="417" t="n">
        <f aca="false">SQRT(pos_x^2+pos_z^2)</f>
        <v>210.091003324995</v>
      </c>
      <c r="M233" s="418" t="n">
        <f aca="false">IF(AND(L232&gt;L_rampe,G233&gt;0),ATAN2(G233,H233),$M$4)</f>
        <v>1.35173200112969</v>
      </c>
      <c r="N233" s="417" t="n">
        <f aca="false">DEGREES(Beta)</f>
        <v>77.4485386975044</v>
      </c>
      <c r="O233" s="401"/>
      <c r="P233" s="420" t="n">
        <f aca="false">MATCH(t-pas/2-T_ini,CdP_t)</f>
        <v>6</v>
      </c>
      <c r="Q233" s="417" t="n">
        <f aca="false">(INDEX(CdP,2,i_P+1)-INDEX(CdP,2,i_P+0))/(INDEX(CdP,1,i_P+1)-INDEX(CdP,1,i_P+0))*(t-pas/2-T_ini-INDEX(CdP,1,i_P+0))+INDEX(CdP,2,i_P+0)</f>
        <v>544.390000000001</v>
      </c>
      <c r="R233" s="418" t="n">
        <f aca="false">Poussee/(g*ISP)</f>
        <v>0.273203976933205</v>
      </c>
      <c r="S233" s="419" t="n">
        <f aca="false">S232-Débit*pas</f>
        <v>7.60221269591958</v>
      </c>
      <c r="T233" s="417" t="n">
        <f aca="false">m*g</f>
        <v>74.5777065469711</v>
      </c>
      <c r="U233" s="421" t="n">
        <f aca="false">IF(pos_xz&lt;L_rampe,Poids*COS(Beta),0)</f>
        <v>0</v>
      </c>
      <c r="V233" s="418" t="n">
        <f aca="false">Rho_moyen*(20000-Alt_rampe-pos_z)/(20000+Alt_rampe+pos_z)</f>
        <v>1.20006554199305</v>
      </c>
      <c r="W233" s="417" t="n">
        <f aca="false">1/2*Rho*Sref*Cx*vit_xz^2</f>
        <v>103.710358999766</v>
      </c>
      <c r="X233" s="401"/>
      <c r="Y233" s="422" t="str">
        <f aca="false">IF(AND(pos_z&lt;=0,K232&gt;0),"Impact balistique","") &amp; IF(AND(H234&lt;0,vit_z&gt;=0),"Apogée","") &amp; IF(AND(Poussee=0,Q232&gt;0),"Fin de propulsion","") &amp; IF(AND(L234&gt;L_rampe,pos_xz&lt;=L_rampe),"Sortie de rampe","")</f>
        <v/>
      </c>
      <c r="Z233" s="423" t="str">
        <f aca="false">IF(ABS(t-T_para)&lt;pas/2,"Para","")</f>
        <v/>
      </c>
      <c r="AA233" s="424" t="str">
        <f aca="false">IF(ABS(t-T_satellite)&lt;pas/2,"Satellite","")</f>
        <v/>
      </c>
      <c r="AB233" s="412"/>
      <c r="AC233" s="420" t="e">
        <f aca="false">IF(ABS(t-ROUND(t,0))&lt;0.001,t,NA())</f>
        <v>#N/A</v>
      </c>
      <c r="AD233" s="425" t="e">
        <f aca="false">IF(ABS(t-ROUND(t,0))&lt;0.001,pos_x,NA())</f>
        <v>#N/A</v>
      </c>
      <c r="AE233" s="426" t="n">
        <f aca="false">IF(t&lt;T_para, pos_z, NA())</f>
        <v>205.639456544018</v>
      </c>
      <c r="AF233" s="412"/>
      <c r="AG233" s="418" t="n">
        <f aca="false">IF(AND(L232&lt;L_rampe,Poussee&lt;Poids*SIN(M232)),0,(-W232+Poussee)/m-Poids*SIN(M232)/m)</f>
        <v>48.4680139020361</v>
      </c>
      <c r="AH233" s="417" t="n">
        <f aca="false">IF(AND(L232&lt;L_rampe,Poussee&lt;Poids*SIN(M232)), g*SIN(M232), (-W232+Poussee)/m)</f>
        <v>58.0438376806865</v>
      </c>
    </row>
    <row r="234" customFormat="false" ht="12" hidden="false" customHeight="false" outlineLevel="0" collapsed="false">
      <c r="A234" s="416" t="n">
        <f aca="false">IF(B233+0.01&lt;=T_ini+ROUNDUP(Temps_fin_propu,0), 0.01, IF(K233&gt;0, 0.1, 0.0001))</f>
        <v>0.01</v>
      </c>
      <c r="B234" s="417" t="n">
        <f aca="false">B233+pas</f>
        <v>2.3</v>
      </c>
      <c r="C234" s="401"/>
      <c r="D234" s="418" t="n">
        <f aca="false">IF(AND(L233&lt;L_rampe,Poussee&lt;Poids*SIN(M233)),0,(-W233+Poussee)/m*COS(M233)-U233/m*SIN(M233))</f>
        <v>12.5600084917765</v>
      </c>
      <c r="E234" s="419" t="n">
        <f aca="false">IF(AND(L233&lt;L_rampe,Poussee&lt;Poids*SIN(M233)),0,(-W233+Poussee)/m*SIN(M233)+U233/m*COS(M233)-Poids/m)</f>
        <v>46.6046986909029</v>
      </c>
      <c r="F234" s="417" t="n">
        <f aca="false">SQRT(acc_x^2+acc_z^2)</f>
        <v>48.2675020420918</v>
      </c>
      <c r="G234" s="418" t="n">
        <f aca="false">G233+acc_x*pas</f>
        <v>36.55761933913</v>
      </c>
      <c r="H234" s="419" t="n">
        <f aca="false">H233+acc_z*pas</f>
        <v>164.104581966662</v>
      </c>
      <c r="I234" s="417" t="n">
        <f aca="false">SQRT(vit_x^2+vit_z^2)</f>
        <v>168.127253454631</v>
      </c>
      <c r="J234" s="418" t="n">
        <f aca="false">J233+0.5*(vit_x+G233)*pas*(K233&gt;=0)</f>
        <v>43.3840554638526</v>
      </c>
      <c r="K234" s="419" t="n">
        <f aca="false">K233+0.5*(vit_z+H233)*pas</f>
        <v>207.27817212875</v>
      </c>
      <c r="L234" s="417" t="n">
        <f aca="false">SQRT(pos_x^2+pos_z^2)</f>
        <v>211.769726140273</v>
      </c>
      <c r="M234" s="418" t="n">
        <f aca="false">IF(AND(L233&gt;L_rampe,G234&gt;0),ATAN2(G234,H234),$M$4)</f>
        <v>1.35160519991812</v>
      </c>
      <c r="N234" s="417" t="n">
        <f aca="false">DEGREES(Beta)</f>
        <v>77.4412735232445</v>
      </c>
      <c r="O234" s="401"/>
      <c r="P234" s="420" t="n">
        <f aca="false">MATCH(t-pas/2-T_ini,CdP_t)</f>
        <v>6</v>
      </c>
      <c r="Q234" s="417" t="n">
        <f aca="false">(INDEX(CdP,2,i_P+1)-INDEX(CdP,2,i_P+0))/(INDEX(CdP,1,i_P+1)-INDEX(CdP,1,i_P+0))*(t-pas/2-T_ini-INDEX(CdP,1,i_P+0))+INDEX(CdP,2,i_P+0)</f>
        <v>542.930000000001</v>
      </c>
      <c r="R234" s="418" t="n">
        <f aca="false">Poussee/(g*ISP)</f>
        <v>0.272471270957117</v>
      </c>
      <c r="S234" s="419" t="n">
        <f aca="false">S233-Débit*pas</f>
        <v>7.59948798321001</v>
      </c>
      <c r="T234" s="417" t="n">
        <f aca="false">m*g</f>
        <v>74.5509771152902</v>
      </c>
      <c r="U234" s="421" t="n">
        <f aca="false">IF(pos_xz&lt;L_rampe,Poids*COS(Beta),0)</f>
        <v>0</v>
      </c>
      <c r="V234" s="418" t="n">
        <f aca="false">Rho_moyen*(20000-Alt_rampe-pos_z)/(20000+Alt_rampe+pos_z)</f>
        <v>1.19986888053949</v>
      </c>
      <c r="W234" s="417" t="n">
        <f aca="false">1/2*Rho*Sref*Cx*vit_xz^2</f>
        <v>104.290737497612</v>
      </c>
      <c r="X234" s="401"/>
      <c r="Y234" s="422" t="str">
        <f aca="false">IF(AND(pos_z&lt;=0,K233&gt;0),"Impact balistique","") &amp; IF(AND(H235&lt;0,vit_z&gt;=0),"Apogée","") &amp; IF(AND(Poussee=0,Q233&gt;0),"Fin de propulsion","") &amp; IF(AND(L235&gt;L_rampe,pos_xz&lt;=L_rampe),"Sortie de rampe","")</f>
        <v/>
      </c>
      <c r="Z234" s="423" t="str">
        <f aca="false">IF(ABS(t-T_para)&lt;pas/2,"Para","")</f>
        <v/>
      </c>
      <c r="AA234" s="424" t="str">
        <f aca="false">IF(ABS(t-T_satellite)&lt;pas/2,"Satellite","")</f>
        <v/>
      </c>
      <c r="AB234" s="412"/>
      <c r="AC234" s="420" t="e">
        <f aca="false">IF(ABS(t-ROUND(t,0))&lt;0.001,t,NA())</f>
        <v>#N/A</v>
      </c>
      <c r="AD234" s="425" t="e">
        <f aca="false">IF(ABS(t-ROUND(t,0))&lt;0.001,pos_x,NA())</f>
        <v>#N/A</v>
      </c>
      <c r="AE234" s="426" t="n">
        <f aca="false">IF(t&lt;T_para, pos_z, NA())</f>
        <v>207.27817212875</v>
      </c>
      <c r="AF234" s="412"/>
      <c r="AG234" s="418" t="n">
        <f aca="false">IF(AND(L233&lt;L_rampe,Poussee&lt;Poids*SIN(M233)),0,(-W233+Poussee)/m-Poids*SIN(M233)/m)</f>
        <v>48.2203988670404</v>
      </c>
      <c r="AH234" s="417" t="n">
        <f aca="false">IF(AND(L233&lt;L_rampe,Poussee&lt;Poids*SIN(M233)), g*SIN(M233), (-W233+Poussee)/m)</f>
        <v>57.7959517760444</v>
      </c>
    </row>
    <row r="235" customFormat="false" ht="12" hidden="false" customHeight="false" outlineLevel="0" collapsed="false">
      <c r="A235" s="416" t="n">
        <f aca="false">IF(B234+0.01&lt;=T_ini+ROUNDUP(Temps_fin_propu,0), 0.01, IF(K234&gt;0, 0.1, 0.0001))</f>
        <v>0.01</v>
      </c>
      <c r="B235" s="417" t="n">
        <f aca="false">B234+pas</f>
        <v>2.30999999999999</v>
      </c>
      <c r="C235" s="401"/>
      <c r="D235" s="418" t="n">
        <f aca="false">IF(AND(L234&lt;L_rampe,Poussee&lt;Poids*SIN(M234)),0,(-W234+Poussee)/m*COS(M234)-U234/m*SIN(M234))</f>
        <v>12.513255985666</v>
      </c>
      <c r="E235" s="419" t="n">
        <f aca="false">IF(AND(L234&lt;L_rampe,Poussee&lt;Poids*SIN(M234)),0,(-W234+Poussee)/m*SIN(M234)+U234/m*COS(M234)-Poids/m)</f>
        <v>46.3611260112493</v>
      </c>
      <c r="F235" s="417" t="n">
        <f aca="false">SQRT(acc_x^2+acc_z^2)</f>
        <v>48.0201580629816</v>
      </c>
      <c r="G235" s="418" t="n">
        <f aca="false">G234+acc_x*pas</f>
        <v>36.6827518989866</v>
      </c>
      <c r="H235" s="419" t="n">
        <f aca="false">H234+acc_z*pas</f>
        <v>164.568193226774</v>
      </c>
      <c r="I235" s="417" t="n">
        <f aca="false">SQRT(vit_x^2+vit_z^2)</f>
        <v>168.606982384501</v>
      </c>
      <c r="J235" s="418" t="n">
        <f aca="false">J234+0.5*(vit_x+G234)*pas*(K234&gt;=0)</f>
        <v>43.7502573200432</v>
      </c>
      <c r="K235" s="419" t="n">
        <f aca="false">K234+0.5*(vit_z+H234)*pas</f>
        <v>208.921536004717</v>
      </c>
      <c r="L235" s="417" t="n">
        <f aca="false">SQRT(pos_x^2+pos_z^2)</f>
        <v>213.453257698589</v>
      </c>
      <c r="M235" s="418" t="n">
        <f aca="false">IF(AND(L234&gt;L_rampe,G235&gt;0),ATAN2(G235,H235),$M$4)</f>
        <v>1.35147868747552</v>
      </c>
      <c r="N235" s="417" t="n">
        <f aca="false">DEGREES(Beta)</f>
        <v>77.4340248942275</v>
      </c>
      <c r="O235" s="401"/>
      <c r="P235" s="420" t="n">
        <f aca="false">MATCH(t-pas/2-T_ini,CdP_t)</f>
        <v>6</v>
      </c>
      <c r="Q235" s="417" t="n">
        <f aca="false">(INDEX(CdP,2,i_P+1)-INDEX(CdP,2,i_P+0))/(INDEX(CdP,1,i_P+1)-INDEX(CdP,1,i_P+0))*(t-pas/2-T_ini-INDEX(CdP,1,i_P+0))+INDEX(CdP,2,i_P+0)</f>
        <v>541.470000000001</v>
      </c>
      <c r="R235" s="418" t="n">
        <f aca="false">Poussee/(g*ISP)</f>
        <v>0.27173856498103</v>
      </c>
      <c r="S235" s="419" t="n">
        <f aca="false">S234-Débit*pas</f>
        <v>7.5967705975602</v>
      </c>
      <c r="T235" s="417" t="n">
        <f aca="false">m*g</f>
        <v>74.5243195620656</v>
      </c>
      <c r="U235" s="421" t="n">
        <f aca="false">IF(pos_xz&lt;L_rampe,Poids*COS(Beta),0)</f>
        <v>0</v>
      </c>
      <c r="V235" s="418" t="n">
        <f aca="false">Rho_moyen*(20000-Alt_rampe-pos_z)/(20000+Alt_rampe+pos_z)</f>
        <v>1.19967169327667</v>
      </c>
      <c r="W235" s="417" t="n">
        <f aca="false">1/2*Rho*Sref*Cx*vit_xz^2</f>
        <v>104.869509155945</v>
      </c>
      <c r="X235" s="401"/>
      <c r="Y235" s="422" t="str">
        <f aca="false">IF(AND(pos_z&lt;=0,K234&gt;0),"Impact balistique","") &amp; IF(AND(H236&lt;0,vit_z&gt;=0),"Apogée","") &amp; IF(AND(Poussee=0,Q234&gt;0),"Fin de propulsion","") &amp; IF(AND(L236&gt;L_rampe,pos_xz&lt;=L_rampe),"Sortie de rampe","")</f>
        <v/>
      </c>
      <c r="Z235" s="423" t="str">
        <f aca="false">IF(ABS(t-T_para)&lt;pas/2,"Para","")</f>
        <v/>
      </c>
      <c r="AA235" s="424" t="str">
        <f aca="false">IF(ABS(t-T_satellite)&lt;pas/2,"Satellite","")</f>
        <v/>
      </c>
      <c r="AB235" s="412"/>
      <c r="AC235" s="420" t="e">
        <f aca="false">IF(ABS(t-ROUND(t,0))&lt;0.001,t,NA())</f>
        <v>#N/A</v>
      </c>
      <c r="AD235" s="425" t="e">
        <f aca="false">IF(ABS(t-ROUND(t,0))&lt;0.001,pos_x,NA())</f>
        <v>#N/A</v>
      </c>
      <c r="AE235" s="426" t="n">
        <f aca="false">IF(t&lt;T_para, pos_z, NA())</f>
        <v>208.921536004717</v>
      </c>
      <c r="AF235" s="412"/>
      <c r="AG235" s="418" t="n">
        <f aca="false">IF(AND(L234&lt;L_rampe,Poussee&lt;Poids*SIN(M234)),0,(-W234+Poussee)/m-Poids*SIN(M234)/m)</f>
        <v>47.9727580559886</v>
      </c>
      <c r="AH235" s="417" t="n">
        <f aca="false">IF(AND(L234&lt;L_rampe,Poussee&lt;Poids*SIN(M234)), g*SIN(M234), (-W234+Poussee)/m)</f>
        <v>57.5480405638146</v>
      </c>
    </row>
    <row r="236" customFormat="false" ht="12" hidden="false" customHeight="false" outlineLevel="0" collapsed="false">
      <c r="A236" s="416" t="n">
        <f aca="false">IF(B235+0.01&lt;=T_ini+ROUNDUP(Temps_fin_propu,0), 0.01, IF(K235&gt;0, 0.1, 0.0001))</f>
        <v>0.01</v>
      </c>
      <c r="B236" s="417" t="n">
        <f aca="false">B235+pas</f>
        <v>2.31999999999999</v>
      </c>
      <c r="C236" s="401"/>
      <c r="D236" s="418" t="n">
        <f aca="false">IF(AND(L235&lt;L_rampe,Poussee&lt;Poids*SIN(M235)),0,(-W235+Poussee)/m*COS(M235)-U235/m*SIN(M235))</f>
        <v>12.4664211679135</v>
      </c>
      <c r="E236" s="419" t="n">
        <f aca="false">IF(AND(L235&lt;L_rampe,Poussee&lt;Poids*SIN(M235)),0,(-W235+Poussee)/m*SIN(M235)+U235/m*COS(M235)-Poids/m)</f>
        <v>46.1175490905636</v>
      </c>
      <c r="F236" s="417" t="n">
        <f aca="false">SQRT(acc_x^2+acc_z^2)</f>
        <v>47.7727955101682</v>
      </c>
      <c r="G236" s="418" t="n">
        <f aca="false">G235+acc_x*pas</f>
        <v>36.8074161106658</v>
      </c>
      <c r="H236" s="419" t="n">
        <f aca="false">H235+acc_z*pas</f>
        <v>165.02936871768</v>
      </c>
      <c r="I236" s="417" t="n">
        <f aca="false">SQRT(vit_x^2+vit_z^2)</f>
        <v>169.084234688216</v>
      </c>
      <c r="J236" s="418" t="n">
        <f aca="false">J235+0.5*(vit_x+G235)*pas*(K235&gt;=0)</f>
        <v>44.1177081600915</v>
      </c>
      <c r="K236" s="419" t="n">
        <f aca="false">K235+0.5*(vit_z+H235)*pas</f>
        <v>210.56952381444</v>
      </c>
      <c r="L236" s="417" t="n">
        <f aca="false">SQRT(pos_x^2+pos_z^2)</f>
        <v>215.141573231997</v>
      </c>
      <c r="M236" s="418" t="n">
        <f aca="false">IF(AND(L235&gt;L_rampe,G236&gt;0),ATAN2(G236,H236),$M$4)</f>
        <v>1.35135246048001</v>
      </c>
      <c r="N236" s="417" t="n">
        <f aca="false">DEGREES(Beta)</f>
        <v>77.4267926201238</v>
      </c>
      <c r="O236" s="401"/>
      <c r="P236" s="420" t="n">
        <f aca="false">MATCH(t-pas/2-T_ini,CdP_t)</f>
        <v>6</v>
      </c>
      <c r="Q236" s="417" t="n">
        <f aca="false">(INDEX(CdP,2,i_P+1)-INDEX(CdP,2,i_P+0))/(INDEX(CdP,1,i_P+1)-INDEX(CdP,1,i_P+0))*(t-pas/2-T_ini-INDEX(CdP,1,i_P+0))+INDEX(CdP,2,i_P+0)</f>
        <v>540.010000000001</v>
      </c>
      <c r="R236" s="418" t="n">
        <f aca="false">Poussee/(g*ISP)</f>
        <v>0.271005859004942</v>
      </c>
      <c r="S236" s="419" t="n">
        <f aca="false">S235-Débit*pas</f>
        <v>7.59406053897015</v>
      </c>
      <c r="T236" s="417" t="n">
        <f aca="false">m*g</f>
        <v>74.4977338872972</v>
      </c>
      <c r="U236" s="421" t="n">
        <f aca="false">IF(pos_xz&lt;L_rampe,Poids*COS(Beta),0)</f>
        <v>0</v>
      </c>
      <c r="V236" s="418" t="n">
        <f aca="false">Rho_moyen*(20000-Alt_rampe-pos_z)/(20000+Alt_rampe+pos_z)</f>
        <v>1.19947398339084</v>
      </c>
      <c r="W236" s="417" t="n">
        <f aca="false">1/2*Rho*Sref*Cx*vit_xz^2</f>
        <v>105.446647585001</v>
      </c>
      <c r="X236" s="401"/>
      <c r="Y236" s="422" t="str">
        <f aca="false">IF(AND(pos_z&lt;=0,K235&gt;0),"Impact balistique","") &amp; IF(AND(H237&lt;0,vit_z&gt;=0),"Apogée","") &amp; IF(AND(Poussee=0,Q235&gt;0),"Fin de propulsion","") &amp; IF(AND(L237&gt;L_rampe,pos_xz&lt;=L_rampe),"Sortie de rampe","")</f>
        <v/>
      </c>
      <c r="Z236" s="423" t="str">
        <f aca="false">IF(ABS(t-T_para)&lt;pas/2,"Para","")</f>
        <v/>
      </c>
      <c r="AA236" s="424" t="str">
        <f aca="false">IF(ABS(t-T_satellite)&lt;pas/2,"Satellite","")</f>
        <v/>
      </c>
      <c r="AB236" s="412"/>
      <c r="AC236" s="420" t="e">
        <f aca="false">IF(ABS(t-ROUND(t,0))&lt;0.001,t,NA())</f>
        <v>#N/A</v>
      </c>
      <c r="AD236" s="425" t="e">
        <f aca="false">IF(ABS(t-ROUND(t,0))&lt;0.001,pos_x,NA())</f>
        <v>#N/A</v>
      </c>
      <c r="AE236" s="426" t="n">
        <f aca="false">IF(t&lt;T_para, pos_z, NA())</f>
        <v>210.56952381444</v>
      </c>
      <c r="AF236" s="412"/>
      <c r="AG236" s="418" t="n">
        <f aca="false">IF(AND(L235&lt;L_rampe,Poussee&lt;Poids*SIN(M235)),0,(-W235+Poussee)/m-Poids*SIN(M235)/m)</f>
        <v>47.725095668349</v>
      </c>
      <c r="AH236" s="417" t="n">
        <f aca="false">IF(AND(L235&lt;L_rampe,Poussee&lt;Poids*SIN(M235)), g*SIN(M235), (-W235+Poussee)/m)</f>
        <v>57.3001082373603</v>
      </c>
    </row>
    <row r="237" customFormat="false" ht="12" hidden="false" customHeight="false" outlineLevel="0" collapsed="false">
      <c r="A237" s="416" t="n">
        <f aca="false">IF(B236+0.01&lt;=T_ini+ROUNDUP(Temps_fin_propu,0), 0.01, IF(K236&gt;0, 0.1, 0.0001))</f>
        <v>0.01</v>
      </c>
      <c r="B237" s="417" t="n">
        <f aca="false">B236+pas</f>
        <v>2.32999999999999</v>
      </c>
      <c r="C237" s="401"/>
      <c r="D237" s="418" t="n">
        <f aca="false">IF(AND(L236&lt;L_rampe,Poussee&lt;Poids*SIN(M236)),0,(-W236+Poussee)/m*COS(M236)-U236/m*SIN(M236))</f>
        <v>12.4195053372587</v>
      </c>
      <c r="E237" s="419" t="n">
        <f aca="false">IF(AND(L236&lt;L_rampe,Poussee&lt;Poids*SIN(M236)),0,(-W236+Poussee)/m*SIN(M236)+U236/m*COS(M236)-Poids/m)</f>
        <v>45.8739719319429</v>
      </c>
      <c r="F237" s="417" t="n">
        <f aca="false">SQRT(acc_x^2+acc_z^2)</f>
        <v>47.5254186055723</v>
      </c>
      <c r="G237" s="418" t="n">
        <f aca="false">G236+acc_x*pas</f>
        <v>36.9316111640383</v>
      </c>
      <c r="H237" s="419" t="n">
        <f aca="false">H236+acc_z*pas</f>
        <v>165.488108436999</v>
      </c>
      <c r="I237" s="417" t="n">
        <f aca="false">SQRT(vit_x^2+vit_z^2)</f>
        <v>169.559010191814</v>
      </c>
      <c r="J237" s="418" t="n">
        <f aca="false">J236+0.5*(vit_x+G236)*pas*(K236&gt;=0)</f>
        <v>44.486403296465</v>
      </c>
      <c r="K237" s="419" t="n">
        <f aca="false">K236+0.5*(vit_z+H236)*pas</f>
        <v>212.222111200213</v>
      </c>
      <c r="L237" s="417" t="n">
        <f aca="false">SQRT(pos_x^2+pos_z^2)</f>
        <v>216.834647970594</v>
      </c>
      <c r="M237" s="418" t="n">
        <f aca="false">IF(AND(L236&gt;L_rampe,G237&gt;0),ATAN2(G237,H237),$M$4)</f>
        <v>1.35122651564823</v>
      </c>
      <c r="N237" s="417" t="n">
        <f aca="false">DEGREES(Beta)</f>
        <v>77.4195765128117</v>
      </c>
      <c r="O237" s="401"/>
      <c r="P237" s="420" t="n">
        <f aca="false">MATCH(t-pas/2-T_ini,CdP_t)</f>
        <v>6</v>
      </c>
      <c r="Q237" s="417" t="n">
        <f aca="false">(INDEX(CdP,2,i_P+1)-INDEX(CdP,2,i_P+0))/(INDEX(CdP,1,i_P+1)-INDEX(CdP,1,i_P+0))*(t-pas/2-T_ini-INDEX(CdP,1,i_P+0))+INDEX(CdP,2,i_P+0)</f>
        <v>538.550000000001</v>
      </c>
      <c r="R237" s="418" t="n">
        <f aca="false">Poussee/(g*ISP)</f>
        <v>0.270273153028854</v>
      </c>
      <c r="S237" s="419" t="n">
        <f aca="false">S236-Débit*pas</f>
        <v>7.59135780743986</v>
      </c>
      <c r="T237" s="417" t="n">
        <f aca="false">m*g</f>
        <v>74.471220090985</v>
      </c>
      <c r="U237" s="421" t="n">
        <f aca="false">IF(pos_xz&lt;L_rampe,Poids*COS(Beta),0)</f>
        <v>0</v>
      </c>
      <c r="V237" s="418" t="n">
        <f aca="false">Rho_moyen*(20000-Alt_rampe-pos_z)/(20000+Alt_rampe+pos_z)</f>
        <v>1.19927575406702</v>
      </c>
      <c r="W237" s="417" t="n">
        <f aca="false">1/2*Rho*Sref*Cx*vit_xz^2</f>
        <v>106.02212660727</v>
      </c>
      <c r="X237" s="401"/>
      <c r="Y237" s="422" t="str">
        <f aca="false">IF(AND(pos_z&lt;=0,K236&gt;0),"Impact balistique","") &amp; IF(AND(H238&lt;0,vit_z&gt;=0),"Apogée","") &amp; IF(AND(Poussee=0,Q236&gt;0),"Fin de propulsion","") &amp; IF(AND(L238&gt;L_rampe,pos_xz&lt;=L_rampe),"Sortie de rampe","")</f>
        <v/>
      </c>
      <c r="Z237" s="423" t="str">
        <f aca="false">IF(ABS(t-T_para)&lt;pas/2,"Para","")</f>
        <v/>
      </c>
      <c r="AA237" s="424" t="str">
        <f aca="false">IF(ABS(t-T_satellite)&lt;pas/2,"Satellite","")</f>
        <v/>
      </c>
      <c r="AB237" s="412"/>
      <c r="AC237" s="420" t="e">
        <f aca="false">IF(ABS(t-ROUND(t,0))&lt;0.001,t,NA())</f>
        <v>#N/A</v>
      </c>
      <c r="AD237" s="425" t="e">
        <f aca="false">IF(ABS(t-ROUND(t,0))&lt;0.001,pos_x,NA())</f>
        <v>#N/A</v>
      </c>
      <c r="AE237" s="426" t="n">
        <f aca="false">IF(t&lt;T_para, pos_z, NA())</f>
        <v>212.222111200213</v>
      </c>
      <c r="AF237" s="412"/>
      <c r="AG237" s="418" t="n">
        <f aca="false">IF(AND(L236&lt;L_rampe,Poussee&lt;Poids*SIN(M236)),0,(-W236+Poussee)/m-Poids*SIN(M236)/m)</f>
        <v>47.4774158817404</v>
      </c>
      <c r="AH237" s="417" t="n">
        <f aca="false">IF(AND(L236&lt;L_rampe,Poussee&lt;Poids*SIN(M236)), g*SIN(M236), (-W236+Poussee)/m)</f>
        <v>57.0521589682599</v>
      </c>
    </row>
    <row r="238" customFormat="false" ht="12" hidden="false" customHeight="false" outlineLevel="0" collapsed="false">
      <c r="A238" s="416" t="n">
        <f aca="false">IF(B237+0.01&lt;=T_ini+ROUNDUP(Temps_fin_propu,0), 0.01, IF(K237&gt;0, 0.1, 0.0001))</f>
        <v>0.01</v>
      </c>
      <c r="B238" s="417" t="n">
        <f aca="false">B237+pas</f>
        <v>2.33999999999999</v>
      </c>
      <c r="C238" s="401"/>
      <c r="D238" s="418" t="n">
        <f aca="false">IF(AND(L237&lt;L_rampe,Poussee&lt;Poids*SIN(M237)),0,(-W237+Poussee)/m*COS(M237)-U237/m*SIN(M237))</f>
        <v>12.3725097843575</v>
      </c>
      <c r="E238" s="419" t="n">
        <f aca="false">IF(AND(L237&lt;L_rampe,Poussee&lt;Poids*SIN(M237)),0,(-W237+Poussee)/m*SIN(M237)+U237/m*COS(M237)-Poids/m)</f>
        <v>45.6303985176071</v>
      </c>
      <c r="F238" s="417" t="n">
        <f aca="false">SQRT(acc_x^2+acc_z^2)</f>
        <v>47.2780315499668</v>
      </c>
      <c r="G238" s="418" t="n">
        <f aca="false">G237+acc_x*pas</f>
        <v>37.0553362618819</v>
      </c>
      <c r="H238" s="419" t="n">
        <f aca="false">H237+acc_z*pas</f>
        <v>165.944412422175</v>
      </c>
      <c r="I238" s="417" t="n">
        <f aca="false">SQRT(vit_x^2+vit_z^2)</f>
        <v>170.031308762893</v>
      </c>
      <c r="J238" s="418" t="n">
        <f aca="false">J237+0.5*(vit_x+G237)*pas*(K237&gt;=0)</f>
        <v>44.8563380335946</v>
      </c>
      <c r="K238" s="419" t="n">
        <f aca="false">K237+0.5*(vit_z+H237)*pas</f>
        <v>213.879273804509</v>
      </c>
      <c r="L238" s="417" t="n">
        <f aca="false">SQRT(pos_x^2+pos_z^2)</f>
        <v>218.532457142934</v>
      </c>
      <c r="M238" s="418" t="n">
        <f aca="false">IF(AND(L237&gt;L_rampe,G238&gt;0),ATAN2(G238,H238),$M$4)</f>
        <v>1.35110084973474</v>
      </c>
      <c r="N238" s="417" t="n">
        <f aca="false">DEGREES(Beta)</f>
        <v>77.4123763863397</v>
      </c>
      <c r="O238" s="401"/>
      <c r="P238" s="420" t="n">
        <f aca="false">MATCH(t-pas/2-T_ini,CdP_t)</f>
        <v>6</v>
      </c>
      <c r="Q238" s="417" t="n">
        <f aca="false">(INDEX(CdP,2,i_P+1)-INDEX(CdP,2,i_P+0))/(INDEX(CdP,1,i_P+1)-INDEX(CdP,1,i_P+0))*(t-pas/2-T_ini-INDEX(CdP,1,i_P+0))+INDEX(CdP,2,i_P+0)</f>
        <v>537.090000000001</v>
      </c>
      <c r="R238" s="418" t="n">
        <f aca="false">Poussee/(g*ISP)</f>
        <v>0.269540447052766</v>
      </c>
      <c r="S238" s="419" t="n">
        <f aca="false">S237-Débit*pas</f>
        <v>7.58866240296933</v>
      </c>
      <c r="T238" s="417" t="n">
        <f aca="false">m*g</f>
        <v>74.4447781731292</v>
      </c>
      <c r="U238" s="421" t="n">
        <f aca="false">IF(pos_xz&lt;L_rampe,Poids*COS(Beta),0)</f>
        <v>0</v>
      </c>
      <c r="V238" s="418" t="n">
        <f aca="false">Rho_moyen*(20000-Alt_rampe-pos_z)/(20000+Alt_rampe+pos_z)</f>
        <v>1.19907700848891</v>
      </c>
      <c r="W238" s="417" t="n">
        <f aca="false">1/2*Rho*Sref*Cx*vit_xz^2</f>
        <v>106.5959202579</v>
      </c>
      <c r="X238" s="401"/>
      <c r="Y238" s="422" t="str">
        <f aca="false">IF(AND(pos_z&lt;=0,K237&gt;0),"Impact balistique","") &amp; IF(AND(H239&lt;0,vit_z&gt;=0),"Apogée","") &amp; IF(AND(Poussee=0,Q237&gt;0),"Fin de propulsion","") &amp; IF(AND(L239&gt;L_rampe,pos_xz&lt;=L_rampe),"Sortie de rampe","")</f>
        <v/>
      </c>
      <c r="Z238" s="423" t="str">
        <f aca="false">IF(ABS(t-T_para)&lt;pas/2,"Para","")</f>
        <v/>
      </c>
      <c r="AA238" s="424" t="str">
        <f aca="false">IF(ABS(t-T_satellite)&lt;pas/2,"Satellite","")</f>
        <v/>
      </c>
      <c r="AB238" s="412"/>
      <c r="AC238" s="420" t="e">
        <f aca="false">IF(ABS(t-ROUND(t,0))&lt;0.001,t,NA())</f>
        <v>#N/A</v>
      </c>
      <c r="AD238" s="425" t="e">
        <f aca="false">IF(ABS(t-ROUND(t,0))&lt;0.001,pos_x,NA())</f>
        <v>#N/A</v>
      </c>
      <c r="AE238" s="426" t="n">
        <f aca="false">IF(t&lt;T_para, pos_z, NA())</f>
        <v>213.879273804509</v>
      </c>
      <c r="AF238" s="412"/>
      <c r="AG238" s="418" t="n">
        <f aca="false">IF(AND(L237&lt;L_rampe,Poussee&lt;Poids*SIN(M237)),0,(-W237+Poussee)/m-Poids*SIN(M237)/m)</f>
        <v>47.229722851797</v>
      </c>
      <c r="AH238" s="417" t="n">
        <f aca="false">IF(AND(L237&lt;L_rampe,Poussee&lt;Poids*SIN(M237)), g*SIN(M237), (-W237+Poussee)/m)</f>
        <v>56.8041969061716</v>
      </c>
    </row>
    <row r="239" customFormat="false" ht="12" hidden="false" customHeight="false" outlineLevel="0" collapsed="false">
      <c r="A239" s="416" t="n">
        <f aca="false">IF(B238+0.01&lt;=T_ini+ROUNDUP(Temps_fin_propu,0), 0.01, IF(K238&gt;0, 0.1, 0.0001))</f>
        <v>0.01</v>
      </c>
      <c r="B239" s="417" t="n">
        <f aca="false">B238+pas</f>
        <v>2.34999999999999</v>
      </c>
      <c r="C239" s="401"/>
      <c r="D239" s="418" t="n">
        <f aca="false">IF(AND(L238&lt;L_rampe,Poussee&lt;Poids*SIN(M238)),0,(-W238+Poussee)/m*COS(M238)-U238/m*SIN(M238))</f>
        <v>12.3254357918119</v>
      </c>
      <c r="E239" s="419" t="n">
        <f aca="false">IF(AND(L238&lt;L_rampe,Poussee&lt;Poids*SIN(M238)),0,(-W238+Poussee)/m*SIN(M238)+U238/m*COS(M238)-Poids/m)</f>
        <v>45.3868328087599</v>
      </c>
      <c r="F239" s="417" t="n">
        <f aca="false">SQRT(acc_x^2+acc_z^2)</f>
        <v>47.0306385228651</v>
      </c>
      <c r="G239" s="418" t="n">
        <f aca="false">G238+acc_x*pas</f>
        <v>37.1785906198</v>
      </c>
      <c r="H239" s="419" t="n">
        <f aca="false">H238+acc_z*pas</f>
        <v>166.398280750263</v>
      </c>
      <c r="I239" s="417" t="n">
        <f aca="false">SQRT(vit_x^2+vit_z^2)</f>
        <v>170.501130310383</v>
      </c>
      <c r="J239" s="418" t="n">
        <f aca="false">J238+0.5*(vit_x+G238)*pas*(K238&gt;=0)</f>
        <v>45.227507668003</v>
      </c>
      <c r="K239" s="419" t="n">
        <f aca="false">K238+0.5*(vit_z+H238)*pas</f>
        <v>215.540987270371</v>
      </c>
      <c r="L239" s="417" t="n">
        <f aca="false">SQRT(pos_x^2+pos_z^2)</f>
        <v>220.234975976445</v>
      </c>
      <c r="M239" s="418" t="n">
        <f aca="false">IF(AND(L238&gt;L_rampe,G239&gt;0),ATAN2(G239,H239),$M$4)</f>
        <v>1.35097545953128</v>
      </c>
      <c r="N239" s="417" t="n">
        <f aca="false">DEGREES(Beta)</f>
        <v>77.4051920568891</v>
      </c>
      <c r="O239" s="401"/>
      <c r="P239" s="420" t="n">
        <f aca="false">MATCH(t-pas/2-T_ini,CdP_t)</f>
        <v>6</v>
      </c>
      <c r="Q239" s="417" t="n">
        <f aca="false">(INDEX(CdP,2,i_P+1)-INDEX(CdP,2,i_P+0))/(INDEX(CdP,1,i_P+1)-INDEX(CdP,1,i_P+0))*(t-pas/2-T_ini-INDEX(CdP,1,i_P+0))+INDEX(CdP,2,i_P+0)</f>
        <v>535.630000000001</v>
      </c>
      <c r="R239" s="418" t="n">
        <f aca="false">Poussee/(g*ISP)</f>
        <v>0.268807741076678</v>
      </c>
      <c r="S239" s="419" t="n">
        <f aca="false">S238-Débit*pas</f>
        <v>7.58597432555857</v>
      </c>
      <c r="T239" s="417" t="n">
        <f aca="false">m*g</f>
        <v>74.4184081337295</v>
      </c>
      <c r="U239" s="421" t="n">
        <f aca="false">IF(pos_xz&lt;L_rampe,Poids*COS(Beta),0)</f>
        <v>0</v>
      </c>
      <c r="V239" s="418" t="n">
        <f aca="false">Rho_moyen*(20000-Alt_rampe-pos_z)/(20000+Alt_rampe+pos_z)</f>
        <v>1.19887774983885</v>
      </c>
      <c r="W239" s="417" t="n">
        <f aca="false">1/2*Rho*Sref*Cx*vit_xz^2</f>
        <v>107.168002785084</v>
      </c>
      <c r="X239" s="401"/>
      <c r="Y239" s="422" t="str">
        <f aca="false">IF(AND(pos_z&lt;=0,K238&gt;0),"Impact balistique","") &amp; IF(AND(H240&lt;0,vit_z&gt;=0),"Apogée","") &amp; IF(AND(Poussee=0,Q238&gt;0),"Fin de propulsion","") &amp; IF(AND(L240&gt;L_rampe,pos_xz&lt;=L_rampe),"Sortie de rampe","")</f>
        <v/>
      </c>
      <c r="Z239" s="423" t="str">
        <f aca="false">IF(ABS(t-T_para)&lt;pas/2,"Para","")</f>
        <v/>
      </c>
      <c r="AA239" s="424" t="str">
        <f aca="false">IF(ABS(t-T_satellite)&lt;pas/2,"Satellite","")</f>
        <v/>
      </c>
      <c r="AB239" s="412"/>
      <c r="AC239" s="420" t="e">
        <f aca="false">IF(ABS(t-ROUND(t,0))&lt;0.001,t,NA())</f>
        <v>#N/A</v>
      </c>
      <c r="AD239" s="425" t="e">
        <f aca="false">IF(ABS(t-ROUND(t,0))&lt;0.001,pos_x,NA())</f>
        <v>#N/A</v>
      </c>
      <c r="AE239" s="426" t="n">
        <f aca="false">IF(t&lt;T_para, pos_z, NA())</f>
        <v>215.540987270371</v>
      </c>
      <c r="AF239" s="412"/>
      <c r="AG239" s="418" t="n">
        <f aca="false">IF(AND(L238&lt;L_rampe,Poussee&lt;Poids*SIN(M238)),0,(-W238+Poussee)/m-Poids*SIN(M238)/m)</f>
        <v>46.982020712037</v>
      </c>
      <c r="AH239" s="417" t="n">
        <f aca="false">IF(AND(L238&lt;L_rampe,Poussee&lt;Poids*SIN(M238)), g*SIN(M238), (-W238+Poussee)/m)</f>
        <v>56.5562261787</v>
      </c>
    </row>
    <row r="240" customFormat="false" ht="12" hidden="false" customHeight="false" outlineLevel="0" collapsed="false">
      <c r="A240" s="416" t="n">
        <f aca="false">IF(B239+0.01&lt;=T_ini+ROUNDUP(Temps_fin_propu,0), 0.01, IF(K239&gt;0, 0.1, 0.0001))</f>
        <v>0.01</v>
      </c>
      <c r="B240" s="417" t="n">
        <f aca="false">B239+pas</f>
        <v>2.35999999999999</v>
      </c>
      <c r="C240" s="401"/>
      <c r="D240" s="418" t="n">
        <f aca="false">IF(AND(L239&lt;L_rampe,Poussee&lt;Poids*SIN(M239)),0,(-W239+Poussee)/m*COS(M239)-U239/m*SIN(M239))</f>
        <v>12.2782846341982</v>
      </c>
      <c r="E240" s="419" t="n">
        <f aca="false">IF(AND(L239&lt;L_rampe,Poussee&lt;Poids*SIN(M239)),0,(-W239+Poussee)/m*SIN(M239)+U239/m*COS(M239)-Poids/m)</f>
        <v>45.1432787454528</v>
      </c>
      <c r="F240" s="417" t="n">
        <f aca="false">SQRT(acc_x^2+acc_z^2)</f>
        <v>46.783243682413</v>
      </c>
      <c r="G240" s="418" t="n">
        <f aca="false">G239+acc_x*pas</f>
        <v>37.301373466142</v>
      </c>
      <c r="H240" s="419" t="n">
        <f aca="false">H239+acc_z*pas</f>
        <v>166.849713537718</v>
      </c>
      <c r="I240" s="417" t="n">
        <f aca="false">SQRT(vit_x^2+vit_z^2)</f>
        <v>170.968474784327</v>
      </c>
      <c r="J240" s="418" t="n">
        <f aca="false">J239+0.5*(vit_x+G239)*pas*(K239&gt;=0)</f>
        <v>45.5999074884327</v>
      </c>
      <c r="K240" s="419" t="n">
        <f aca="false">K239+0.5*(vit_z+H239)*pas</f>
        <v>217.207227241811</v>
      </c>
      <c r="L240" s="417" t="n">
        <f aca="false">SQRT(pos_x^2+pos_z^2)</f>
        <v>221.942179697842</v>
      </c>
      <c r="M240" s="418" t="n">
        <f aca="false">IF(AND(L239&gt;L_rampe,G240&gt;0),ATAN2(G240,H240),$M$4)</f>
        <v>1.3508503418662</v>
      </c>
      <c r="N240" s="417" t="n">
        <f aca="false">DEGREES(Beta)</f>
        <v>77.3980233427374</v>
      </c>
      <c r="O240" s="401"/>
      <c r="P240" s="420" t="n">
        <f aca="false">MATCH(t-pas/2-T_ini,CdP_t)</f>
        <v>6</v>
      </c>
      <c r="Q240" s="417" t="n">
        <f aca="false">(INDEX(CdP,2,i_P+1)-INDEX(CdP,2,i_P+0))/(INDEX(CdP,1,i_P+1)-INDEX(CdP,1,i_P+0))*(t-pas/2-T_ini-INDEX(CdP,1,i_P+0))+INDEX(CdP,2,i_P+0)</f>
        <v>534.170000000001</v>
      </c>
      <c r="R240" s="418" t="n">
        <f aca="false">Poussee/(g*ISP)</f>
        <v>0.26807503510059</v>
      </c>
      <c r="S240" s="419" t="n">
        <f aca="false">S239-Débit*pas</f>
        <v>7.58329357520756</v>
      </c>
      <c r="T240" s="417" t="n">
        <f aca="false">m*g</f>
        <v>74.3921099727862</v>
      </c>
      <c r="U240" s="421" t="n">
        <f aca="false">IF(pos_xz&lt;L_rampe,Poids*COS(Beta),0)</f>
        <v>0</v>
      </c>
      <c r="V240" s="418" t="n">
        <f aca="false">Rho_moyen*(20000-Alt_rampe-pos_z)/(20000+Alt_rampe+pos_z)</f>
        <v>1.19867798129776</v>
      </c>
      <c r="W240" s="417" t="n">
        <f aca="false">1/2*Rho*Sref*Cx*vit_xz^2</f>
        <v>107.738348650428</v>
      </c>
      <c r="X240" s="401"/>
      <c r="Y240" s="422" t="str">
        <f aca="false">IF(AND(pos_z&lt;=0,K239&gt;0),"Impact balistique","") &amp; IF(AND(H241&lt;0,vit_z&gt;=0),"Apogée","") &amp; IF(AND(Poussee=0,Q239&gt;0),"Fin de propulsion","") &amp; IF(AND(L241&gt;L_rampe,pos_xz&lt;=L_rampe),"Sortie de rampe","")</f>
        <v/>
      </c>
      <c r="Z240" s="423" t="str">
        <f aca="false">IF(ABS(t-T_para)&lt;pas/2,"Para","")</f>
        <v/>
      </c>
      <c r="AA240" s="424" t="str">
        <f aca="false">IF(ABS(t-T_satellite)&lt;pas/2,"Satellite","")</f>
        <v/>
      </c>
      <c r="AB240" s="412"/>
      <c r="AC240" s="420" t="e">
        <f aca="false">IF(ABS(t-ROUND(t,0))&lt;0.001,t,NA())</f>
        <v>#N/A</v>
      </c>
      <c r="AD240" s="425" t="e">
        <f aca="false">IF(ABS(t-ROUND(t,0))&lt;0.001,pos_x,NA())</f>
        <v>#N/A</v>
      </c>
      <c r="AE240" s="426" t="n">
        <f aca="false">IF(t&lt;T_para, pos_z, NA())</f>
        <v>217.207227241811</v>
      </c>
      <c r="AF240" s="412"/>
      <c r="AG240" s="418" t="n">
        <f aca="false">IF(AND(L239&lt;L_rampe,Poussee&lt;Poids*SIN(M239)),0,(-W239+Poussee)/m-Poids*SIN(M239)/m)</f>
        <v>46.7343135737338</v>
      </c>
      <c r="AH240" s="417" t="n">
        <f aca="false">IF(AND(L239&lt;L_rampe,Poussee&lt;Poids*SIN(M239)), g*SIN(M239), (-W239+Poussee)/m)</f>
        <v>56.3082508912665</v>
      </c>
    </row>
    <row r="241" customFormat="false" ht="12" hidden="false" customHeight="false" outlineLevel="0" collapsed="false">
      <c r="A241" s="416" t="n">
        <f aca="false">IF(B240+0.01&lt;=T_ini+ROUNDUP(Temps_fin_propu,0), 0.01, IF(K240&gt;0, 0.1, 0.0001))</f>
        <v>0.01</v>
      </c>
      <c r="B241" s="417" t="n">
        <f aca="false">B240+pas</f>
        <v>2.36999999999999</v>
      </c>
      <c r="C241" s="401"/>
      <c r="D241" s="418" t="n">
        <f aca="false">IF(AND(L240&lt;L_rampe,Poussee&lt;Poids*SIN(M240)),0,(-W240+Poussee)/m*COS(M240)-U240/m*SIN(M240))</f>
        <v>12.2310575780952</v>
      </c>
      <c r="E241" s="419" t="n">
        <f aca="false">IF(AND(L240&lt;L_rampe,Poussee&lt;Poids*SIN(M240)),0,(-W240+Poussee)/m*SIN(M240)+U240/m*COS(M240)-Poids/m)</f>
        <v>44.8997402464519</v>
      </c>
      <c r="F241" s="417" t="n">
        <f aca="false">SQRT(acc_x^2+acc_z^2)</f>
        <v>46.5358511652847</v>
      </c>
      <c r="G241" s="418" t="n">
        <f aca="false">G240+acc_x*pas</f>
        <v>37.423684041923</v>
      </c>
      <c r="H241" s="419" t="n">
        <f aca="false">H240+acc_z*pas</f>
        <v>167.298710940182</v>
      </c>
      <c r="I241" s="417" t="n">
        <f aca="false">SQRT(vit_x^2+vit_z^2)</f>
        <v>171.433342175658</v>
      </c>
      <c r="J241" s="418" t="n">
        <f aca="false">J240+0.5*(vit_x+G240)*pas*(K240&gt;=0)</f>
        <v>45.9735327759731</v>
      </c>
      <c r="K241" s="419" t="n">
        <f aca="false">K240+0.5*(vit_z+H240)*pas</f>
        <v>218.8779693642</v>
      </c>
      <c r="L241" s="417" t="n">
        <f aca="false">SQRT(pos_x^2+pos_z^2)</f>
        <v>223.654043533533</v>
      </c>
      <c r="M241" s="418" t="n">
        <f aca="false">IF(AND(L240&gt;L_rampe,G241&gt;0),ATAN2(G241,H241),$M$4)</f>
        <v>1.3507254936038</v>
      </c>
      <c r="N241" s="417" t="n">
        <f aca="false">DEGREES(Beta)</f>
        <v>77.3908700642228</v>
      </c>
      <c r="O241" s="401"/>
      <c r="P241" s="420" t="n">
        <f aca="false">MATCH(t-pas/2-T_ini,CdP_t)</f>
        <v>6</v>
      </c>
      <c r="Q241" s="417" t="n">
        <f aca="false">(INDEX(CdP,2,i_P+1)-INDEX(CdP,2,i_P+0))/(INDEX(CdP,1,i_P+1)-INDEX(CdP,1,i_P+0))*(t-pas/2-T_ini-INDEX(CdP,1,i_P+0))+INDEX(CdP,2,i_P+0)</f>
        <v>532.710000000001</v>
      </c>
      <c r="R241" s="418" t="n">
        <f aca="false">Poussee/(g*ISP)</f>
        <v>0.267342329124502</v>
      </c>
      <c r="S241" s="419" t="n">
        <f aca="false">S240-Débit*pas</f>
        <v>7.58062015191632</v>
      </c>
      <c r="T241" s="417" t="n">
        <f aca="false">m*g</f>
        <v>74.3658836902991</v>
      </c>
      <c r="U241" s="421" t="n">
        <f aca="false">IF(pos_xz&lt;L_rampe,Poids*COS(Beta),0)</f>
        <v>0</v>
      </c>
      <c r="V241" s="418" t="n">
        <f aca="false">Rho_moyen*(20000-Alt_rampe-pos_z)/(20000+Alt_rampe+pos_z)</f>
        <v>1.19847770604507</v>
      </c>
      <c r="W241" s="417" t="n">
        <f aca="false">1/2*Rho*Sref*Cx*vit_xz^2</f>
        <v>108.306932529295</v>
      </c>
      <c r="X241" s="401"/>
      <c r="Y241" s="422" t="str">
        <f aca="false">IF(AND(pos_z&lt;=0,K240&gt;0),"Impact balistique","") &amp; IF(AND(H242&lt;0,vit_z&gt;=0),"Apogée","") &amp; IF(AND(Poussee=0,Q240&gt;0),"Fin de propulsion","") &amp; IF(AND(L242&gt;L_rampe,pos_xz&lt;=L_rampe),"Sortie de rampe","")</f>
        <v/>
      </c>
      <c r="Z241" s="423" t="str">
        <f aca="false">IF(ABS(t-T_para)&lt;pas/2,"Para","")</f>
        <v/>
      </c>
      <c r="AA241" s="424" t="str">
        <f aca="false">IF(ABS(t-T_satellite)&lt;pas/2,"Satellite","")</f>
        <v/>
      </c>
      <c r="AB241" s="412"/>
      <c r="AC241" s="420" t="e">
        <f aca="false">IF(ABS(t-ROUND(t,0))&lt;0.001,t,NA())</f>
        <v>#N/A</v>
      </c>
      <c r="AD241" s="425" t="e">
        <f aca="false">IF(ABS(t-ROUND(t,0))&lt;0.001,pos_x,NA())</f>
        <v>#N/A</v>
      </c>
      <c r="AE241" s="426" t="n">
        <f aca="false">IF(t&lt;T_para, pos_z, NA())</f>
        <v>218.8779693642</v>
      </c>
      <c r="AF241" s="412"/>
      <c r="AG241" s="418" t="n">
        <f aca="false">IF(AND(L240&lt;L_rampe,Poussee&lt;Poids*SIN(M240)),0,(-W240+Poussee)/m-Poids*SIN(M240)/m)</f>
        <v>46.4866055257892</v>
      </c>
      <c r="AH241" s="417" t="n">
        <f aca="false">IF(AND(L240&lt;L_rampe,Poussee&lt;Poids*SIN(M240)), g*SIN(M240), (-W240+Poussee)/m)</f>
        <v>56.060275126982</v>
      </c>
    </row>
    <row r="242" customFormat="false" ht="12" hidden="false" customHeight="false" outlineLevel="0" collapsed="false">
      <c r="A242" s="416" t="n">
        <f aca="false">IF(B241+0.01&lt;=T_ini+ROUNDUP(Temps_fin_propu,0), 0.01, IF(K241&gt;0, 0.1, 0.0001))</f>
        <v>0.01</v>
      </c>
      <c r="B242" s="417" t="n">
        <f aca="false">B241+pas</f>
        <v>2.37999999999999</v>
      </c>
      <c r="C242" s="401"/>
      <c r="D242" s="418" t="n">
        <f aca="false">IF(AND(L241&lt;L_rampe,Poussee&lt;Poids*SIN(M241)),0,(-W241+Poussee)/m*COS(M241)-U241/m*SIN(M241))</f>
        <v>12.1837558821116</v>
      </c>
      <c r="E242" s="419" t="n">
        <f aca="false">IF(AND(L241&lt;L_rampe,Poussee&lt;Poids*SIN(M241)),0,(-W241+Poussee)/m*SIN(M241)+U241/m*COS(M241)-Poids/m)</f>
        <v>44.6562212091076</v>
      </c>
      <c r="F242" s="417" t="n">
        <f aca="false">SQRT(acc_x^2+acc_z^2)</f>
        <v>46.2884650865811</v>
      </c>
      <c r="G242" s="418" t="n">
        <f aca="false">G241+acc_x*pas</f>
        <v>37.5455216007441</v>
      </c>
      <c r="H242" s="419" t="n">
        <f aca="false">H241+acc_z*pas</f>
        <v>167.745273152273</v>
      </c>
      <c r="I242" s="417" t="n">
        <f aca="false">SQRT(vit_x^2+vit_z^2)</f>
        <v>171.895732515972</v>
      </c>
      <c r="J242" s="418" t="n">
        <f aca="false">J241+0.5*(vit_x+G241)*pas*(K241&gt;=0)</f>
        <v>46.3483788041864</v>
      </c>
      <c r="K242" s="419" t="n">
        <f aca="false">K241+0.5*(vit_z+H241)*pas</f>
        <v>220.553189284663</v>
      </c>
      <c r="L242" s="417" t="n">
        <f aca="false">SQRT(pos_x^2+pos_z^2)</f>
        <v>225.370542710028</v>
      </c>
      <c r="M242" s="418" t="n">
        <f aca="false">IF(AND(L241&gt;L_rampe,G242&gt;0),ATAN2(G242,H242),$M$4)</f>
        <v>1.35060091164376</v>
      </c>
      <c r="N242" s="417" t="n">
        <f aca="false">DEGREES(Beta)</f>
        <v>77.383732043709</v>
      </c>
      <c r="O242" s="401"/>
      <c r="P242" s="420" t="n">
        <f aca="false">MATCH(t-pas/2-T_ini,CdP_t)</f>
        <v>6</v>
      </c>
      <c r="Q242" s="417" t="n">
        <f aca="false">(INDEX(CdP,2,i_P+1)-INDEX(CdP,2,i_P+0))/(INDEX(CdP,1,i_P+1)-INDEX(CdP,1,i_P+0))*(t-pas/2-T_ini-INDEX(CdP,1,i_P+0))+INDEX(CdP,2,i_P+0)</f>
        <v>531.250000000001</v>
      </c>
      <c r="R242" s="418" t="n">
        <f aca="false">Poussee/(g*ISP)</f>
        <v>0.266609623148415</v>
      </c>
      <c r="S242" s="419" t="n">
        <f aca="false">S241-Débit*pas</f>
        <v>7.57795405568483</v>
      </c>
      <c r="T242" s="417" t="n">
        <f aca="false">m*g</f>
        <v>74.3397292862682</v>
      </c>
      <c r="U242" s="421" t="n">
        <f aca="false">IF(pos_xz&lt;L_rampe,Poids*COS(Beta),0)</f>
        <v>0</v>
      </c>
      <c r="V242" s="418" t="n">
        <f aca="false">Rho_moyen*(20000-Alt_rampe-pos_z)/(20000+Alt_rampe+pos_z)</f>
        <v>1.19827692725866</v>
      </c>
      <c r="W242" s="417" t="n">
        <f aca="false">1/2*Rho*Sref*Cx*vit_xz^2</f>
        <v>108.873729311129</v>
      </c>
      <c r="X242" s="401"/>
      <c r="Y242" s="422" t="str">
        <f aca="false">IF(AND(pos_z&lt;=0,K241&gt;0),"Impact balistique","") &amp; IF(AND(H243&lt;0,vit_z&gt;=0),"Apogée","") &amp; IF(AND(Poussee=0,Q241&gt;0),"Fin de propulsion","") &amp; IF(AND(L243&gt;L_rampe,pos_xz&lt;=L_rampe),"Sortie de rampe","")</f>
        <v/>
      </c>
      <c r="Z242" s="423" t="str">
        <f aca="false">IF(ABS(t-T_para)&lt;pas/2,"Para","")</f>
        <v/>
      </c>
      <c r="AA242" s="424" t="str">
        <f aca="false">IF(ABS(t-T_satellite)&lt;pas/2,"Satellite","")</f>
        <v/>
      </c>
      <c r="AB242" s="412"/>
      <c r="AC242" s="420" t="e">
        <f aca="false">IF(ABS(t-ROUND(t,0))&lt;0.001,t,NA())</f>
        <v>#N/A</v>
      </c>
      <c r="AD242" s="425" t="e">
        <f aca="false">IF(ABS(t-ROUND(t,0))&lt;0.001,pos_x,NA())</f>
        <v>#N/A</v>
      </c>
      <c r="AE242" s="426" t="n">
        <f aca="false">IF(t&lt;T_para, pos_z, NA())</f>
        <v>220.553189284663</v>
      </c>
      <c r="AF242" s="412"/>
      <c r="AG242" s="418" t="n">
        <f aca="false">IF(AND(L241&lt;L_rampe,Poussee&lt;Poids*SIN(M241)),0,(-W241+Poussee)/m-Poids*SIN(M241)/m)</f>
        <v>46.2389006346102</v>
      </c>
      <c r="AH242" s="417" t="n">
        <f aca="false">IF(AND(L241&lt;L_rampe,Poussee&lt;Poids*SIN(M241)), g*SIN(M241), (-W241+Poussee)/m)</f>
        <v>55.8123029465218</v>
      </c>
    </row>
    <row r="243" customFormat="false" ht="12" hidden="false" customHeight="false" outlineLevel="0" collapsed="false">
      <c r="A243" s="416" t="n">
        <f aca="false">IF(B242+0.01&lt;=T_ini+ROUNDUP(Temps_fin_propu,0), 0.01, IF(K242&gt;0, 0.1, 0.0001))</f>
        <v>0.01</v>
      </c>
      <c r="B243" s="417" t="n">
        <f aca="false">B242+pas</f>
        <v>2.38999999999999</v>
      </c>
      <c r="C243" s="401"/>
      <c r="D243" s="418" t="n">
        <f aca="false">IF(AND(L242&lt;L_rampe,Poussee&lt;Poids*SIN(M242)),0,(-W242+Poussee)/m*COS(M242)-U242/m*SIN(M242))</f>
        <v>12.1363807969115</v>
      </c>
      <c r="E243" s="419" t="n">
        <f aca="false">IF(AND(L242&lt;L_rampe,Poussee&lt;Poids*SIN(M242)),0,(-W242+Poussee)/m*SIN(M242)+U242/m*COS(M242)-Poids/m)</f>
        <v>44.4127255092277</v>
      </c>
      <c r="F243" s="417" t="n">
        <f aca="false">SQRT(acc_x^2+acc_z^2)</f>
        <v>46.0410895397323</v>
      </c>
      <c r="G243" s="418" t="n">
        <f aca="false">G242+acc_x*pas</f>
        <v>37.6668854087132</v>
      </c>
      <c r="H243" s="419" t="n">
        <f aca="false">H242+acc_z*pas</f>
        <v>168.189400407365</v>
      </c>
      <c r="I243" s="417" t="n">
        <f aca="false">SQRT(vit_x^2+vit_z^2)</f>
        <v>172.355645877303</v>
      </c>
      <c r="J243" s="418" t="n">
        <f aca="false">J242+0.5*(vit_x+G242)*pas*(K242&gt;=0)</f>
        <v>46.7244408392337</v>
      </c>
      <c r="K243" s="419" t="n">
        <f aca="false">K242+0.5*(vit_z+H242)*pas</f>
        <v>222.232862652461</v>
      </c>
      <c r="L243" s="417" t="n">
        <f aca="false">SQRT(pos_x^2+pos_z^2)</f>
        <v>227.091652454348</v>
      </c>
      <c r="M243" s="418" t="n">
        <f aca="false">IF(AND(L242&gt;L_rampe,G243&gt;0),ATAN2(G243,H243),$M$4)</f>
        <v>1.35047659292048</v>
      </c>
      <c r="N243" s="417" t="n">
        <f aca="false">DEGREES(Beta)</f>
        <v>77.3766091055506</v>
      </c>
      <c r="O243" s="401"/>
      <c r="P243" s="420" t="n">
        <f aca="false">MATCH(t-pas/2-T_ini,CdP_t)</f>
        <v>6</v>
      </c>
      <c r="Q243" s="417" t="n">
        <f aca="false">(INDEX(CdP,2,i_P+1)-INDEX(CdP,2,i_P+0))/(INDEX(CdP,1,i_P+1)-INDEX(CdP,1,i_P+0))*(t-pas/2-T_ini-INDEX(CdP,1,i_P+0))+INDEX(CdP,2,i_P+0)</f>
        <v>529.790000000001</v>
      </c>
      <c r="R243" s="418" t="n">
        <f aca="false">Poussee/(g*ISP)</f>
        <v>0.265876917172327</v>
      </c>
      <c r="S243" s="419" t="n">
        <f aca="false">S242-Débit*pas</f>
        <v>7.57529528651311</v>
      </c>
      <c r="T243" s="417" t="n">
        <f aca="false">m*g</f>
        <v>74.3136467606936</v>
      </c>
      <c r="U243" s="421" t="n">
        <f aca="false">IF(pos_xz&lt;L_rampe,Poids*COS(Beta),0)</f>
        <v>0</v>
      </c>
      <c r="V243" s="418" t="n">
        <f aca="false">Rho_moyen*(20000-Alt_rampe-pos_z)/(20000+Alt_rampe+pos_z)</f>
        <v>1.1980756481148</v>
      </c>
      <c r="W243" s="417" t="n">
        <f aca="false">1/2*Rho*Sref*Cx*vit_xz^2</f>
        <v>109.438714099761</v>
      </c>
      <c r="X243" s="401"/>
      <c r="Y243" s="422" t="str">
        <f aca="false">IF(AND(pos_z&lt;=0,K242&gt;0),"Impact balistique","") &amp; IF(AND(H244&lt;0,vit_z&gt;=0),"Apogée","") &amp; IF(AND(Poussee=0,Q242&gt;0),"Fin de propulsion","") &amp; IF(AND(L244&gt;L_rampe,pos_xz&lt;=L_rampe),"Sortie de rampe","")</f>
        <v/>
      </c>
      <c r="Z243" s="423" t="str">
        <f aca="false">IF(ABS(t-T_para)&lt;pas/2,"Para","")</f>
        <v/>
      </c>
      <c r="AA243" s="424" t="str">
        <f aca="false">IF(ABS(t-T_satellite)&lt;pas/2,"Satellite","")</f>
        <v/>
      </c>
      <c r="AB243" s="412"/>
      <c r="AC243" s="420" t="e">
        <f aca="false">IF(ABS(t-ROUND(t,0))&lt;0.001,t,NA())</f>
        <v>#N/A</v>
      </c>
      <c r="AD243" s="425" t="e">
        <f aca="false">IF(ABS(t-ROUND(t,0))&lt;0.001,pos_x,NA())</f>
        <v>#N/A</v>
      </c>
      <c r="AE243" s="426" t="n">
        <f aca="false">IF(t&lt;T_para, pos_z, NA())</f>
        <v>222.232862652461</v>
      </c>
      <c r="AF243" s="412"/>
      <c r="AG243" s="418" t="n">
        <f aca="false">IF(AND(L242&lt;L_rampe,Poussee&lt;Poids*SIN(M242)),0,(-W242+Poussee)/m-Poids*SIN(M242)/m)</f>
        <v>45.9912029439884</v>
      </c>
      <c r="AH243" s="417" t="n">
        <f aca="false">IF(AND(L242&lt;L_rampe,Poussee&lt;Poids*SIN(M242)), g*SIN(M242), (-W242+Poussee)/m)</f>
        <v>55.5643383880047</v>
      </c>
    </row>
    <row r="244" customFormat="false" ht="12" hidden="false" customHeight="false" outlineLevel="0" collapsed="false">
      <c r="A244" s="416" t="n">
        <f aca="false">IF(B243+0.01&lt;=T_ini+ROUNDUP(Temps_fin_propu,0), 0.01, IF(K243&gt;0, 0.1, 0.0001))</f>
        <v>0.01</v>
      </c>
      <c r="B244" s="417" t="n">
        <f aca="false">B243+pas</f>
        <v>2.39999999999999</v>
      </c>
      <c r="C244" s="401"/>
      <c r="D244" s="418" t="n">
        <f aca="false">IF(AND(L243&lt;L_rampe,Poussee&lt;Poids*SIN(M243)),0,(-W243+Poussee)/m*COS(M243)-U243/m*SIN(M243))</f>
        <v>12.088933565241</v>
      </c>
      <c r="E244" s="419" t="n">
        <f aca="false">IF(AND(L243&lt;L_rampe,Poussee&lt;Poids*SIN(M243)),0,(-W243+Poussee)/m*SIN(M243)+U243/m*COS(M243)-Poids/m)</f>
        <v>44.1692570009528</v>
      </c>
      <c r="F244" s="417" t="n">
        <f aca="false">SQRT(acc_x^2+acc_z^2)</f>
        <v>45.7937285964031</v>
      </c>
      <c r="G244" s="418" t="n">
        <f aca="false">G243+acc_x*pas</f>
        <v>37.7877747443656</v>
      </c>
      <c r="H244" s="419" t="n">
        <f aca="false">H243+acc_z*pas</f>
        <v>168.631092977375</v>
      </c>
      <c r="I244" s="417" t="n">
        <f aca="false">SQRT(vit_x^2+vit_z^2)</f>
        <v>172.813082371894</v>
      </c>
      <c r="J244" s="418" t="n">
        <f aca="false">J243+0.5*(vit_x+G243)*pas*(K243&gt;=0)</f>
        <v>47.1017141399991</v>
      </c>
      <c r="K244" s="419" t="n">
        <f aca="false">K243+0.5*(vit_z+H243)*pas</f>
        <v>223.916965119385</v>
      </c>
      <c r="L244" s="417" t="n">
        <f aca="false">SQRT(pos_x^2+pos_z^2)</f>
        <v>228.817347994425</v>
      </c>
      <c r="M244" s="418" t="n">
        <f aca="false">IF(AND(L243&gt;L_rampe,G244&gt;0),ATAN2(G244,H244),$M$4)</f>
        <v>1.35035253440254</v>
      </c>
      <c r="N244" s="417" t="n">
        <f aca="false">DEGREES(Beta)</f>
        <v>77.36950107606</v>
      </c>
      <c r="O244" s="401"/>
      <c r="P244" s="420" t="n">
        <f aca="false">MATCH(t-pas/2-T_ini,CdP_t)</f>
        <v>6</v>
      </c>
      <c r="Q244" s="417" t="n">
        <f aca="false">(INDEX(CdP,2,i_P+1)-INDEX(CdP,2,i_P+0))/(INDEX(CdP,1,i_P+1)-INDEX(CdP,1,i_P+0))*(t-pas/2-T_ini-INDEX(CdP,1,i_P+0))+INDEX(CdP,2,i_P+0)</f>
        <v>528.330000000001</v>
      </c>
      <c r="R244" s="418" t="n">
        <f aca="false">Poussee/(g*ISP)</f>
        <v>0.265144211196239</v>
      </c>
      <c r="S244" s="419" t="n">
        <f aca="false">S243-Débit*pas</f>
        <v>7.57264384440115</v>
      </c>
      <c r="T244" s="417" t="n">
        <f aca="false">m*g</f>
        <v>74.2876361135753</v>
      </c>
      <c r="U244" s="421" t="n">
        <f aca="false">IF(pos_xz&lt;L_rampe,Poids*COS(Beta),0)</f>
        <v>0</v>
      </c>
      <c r="V244" s="418" t="n">
        <f aca="false">Rho_moyen*(20000-Alt_rampe-pos_z)/(20000+Alt_rampe+pos_z)</f>
        <v>1.19787387178811</v>
      </c>
      <c r="W244" s="417" t="n">
        <f aca="false">1/2*Rho*Sref*Cx*vit_xz^2</f>
        <v>110.001862213693</v>
      </c>
      <c r="X244" s="401"/>
      <c r="Y244" s="422" t="str">
        <f aca="false">IF(AND(pos_z&lt;=0,K243&gt;0),"Impact balistique","") &amp; IF(AND(H245&lt;0,vit_z&gt;=0),"Apogée","") &amp; IF(AND(Poussee=0,Q243&gt;0),"Fin de propulsion","") &amp; IF(AND(L245&gt;L_rampe,pos_xz&lt;=L_rampe),"Sortie de rampe","")</f>
        <v/>
      </c>
      <c r="Z244" s="423" t="str">
        <f aca="false">IF(ABS(t-T_para)&lt;pas/2,"Para","")</f>
        <v/>
      </c>
      <c r="AA244" s="424" t="str">
        <f aca="false">IF(ABS(t-T_satellite)&lt;pas/2,"Satellite","")</f>
        <v/>
      </c>
      <c r="AB244" s="412"/>
      <c r="AC244" s="420" t="e">
        <f aca="false">IF(ABS(t-ROUND(t,0))&lt;0.001,t,NA())</f>
        <v>#N/A</v>
      </c>
      <c r="AD244" s="425" t="e">
        <f aca="false">IF(ABS(t-ROUND(t,0))&lt;0.001,pos_x,NA())</f>
        <v>#N/A</v>
      </c>
      <c r="AE244" s="426" t="n">
        <f aca="false">IF(t&lt;T_para, pos_z, NA())</f>
        <v>223.916965119385</v>
      </c>
      <c r="AF244" s="412"/>
      <c r="AG244" s="418" t="n">
        <f aca="false">IF(AND(L243&lt;L_rampe,Poussee&lt;Poids*SIN(M243)),0,(-W243+Poussee)/m-Poids*SIN(M243)/m)</f>
        <v>45.7435164749819</v>
      </c>
      <c r="AH244" s="417" t="n">
        <f aca="false">IF(AND(L243&lt;L_rampe,Poussee&lt;Poids*SIN(M243)), g*SIN(M243), (-W243+Poussee)/m)</f>
        <v>55.3163854668734</v>
      </c>
    </row>
    <row r="245" customFormat="false" ht="12" hidden="false" customHeight="false" outlineLevel="0" collapsed="false">
      <c r="A245" s="416" t="n">
        <f aca="false">IF(B244+0.01&lt;=T_ini+ROUNDUP(Temps_fin_propu,0), 0.01, IF(K244&gt;0, 0.1, 0.0001))</f>
        <v>0.01</v>
      </c>
      <c r="B245" s="417" t="n">
        <f aca="false">B244+pas</f>
        <v>2.40999999999999</v>
      </c>
      <c r="C245" s="401"/>
      <c r="D245" s="418" t="n">
        <f aca="false">IF(AND(L244&lt;L_rampe,Poussee&lt;Poids*SIN(M244)),0,(-W244+Poussee)/m*COS(M244)-U244/m*SIN(M244))</f>
        <v>12.0414154219526</v>
      </c>
      <c r="E245" s="419" t="n">
        <f aca="false">IF(AND(L244&lt;L_rampe,Poussee&lt;Poids*SIN(M244)),0,(-W244+Poussee)/m*SIN(M244)+U244/m*COS(M244)-Poids/m)</f>
        <v>43.9258195166348</v>
      </c>
      <c r="F245" s="417" t="n">
        <f aca="false">SQRT(acc_x^2+acc_z^2)</f>
        <v>45.5463863064021</v>
      </c>
      <c r="G245" s="418" t="n">
        <f aca="false">G244+acc_x*pas</f>
        <v>37.9081888985851</v>
      </c>
      <c r="H245" s="419" t="n">
        <f aca="false">H244+acc_z*pas</f>
        <v>169.070351172541</v>
      </c>
      <c r="I245" s="417" t="n">
        <f aca="false">SQRT(vit_x^2+vit_z^2)</f>
        <v>173.268042151971</v>
      </c>
      <c r="J245" s="418" t="n">
        <f aca="false">J244+0.5*(vit_x+G244)*pas*(K244&gt;=0)</f>
        <v>47.4801939582138</v>
      </c>
      <c r="K245" s="419" t="n">
        <f aca="false">K244+0.5*(vit_z+H244)*pas</f>
        <v>225.605472340134</v>
      </c>
      <c r="L245" s="417" t="n">
        <f aca="false">SQRT(pos_x^2+pos_z^2)</f>
        <v>230.547604559502</v>
      </c>
      <c r="M245" s="418" t="n">
        <f aca="false">IF(AND(L244&gt;L_rampe,G245&gt;0),ATAN2(G245,H245),$M$4)</f>
        <v>1.35022873309212</v>
      </c>
      <c r="N245" s="417" t="n">
        <f aca="false">DEGREES(Beta)</f>
        <v>77.3624077834743</v>
      </c>
      <c r="O245" s="401"/>
      <c r="P245" s="420" t="n">
        <f aca="false">MATCH(t-pas/2-T_ini,CdP_t)</f>
        <v>6</v>
      </c>
      <c r="Q245" s="417" t="n">
        <f aca="false">(INDEX(CdP,2,i_P+1)-INDEX(CdP,2,i_P+0))/(INDEX(CdP,1,i_P+1)-INDEX(CdP,1,i_P+0))*(t-pas/2-T_ini-INDEX(CdP,1,i_P+0))+INDEX(CdP,2,i_P+0)</f>
        <v>526.870000000001</v>
      </c>
      <c r="R245" s="418" t="n">
        <f aca="false">Poussee/(g*ISP)</f>
        <v>0.264411505220151</v>
      </c>
      <c r="S245" s="419" t="n">
        <f aca="false">S244-Débit*pas</f>
        <v>7.56999972934895</v>
      </c>
      <c r="T245" s="417" t="n">
        <f aca="false">m*g</f>
        <v>74.2616973449132</v>
      </c>
      <c r="U245" s="421" t="n">
        <f aca="false">IF(pos_xz&lt;L_rampe,Poids*COS(Beta),0)</f>
        <v>0</v>
      </c>
      <c r="V245" s="418" t="n">
        <f aca="false">Rho_moyen*(20000-Alt_rampe-pos_z)/(20000+Alt_rampe+pos_z)</f>
        <v>1.19767160145148</v>
      </c>
      <c r="W245" s="417" t="n">
        <f aca="false">1/2*Rho*Sref*Cx*vit_xz^2</f>
        <v>110.563149186359</v>
      </c>
      <c r="X245" s="401"/>
      <c r="Y245" s="422" t="str">
        <f aca="false">IF(AND(pos_z&lt;=0,K244&gt;0),"Impact balistique","") &amp; IF(AND(H246&lt;0,vit_z&gt;=0),"Apogée","") &amp; IF(AND(Poussee=0,Q244&gt;0),"Fin de propulsion","") &amp; IF(AND(L246&gt;L_rampe,pos_xz&lt;=L_rampe),"Sortie de rampe","")</f>
        <v/>
      </c>
      <c r="Z245" s="423" t="str">
        <f aca="false">IF(ABS(t-T_para)&lt;pas/2,"Para","")</f>
        <v/>
      </c>
      <c r="AA245" s="424" t="str">
        <f aca="false">IF(ABS(t-T_satellite)&lt;pas/2,"Satellite","")</f>
        <v/>
      </c>
      <c r="AB245" s="412"/>
      <c r="AC245" s="420" t="e">
        <f aca="false">IF(ABS(t-ROUND(t,0))&lt;0.001,t,NA())</f>
        <v>#N/A</v>
      </c>
      <c r="AD245" s="425" t="e">
        <f aca="false">IF(ABS(t-ROUND(t,0))&lt;0.001,pos_x,NA())</f>
        <v>#N/A</v>
      </c>
      <c r="AE245" s="426" t="n">
        <f aca="false">IF(t&lt;T_para, pos_z, NA())</f>
        <v>225.605472340134</v>
      </c>
      <c r="AF245" s="412"/>
      <c r="AG245" s="418" t="n">
        <f aca="false">IF(AND(L244&lt;L_rampe,Poussee&lt;Poids*SIN(M244)),0,(-W244+Poussee)/m-Poids*SIN(M244)/m)</f>
        <v>45.4958452258</v>
      </c>
      <c r="AH245" s="417" t="n">
        <f aca="false">IF(AND(L244&lt;L_rampe,Poussee&lt;Poids*SIN(M244)), g*SIN(M244), (-W244+Poussee)/m)</f>
        <v>55.0684481757783</v>
      </c>
    </row>
    <row r="246" customFormat="false" ht="12" hidden="false" customHeight="false" outlineLevel="0" collapsed="false">
      <c r="A246" s="416" t="n">
        <f aca="false">IF(B245+0.01&lt;=T_ini+ROUNDUP(Temps_fin_propu,0), 0.01, IF(K245&gt;0, 0.1, 0.0001))</f>
        <v>0.01</v>
      </c>
      <c r="B246" s="417" t="n">
        <f aca="false">B245+pas</f>
        <v>2.41999999999999</v>
      </c>
      <c r="C246" s="401"/>
      <c r="D246" s="418" t="n">
        <f aca="false">IF(AND(L245&lt;L_rampe,Poussee&lt;Poids*SIN(M245)),0,(-W245+Poussee)/m*COS(M245)-U245/m*SIN(M245))</f>
        <v>11.9938275940292</v>
      </c>
      <c r="E246" s="419" t="n">
        <f aca="false">IF(AND(L245&lt;L_rampe,Poussee&lt;Poids*SIN(M245)),0,(-W245+Poussee)/m*SIN(M245)+U245/m*COS(M245)-Poids/m)</f>
        <v>43.6824168667188</v>
      </c>
      <c r="F246" s="417" t="n">
        <f aca="false">SQRT(acc_x^2+acc_z^2)</f>
        <v>45.2990666975943</v>
      </c>
      <c r="G246" s="418" t="n">
        <f aca="false">G245+acc_x*pas</f>
        <v>38.0281271745254</v>
      </c>
      <c r="H246" s="419" t="n">
        <f aca="false">H245+acc_z*pas</f>
        <v>169.507175341209</v>
      </c>
      <c r="I246" s="417" t="n">
        <f aca="false">SQRT(vit_x^2+vit_z^2)</f>
        <v>173.720525409513</v>
      </c>
      <c r="J246" s="418" t="n">
        <f aca="false">J245+0.5*(vit_x+G245)*pas*(K245&gt;=0)</f>
        <v>47.8598755385794</v>
      </c>
      <c r="K246" s="419" t="n">
        <f aca="false">K245+0.5*(vit_z+H245)*pas</f>
        <v>227.298359972703</v>
      </c>
      <c r="L246" s="417" t="n">
        <f aca="false">SQRT(pos_x^2+pos_z^2)</f>
        <v>232.282397380535</v>
      </c>
      <c r="M246" s="418" t="n">
        <f aca="false">IF(AND(L245&gt;L_rampe,G246&gt;0),ATAN2(G246,H246),$M$4)</f>
        <v>1.3501051860244</v>
      </c>
      <c r="N246" s="417" t="n">
        <f aca="false">DEGREES(Beta)</f>
        <v>77.3553290579228</v>
      </c>
      <c r="O246" s="401"/>
      <c r="P246" s="420" t="n">
        <f aca="false">MATCH(t-pas/2-T_ini,CdP_t)</f>
        <v>6</v>
      </c>
      <c r="Q246" s="417" t="n">
        <f aca="false">(INDEX(CdP,2,i_P+1)-INDEX(CdP,2,i_P+0))/(INDEX(CdP,1,i_P+1)-INDEX(CdP,1,i_P+0))*(t-pas/2-T_ini-INDEX(CdP,1,i_P+0))+INDEX(CdP,2,i_P+0)</f>
        <v>525.410000000001</v>
      </c>
      <c r="R246" s="418" t="n">
        <f aca="false">Poussee/(g*ISP)</f>
        <v>0.263678799244063</v>
      </c>
      <c r="S246" s="419" t="n">
        <f aca="false">S245-Débit*pas</f>
        <v>7.5673629413565</v>
      </c>
      <c r="T246" s="417" t="n">
        <f aca="false">m*g</f>
        <v>74.2358304547073</v>
      </c>
      <c r="U246" s="421" t="n">
        <f aca="false">IF(pos_xz&lt;L_rampe,Poids*COS(Beta),0)</f>
        <v>0</v>
      </c>
      <c r="V246" s="418" t="n">
        <f aca="false">Rho_moyen*(20000-Alt_rampe-pos_z)/(20000+Alt_rampe+pos_z)</f>
        <v>1.19746884027601</v>
      </c>
      <c r="W246" s="417" t="n">
        <f aca="false">1/2*Rho*Sref*Cx*vit_xz^2</f>
        <v>111.122550766375</v>
      </c>
      <c r="X246" s="401"/>
      <c r="Y246" s="422" t="str">
        <f aca="false">IF(AND(pos_z&lt;=0,K245&gt;0),"Impact balistique","") &amp; IF(AND(H247&lt;0,vit_z&gt;=0),"Apogée","") &amp; IF(AND(Poussee=0,Q245&gt;0),"Fin de propulsion","") &amp; IF(AND(L247&gt;L_rampe,pos_xz&lt;=L_rampe),"Sortie de rampe","")</f>
        <v/>
      </c>
      <c r="Z246" s="423" t="str">
        <f aca="false">IF(ABS(t-T_para)&lt;pas/2,"Para","")</f>
        <v/>
      </c>
      <c r="AA246" s="424" t="str">
        <f aca="false">IF(ABS(t-T_satellite)&lt;pas/2,"Satellite","")</f>
        <v/>
      </c>
      <c r="AB246" s="412"/>
      <c r="AC246" s="420" t="e">
        <f aca="false">IF(ABS(t-ROUND(t,0))&lt;0.001,t,NA())</f>
        <v>#N/A</v>
      </c>
      <c r="AD246" s="425" t="e">
        <f aca="false">IF(ABS(t-ROUND(t,0))&lt;0.001,pos_x,NA())</f>
        <v>#N/A</v>
      </c>
      <c r="AE246" s="426" t="n">
        <f aca="false">IF(t&lt;T_para, pos_z, NA())</f>
        <v>227.298359972703</v>
      </c>
      <c r="AF246" s="412"/>
      <c r="AG246" s="418" t="n">
        <f aca="false">IF(AND(L245&lt;L_rampe,Poussee&lt;Poids*SIN(M245)),0,(-W245+Poussee)/m-Poids*SIN(M245)/m)</f>
        <v>45.2481931716905</v>
      </c>
      <c r="AH246" s="417" t="n">
        <f aca="false">IF(AND(L245&lt;L_rampe,Poussee&lt;Poids*SIN(M245)), g*SIN(M245), (-W245+Poussee)/m)</f>
        <v>54.8205304844646</v>
      </c>
    </row>
    <row r="247" customFormat="false" ht="12" hidden="false" customHeight="false" outlineLevel="0" collapsed="false">
      <c r="A247" s="416" t="n">
        <f aca="false">IF(B246+0.01&lt;=T_ini+ROUNDUP(Temps_fin_propu,0), 0.01, IF(K246&gt;0, 0.1, 0.0001))</f>
        <v>0.01</v>
      </c>
      <c r="B247" s="417" t="n">
        <f aca="false">B246+pas</f>
        <v>2.42999999999999</v>
      </c>
      <c r="C247" s="401"/>
      <c r="D247" s="418" t="n">
        <f aca="false">IF(AND(L246&lt;L_rampe,Poussee&lt;Poids*SIN(M246)),0,(-W246+Poussee)/m*COS(M246)-U246/m*SIN(M246))</f>
        <v>11.9461713006085</v>
      </c>
      <c r="E247" s="419" t="n">
        <f aca="false">IF(AND(L246&lt;L_rampe,Poussee&lt;Poids*SIN(M246)),0,(-W246+Poussee)/m*SIN(M246)+U246/m*COS(M246)-Poids/m)</f>
        <v>43.4390528396269</v>
      </c>
      <c r="F247" s="417" t="n">
        <f aca="false">SQRT(acc_x^2+acc_z^2)</f>
        <v>45.0517737758169</v>
      </c>
      <c r="G247" s="418" t="n">
        <f aca="false">G246+acc_x*pas</f>
        <v>38.1475888875315</v>
      </c>
      <c r="H247" s="419" t="n">
        <f aca="false">H246+acc_z*pas</f>
        <v>169.941565869605</v>
      </c>
      <c r="I247" s="417" t="n">
        <f aca="false">SQRT(vit_x^2+vit_z^2)</f>
        <v>174.170532376018</v>
      </c>
      <c r="J247" s="418" t="n">
        <f aca="false">J246+0.5*(vit_x+G246)*pas*(K246&gt;=0)</f>
        <v>48.2407541188897</v>
      </c>
      <c r="K247" s="419" t="n">
        <f aca="false">K246+0.5*(vit_z+H246)*pas</f>
        <v>228.995603678757</v>
      </c>
      <c r="L247" s="417" t="n">
        <f aca="false">SQRT(pos_x^2+pos_z^2)</f>
        <v>234.021701690586</v>
      </c>
      <c r="M247" s="418" t="n">
        <f aca="false">IF(AND(L246&gt;L_rampe,G247&gt;0),ATAN2(G247,H247),$M$4)</f>
        <v>1.34998189026706</v>
      </c>
      <c r="N247" s="417" t="n">
        <f aca="false">DEGREES(Beta)</f>
        <v>77.3482647313956</v>
      </c>
      <c r="O247" s="401"/>
      <c r="P247" s="420" t="n">
        <f aca="false">MATCH(t-pas/2-T_ini,CdP_t)</f>
        <v>6</v>
      </c>
      <c r="Q247" s="417" t="n">
        <f aca="false">(INDEX(CdP,2,i_P+1)-INDEX(CdP,2,i_P+0))/(INDEX(CdP,1,i_P+1)-INDEX(CdP,1,i_P+0))*(t-pas/2-T_ini-INDEX(CdP,1,i_P+0))+INDEX(CdP,2,i_P+0)</f>
        <v>523.950000000001</v>
      </c>
      <c r="R247" s="418" t="n">
        <f aca="false">Poussee/(g*ISP)</f>
        <v>0.262946093267975</v>
      </c>
      <c r="S247" s="419" t="n">
        <f aca="false">S246-Débit*pas</f>
        <v>7.56473348042383</v>
      </c>
      <c r="T247" s="417" t="n">
        <f aca="false">m*g</f>
        <v>74.2100354429577</v>
      </c>
      <c r="U247" s="421" t="n">
        <f aca="false">IF(pos_xz&lt;L_rampe,Poids*COS(Beta),0)</f>
        <v>0</v>
      </c>
      <c r="V247" s="418" t="n">
        <f aca="false">Rho_moyen*(20000-Alt_rampe-pos_z)/(20000+Alt_rampe+pos_z)</f>
        <v>1.197265591431</v>
      </c>
      <c r="W247" s="417" t="n">
        <f aca="false">1/2*Rho*Sref*Cx*vit_xz^2</f>
        <v>111.68004291776</v>
      </c>
      <c r="X247" s="401"/>
      <c r="Y247" s="422" t="str">
        <f aca="false">IF(AND(pos_z&lt;=0,K246&gt;0),"Impact balistique","") &amp; IF(AND(H248&lt;0,vit_z&gt;=0),"Apogée","") &amp; IF(AND(Poussee=0,Q246&gt;0),"Fin de propulsion","") &amp; IF(AND(L248&gt;L_rampe,pos_xz&lt;=L_rampe),"Sortie de rampe","")</f>
        <v/>
      </c>
      <c r="Z247" s="423" t="str">
        <f aca="false">IF(ABS(t-T_para)&lt;pas/2,"Para","")</f>
        <v/>
      </c>
      <c r="AA247" s="424" t="str">
        <f aca="false">IF(ABS(t-T_satellite)&lt;pas/2,"Satellite","")</f>
        <v/>
      </c>
      <c r="AB247" s="412"/>
      <c r="AC247" s="420" t="e">
        <f aca="false">IF(ABS(t-ROUND(t,0))&lt;0.001,t,NA())</f>
        <v>#N/A</v>
      </c>
      <c r="AD247" s="425" t="e">
        <f aca="false">IF(ABS(t-ROUND(t,0))&lt;0.001,pos_x,NA())</f>
        <v>#N/A</v>
      </c>
      <c r="AE247" s="426" t="n">
        <f aca="false">IF(t&lt;T_para, pos_z, NA())</f>
        <v>228.995603678757</v>
      </c>
      <c r="AF247" s="412"/>
      <c r="AG247" s="418" t="n">
        <f aca="false">IF(AND(L246&lt;L_rampe,Poussee&lt;Poids*SIN(M246)),0,(-W246+Poussee)/m-Poids*SIN(M246)/m)</f>
        <v>45.0005642648304</v>
      </c>
      <c r="AH247" s="417" t="n">
        <f aca="false">IF(AND(L246&lt;L_rampe,Poussee&lt;Poids*SIN(M246)), g*SIN(M246), (-W246+Poussee)/m)</f>
        <v>54.5726363396608</v>
      </c>
    </row>
    <row r="248" customFormat="false" ht="12" hidden="false" customHeight="false" outlineLevel="0" collapsed="false">
      <c r="A248" s="416" t="n">
        <f aca="false">IF(B247+0.01&lt;=T_ini+ROUNDUP(Temps_fin_propu,0), 0.01, IF(K247&gt;0, 0.1, 0.0001))</f>
        <v>0.01</v>
      </c>
      <c r="B248" s="417" t="n">
        <f aca="false">B247+pas</f>
        <v>2.43999999999999</v>
      </c>
      <c r="C248" s="401"/>
      <c r="D248" s="418" t="n">
        <f aca="false">IF(AND(L247&lt;L_rampe,Poussee&lt;Poids*SIN(M247)),0,(-W247+Poussee)/m*COS(M247)-U247/m*SIN(M247))</f>
        <v>11.8984477530053</v>
      </c>
      <c r="E248" s="419" t="n">
        <f aca="false">IF(AND(L247&lt;L_rampe,Poussee&lt;Poids*SIN(M247)),0,(-W247+Poussee)/m*SIN(M247)+U247/m*COS(M247)-Poids/m)</f>
        <v>43.195731201646</v>
      </c>
      <c r="F248" s="417" t="n">
        <f aca="false">SQRT(acc_x^2+acc_z^2)</f>
        <v>44.8045115247991</v>
      </c>
      <c r="G248" s="418" t="n">
        <f aca="false">G247+acc_x*pas</f>
        <v>38.2665733650616</v>
      </c>
      <c r="H248" s="419" t="n">
        <f aca="false">H247+acc_z*pas</f>
        <v>170.373523181621</v>
      </c>
      <c r="I248" s="417" t="n">
        <f aca="false">SQRT(vit_x^2+vit_z^2)</f>
        <v>174.618063322275</v>
      </c>
      <c r="J248" s="418" t="n">
        <f aca="false">J247+0.5*(vit_x+G247)*pas*(K247&gt;=0)</f>
        <v>48.6228249301526</v>
      </c>
      <c r="K248" s="419" t="n">
        <f aca="false">K247+0.5*(vit_z+H247)*pas</f>
        <v>230.697179124013</v>
      </c>
      <c r="L248" s="417" t="n">
        <f aca="false">SQRT(pos_x^2+pos_z^2)</f>
        <v>235.765492725219</v>
      </c>
      <c r="M248" s="418" t="n">
        <f aca="false">IF(AND(L247&gt;L_rampe,G248&gt;0),ATAN2(G248,H248),$M$4)</f>
        <v>1.34985884291972</v>
      </c>
      <c r="N248" s="417" t="n">
        <f aca="false">DEGREES(Beta)</f>
        <v>77.3412146377124</v>
      </c>
      <c r="O248" s="401"/>
      <c r="P248" s="420" t="n">
        <f aca="false">MATCH(t-pas/2-T_ini,CdP_t)</f>
        <v>6</v>
      </c>
      <c r="Q248" s="417" t="n">
        <f aca="false">(INDEX(CdP,2,i_P+1)-INDEX(CdP,2,i_P+0))/(INDEX(CdP,1,i_P+1)-INDEX(CdP,1,i_P+0))*(t-pas/2-T_ini-INDEX(CdP,1,i_P+0))+INDEX(CdP,2,i_P+0)</f>
        <v>522.490000000001</v>
      </c>
      <c r="R248" s="418" t="n">
        <f aca="false">Poussee/(g*ISP)</f>
        <v>0.262213387291887</v>
      </c>
      <c r="S248" s="419" t="n">
        <f aca="false">S247-Débit*pas</f>
        <v>7.56211134655091</v>
      </c>
      <c r="T248" s="417" t="n">
        <f aca="false">m*g</f>
        <v>74.1843123096644</v>
      </c>
      <c r="U248" s="421" t="n">
        <f aca="false">IF(pos_xz&lt;L_rampe,Poids*COS(Beta),0)</f>
        <v>0</v>
      </c>
      <c r="V248" s="418" t="n">
        <f aca="false">Rho_moyen*(20000-Alt_rampe-pos_z)/(20000+Alt_rampe+pos_z)</f>
        <v>1.19706185808381</v>
      </c>
      <c r="W248" s="417" t="n">
        <f aca="false">1/2*Rho*Sref*Cx*vit_xz^2</f>
        <v>112.235601820138</v>
      </c>
      <c r="X248" s="401"/>
      <c r="Y248" s="422" t="str">
        <f aca="false">IF(AND(pos_z&lt;=0,K247&gt;0),"Impact balistique","") &amp; IF(AND(H249&lt;0,vit_z&gt;=0),"Apogée","") &amp; IF(AND(Poussee=0,Q247&gt;0),"Fin de propulsion","") &amp; IF(AND(L249&gt;L_rampe,pos_xz&lt;=L_rampe),"Sortie de rampe","")</f>
        <v/>
      </c>
      <c r="Z248" s="423" t="str">
        <f aca="false">IF(ABS(t-T_para)&lt;pas/2,"Para","")</f>
        <v/>
      </c>
      <c r="AA248" s="424" t="str">
        <f aca="false">IF(ABS(t-T_satellite)&lt;pas/2,"Satellite","")</f>
        <v/>
      </c>
      <c r="AB248" s="412"/>
      <c r="AC248" s="420" t="e">
        <f aca="false">IF(ABS(t-ROUND(t,0))&lt;0.001,t,NA())</f>
        <v>#N/A</v>
      </c>
      <c r="AD248" s="425" t="e">
        <f aca="false">IF(ABS(t-ROUND(t,0))&lt;0.001,pos_x,NA())</f>
        <v>#N/A</v>
      </c>
      <c r="AE248" s="426" t="n">
        <f aca="false">IF(t&lt;T_para, pos_z, NA())</f>
        <v>230.697179124013</v>
      </c>
      <c r="AF248" s="412"/>
      <c r="AG248" s="418" t="n">
        <f aca="false">IF(AND(L247&lt;L_rampe,Poussee&lt;Poids*SIN(M247)),0,(-W247+Poussee)/m-Poids*SIN(M247)/m)</f>
        <v>44.7529624342182</v>
      </c>
      <c r="AH248" s="417" t="n">
        <f aca="false">IF(AND(L247&lt;L_rampe,Poussee&lt;Poids*SIN(M247)), g*SIN(M247), (-W247+Poussee)/m)</f>
        <v>54.3247696649709</v>
      </c>
    </row>
    <row r="249" customFormat="false" ht="12" hidden="false" customHeight="false" outlineLevel="0" collapsed="false">
      <c r="A249" s="416" t="n">
        <f aca="false">IF(B248+0.01&lt;=T_ini+ROUNDUP(Temps_fin_propu,0), 0.01, IF(K248&gt;0, 0.1, 0.0001))</f>
        <v>0.01</v>
      </c>
      <c r="B249" s="417" t="n">
        <f aca="false">B248+pas</f>
        <v>2.44999999999999</v>
      </c>
      <c r="C249" s="401"/>
      <c r="D249" s="418" t="n">
        <f aca="false">IF(AND(L248&lt;L_rampe,Poussee&lt;Poids*SIN(M248)),0,(-W248+Poussee)/m*COS(M248)-U248/m*SIN(M248))</f>
        <v>11.8506581547342</v>
      </c>
      <c r="E249" s="419" t="n">
        <f aca="false">IF(AND(L248&lt;L_rampe,Poussee&lt;Poids*SIN(M248)),0,(-W248+Poussee)/m*SIN(M248)+U248/m*COS(M248)-Poids/m)</f>
        <v>42.9524556968173</v>
      </c>
      <c r="F249" s="417" t="n">
        <f aca="false">SQRT(acc_x^2+acc_z^2)</f>
        <v>44.5572839060846</v>
      </c>
      <c r="G249" s="418" t="n">
        <f aca="false">G248+acc_x*pas</f>
        <v>38.3850799466089</v>
      </c>
      <c r="H249" s="419" t="n">
        <f aca="false">H248+acc_z*pas</f>
        <v>170.803047738589</v>
      </c>
      <c r="I249" s="417" t="n">
        <f aca="false">SQRT(vit_x^2+vit_z^2)</f>
        <v>175.063118558132</v>
      </c>
      <c r="J249" s="418" t="n">
        <f aca="false">J248+0.5*(vit_x+G248)*pas*(K248&gt;=0)</f>
        <v>49.006083196711</v>
      </c>
      <c r="K249" s="419" t="n">
        <f aca="false">K248+0.5*(vit_z+H248)*pas</f>
        <v>232.403061978614</v>
      </c>
      <c r="L249" s="417" t="n">
        <f aca="false">SQRT(pos_x^2+pos_z^2)</f>
        <v>237.513745722892</v>
      </c>
      <c r="M249" s="418" t="n">
        <f aca="false">IF(AND(L248&gt;L_rampe,G249&gt;0),ATAN2(G249,H249),$M$4)</f>
        <v>1.34973604111338</v>
      </c>
      <c r="N249" s="417" t="n">
        <f aca="false">DEGREES(Beta)</f>
        <v>77.3341786124926</v>
      </c>
      <c r="O249" s="401"/>
      <c r="P249" s="420" t="n">
        <f aca="false">MATCH(t-pas/2-T_ini,CdP_t)</f>
        <v>6</v>
      </c>
      <c r="Q249" s="417" t="n">
        <f aca="false">(INDEX(CdP,2,i_P+1)-INDEX(CdP,2,i_P+0))/(INDEX(CdP,1,i_P+1)-INDEX(CdP,1,i_P+0))*(t-pas/2-T_ini-INDEX(CdP,1,i_P+0))+INDEX(CdP,2,i_P+0)</f>
        <v>521.030000000001</v>
      </c>
      <c r="R249" s="418" t="n">
        <f aca="false">Poussee/(g*ISP)</f>
        <v>0.261480681315799</v>
      </c>
      <c r="S249" s="419" t="n">
        <f aca="false">S248-Débit*pas</f>
        <v>7.55949653973775</v>
      </c>
      <c r="T249" s="417" t="n">
        <f aca="false">m*g</f>
        <v>74.1586610548273</v>
      </c>
      <c r="U249" s="421" t="n">
        <f aca="false">IF(pos_xz&lt;L_rampe,Poids*COS(Beta),0)</f>
        <v>0</v>
      </c>
      <c r="V249" s="418" t="n">
        <f aca="false">Rho_moyen*(20000-Alt_rampe-pos_z)/(20000+Alt_rampe+pos_z)</f>
        <v>1.19685764339988</v>
      </c>
      <c r="W249" s="417" t="n">
        <f aca="false">1/2*Rho*Sref*Cx*vit_xz^2</f>
        <v>112.789203868929</v>
      </c>
      <c r="X249" s="401"/>
      <c r="Y249" s="422" t="str">
        <f aca="false">IF(AND(pos_z&lt;=0,K248&gt;0),"Impact balistique","") &amp; IF(AND(H250&lt;0,vit_z&gt;=0),"Apogée","") &amp; IF(AND(Poussee=0,Q248&gt;0),"Fin de propulsion","") &amp; IF(AND(L250&gt;L_rampe,pos_xz&lt;=L_rampe),"Sortie de rampe","")</f>
        <v/>
      </c>
      <c r="Z249" s="423" t="str">
        <f aca="false">IF(ABS(t-T_para)&lt;pas/2,"Para","")</f>
        <v/>
      </c>
      <c r="AA249" s="424" t="str">
        <f aca="false">IF(ABS(t-T_satellite)&lt;pas/2,"Satellite","")</f>
        <v/>
      </c>
      <c r="AB249" s="412"/>
      <c r="AC249" s="420" t="e">
        <f aca="false">IF(ABS(t-ROUND(t,0))&lt;0.001,t,NA())</f>
        <v>#N/A</v>
      </c>
      <c r="AD249" s="425" t="e">
        <f aca="false">IF(ABS(t-ROUND(t,0))&lt;0.001,pos_x,NA())</f>
        <v>#N/A</v>
      </c>
      <c r="AE249" s="426" t="n">
        <f aca="false">IF(t&lt;T_para, pos_z, NA())</f>
        <v>232.403061978614</v>
      </c>
      <c r="AF249" s="412"/>
      <c r="AG249" s="418" t="n">
        <f aca="false">IF(AND(L248&lt;L_rampe,Poussee&lt;Poids*SIN(M248)),0,(-W248+Poussee)/m-Poids*SIN(M248)/m)</f>
        <v>44.5053915855698</v>
      </c>
      <c r="AH249" s="417" t="n">
        <f aca="false">IF(AND(L248&lt;L_rampe,Poussee&lt;Poids*SIN(M248)), g*SIN(M248), (-W248+Poussee)/m)</f>
        <v>54.0769343607696</v>
      </c>
    </row>
    <row r="250" customFormat="false" ht="12" hidden="false" customHeight="false" outlineLevel="0" collapsed="false">
      <c r="A250" s="416" t="n">
        <f aca="false">IF(B249+0.01&lt;=T_ini+ROUNDUP(Temps_fin_propu,0), 0.01, IF(K249&gt;0, 0.1, 0.0001))</f>
        <v>0.01</v>
      </c>
      <c r="B250" s="417" t="n">
        <f aca="false">B249+pas</f>
        <v>2.45999999999999</v>
      </c>
      <c r="C250" s="401"/>
      <c r="D250" s="418" t="n">
        <f aca="false">IF(AND(L249&lt;L_rampe,Poussee&lt;Poids*SIN(M249)),0,(-W249+Poussee)/m*COS(M249)-U249/m*SIN(M249))</f>
        <v>11.8028037015316</v>
      </c>
      <c r="E250" s="419" t="n">
        <f aca="false">IF(AND(L249&lt;L_rampe,Poussee&lt;Poids*SIN(M249)),0,(-W249+Poussee)/m*SIN(M249)+U249/m*COS(M249)-Poids/m)</f>
        <v>42.7092300468296</v>
      </c>
      <c r="F250" s="417" t="n">
        <f aca="false">SQRT(acc_x^2+acc_z^2)</f>
        <v>44.3100948589585</v>
      </c>
      <c r="G250" s="418" t="n">
        <f aca="false">G249+acc_x*pas</f>
        <v>38.5031079836242</v>
      </c>
      <c r="H250" s="419" t="n">
        <f aca="false">H249+acc_z*pas</f>
        <v>171.230140039058</v>
      </c>
      <c r="I250" s="417" t="n">
        <f aca="false">SQRT(vit_x^2+vit_z^2)</f>
        <v>175.505698432256</v>
      </c>
      <c r="J250" s="418" t="n">
        <f aca="false">J249+0.5*(vit_x+G249)*pas*(K249&gt;=0)</f>
        <v>49.3905241363621</v>
      </c>
      <c r="K250" s="419" t="n">
        <f aca="false">K249+0.5*(vit_z+H249)*pas</f>
        <v>234.113227917502</v>
      </c>
      <c r="L250" s="417" t="n">
        <f aca="false">SQRT(pos_x^2+pos_z^2)</f>
        <v>239.266435925344</v>
      </c>
      <c r="M250" s="418" t="n">
        <f aca="false">IF(AND(L249&gt;L_rampe,G250&gt;0),ATAN2(G250,H250),$M$4)</f>
        <v>1.34961348200994</v>
      </c>
      <c r="N250" s="417" t="n">
        <f aca="false">DEGREES(Beta)</f>
        <v>77.327156493125</v>
      </c>
      <c r="O250" s="401"/>
      <c r="P250" s="420" t="n">
        <f aca="false">MATCH(t-pas/2-T_ini,CdP_t)</f>
        <v>6</v>
      </c>
      <c r="Q250" s="417" t="n">
        <f aca="false">(INDEX(CdP,2,i_P+1)-INDEX(CdP,2,i_P+0))/(INDEX(CdP,1,i_P+1)-INDEX(CdP,1,i_P+0))*(t-pas/2-T_ini-INDEX(CdP,1,i_P+0))+INDEX(CdP,2,i_P+0)</f>
        <v>519.570000000001</v>
      </c>
      <c r="R250" s="418" t="n">
        <f aca="false">Poussee/(g*ISP)</f>
        <v>0.260747975339712</v>
      </c>
      <c r="S250" s="419" t="n">
        <f aca="false">S249-Débit*pas</f>
        <v>7.55688905998435</v>
      </c>
      <c r="T250" s="417" t="n">
        <f aca="false">m*g</f>
        <v>74.1330816784465</v>
      </c>
      <c r="U250" s="421" t="n">
        <f aca="false">IF(pos_xz&lt;L_rampe,Poids*COS(Beta),0)</f>
        <v>0</v>
      </c>
      <c r="V250" s="418" t="n">
        <f aca="false">Rho_moyen*(20000-Alt_rampe-pos_z)/(20000+Alt_rampe+pos_z)</f>
        <v>1.19665295054263</v>
      </c>
      <c r="W250" s="417" t="n">
        <f aca="false">1/2*Rho*Sref*Cx*vit_xz^2</f>
        <v>113.340825675509</v>
      </c>
      <c r="X250" s="401"/>
      <c r="Y250" s="422" t="str">
        <f aca="false">IF(AND(pos_z&lt;=0,K249&gt;0),"Impact balistique","") &amp; IF(AND(H251&lt;0,vit_z&gt;=0),"Apogée","") &amp; IF(AND(Poussee=0,Q249&gt;0),"Fin de propulsion","") &amp; IF(AND(L251&gt;L_rampe,pos_xz&lt;=L_rampe),"Sortie de rampe","")</f>
        <v/>
      </c>
      <c r="Z250" s="423" t="str">
        <f aca="false">IF(ABS(t-T_para)&lt;pas/2,"Para","")</f>
        <v/>
      </c>
      <c r="AA250" s="424" t="str">
        <f aca="false">IF(ABS(t-T_satellite)&lt;pas/2,"Satellite","")</f>
        <v/>
      </c>
      <c r="AB250" s="412"/>
      <c r="AC250" s="420" t="e">
        <f aca="false">IF(ABS(t-ROUND(t,0))&lt;0.001,t,NA())</f>
        <v>#N/A</v>
      </c>
      <c r="AD250" s="425" t="e">
        <f aca="false">IF(ABS(t-ROUND(t,0))&lt;0.001,pos_x,NA())</f>
        <v>#N/A</v>
      </c>
      <c r="AE250" s="426" t="n">
        <f aca="false">IF(t&lt;T_para, pos_z, NA())</f>
        <v>234.113227917502</v>
      </c>
      <c r="AF250" s="412"/>
      <c r="AG250" s="418" t="n">
        <f aca="false">IF(AND(L249&lt;L_rampe,Poussee&lt;Poids*SIN(M249)),0,(-W249+Poussee)/m-Poids*SIN(M249)/m)</f>
        <v>44.2578556012167</v>
      </c>
      <c r="AH250" s="417" t="n">
        <f aca="false">IF(AND(L249&lt;L_rampe,Poussee&lt;Poids*SIN(M249)), g*SIN(M249), (-W249+Poussee)/m)</f>
        <v>53.8291343040987</v>
      </c>
    </row>
    <row r="251" customFormat="false" ht="12" hidden="false" customHeight="false" outlineLevel="0" collapsed="false">
      <c r="A251" s="416" t="n">
        <f aca="false">IF(B250+0.01&lt;=T_ini+ROUNDUP(Temps_fin_propu,0), 0.01, IF(K250&gt;0, 0.1, 0.0001))</f>
        <v>0.01</v>
      </c>
      <c r="B251" s="417" t="n">
        <f aca="false">B250+pas</f>
        <v>2.46999999999999</v>
      </c>
      <c r="C251" s="401"/>
      <c r="D251" s="418" t="n">
        <f aca="false">IF(AND(L250&lt;L_rampe,Poussee&lt;Poids*SIN(M250)),0,(-W250+Poussee)/m*COS(M250)-U250/m*SIN(M250))</f>
        <v>11.7548855813769</v>
      </c>
      <c r="E251" s="419" t="n">
        <f aca="false">IF(AND(L250&lt;L_rampe,Poussee&lt;Poids*SIN(M250)),0,(-W250+Poussee)/m*SIN(M250)+U250/m*COS(M250)-Poids/m)</f>
        <v>42.4660579509148</v>
      </c>
      <c r="F251" s="417" t="n">
        <f aca="false">SQRT(acc_x^2+acc_z^2)</f>
        <v>44.0629483003772</v>
      </c>
      <c r="G251" s="418" t="n">
        <f aca="false">G250+acc_x*pas</f>
        <v>38.620656839438</v>
      </c>
      <c r="H251" s="419" t="n">
        <f aca="false">H250+acc_z*pas</f>
        <v>171.654800618567</v>
      </c>
      <c r="I251" s="417" t="n">
        <f aca="false">SQRT(vit_x^2+vit_z^2)</f>
        <v>175.945803331906</v>
      </c>
      <c r="J251" s="418" t="n">
        <f aca="false">J250+0.5*(vit_x+G250)*pas*(K250&gt;=0)</f>
        <v>49.7761429604775</v>
      </c>
      <c r="K251" s="419" t="n">
        <f aca="false">K250+0.5*(vit_z+H250)*pas</f>
        <v>235.82765262079</v>
      </c>
      <c r="L251" s="417" t="n">
        <f aca="false">SQRT(pos_x^2+pos_z^2)</f>
        <v>241.023538577986</v>
      </c>
      <c r="M251" s="418" t="n">
        <f aca="false">IF(AND(L250&gt;L_rampe,G251&gt;0),ATAN2(G251,H251),$M$4)</f>
        <v>1.34949116280169</v>
      </c>
      <c r="N251" s="417" t="n">
        <f aca="false">DEGREES(Beta)</f>
        <v>77.3201481187387</v>
      </c>
      <c r="O251" s="401"/>
      <c r="P251" s="420" t="n">
        <f aca="false">MATCH(t-pas/2-T_ini,CdP_t)</f>
        <v>6</v>
      </c>
      <c r="Q251" s="417" t="n">
        <f aca="false">(INDEX(CdP,2,i_P+1)-INDEX(CdP,2,i_P+0))/(INDEX(CdP,1,i_P+1)-INDEX(CdP,1,i_P+0))*(t-pas/2-T_ini-INDEX(CdP,1,i_P+0))+INDEX(CdP,2,i_P+0)</f>
        <v>518.110000000001</v>
      </c>
      <c r="R251" s="418" t="n">
        <f aca="false">Poussee/(g*ISP)</f>
        <v>0.260015269363624</v>
      </c>
      <c r="S251" s="419" t="n">
        <f aca="false">S250-Débit*pas</f>
        <v>7.55428890729071</v>
      </c>
      <c r="T251" s="417" t="n">
        <f aca="false">m*g</f>
        <v>74.1075741805219</v>
      </c>
      <c r="U251" s="421" t="n">
        <f aca="false">IF(pos_xz&lt;L_rampe,Poids*COS(Beta),0)</f>
        <v>0</v>
      </c>
      <c r="V251" s="418" t="n">
        <f aca="false">Rho_moyen*(20000-Alt_rampe-pos_z)/(20000+Alt_rampe+pos_z)</f>
        <v>1.19644778267342</v>
      </c>
      <c r="W251" s="417" t="n">
        <f aca="false">1/2*Rho*Sref*Cx*vit_xz^2</f>
        <v>113.890444067361</v>
      </c>
      <c r="X251" s="401"/>
      <c r="Y251" s="422" t="str">
        <f aca="false">IF(AND(pos_z&lt;=0,K250&gt;0),"Impact balistique","") &amp; IF(AND(H252&lt;0,vit_z&gt;=0),"Apogée","") &amp; IF(AND(Poussee=0,Q250&gt;0),"Fin de propulsion","") &amp; IF(AND(L252&gt;L_rampe,pos_xz&lt;=L_rampe),"Sortie de rampe","")</f>
        <v/>
      </c>
      <c r="Z251" s="423" t="str">
        <f aca="false">IF(ABS(t-T_para)&lt;pas/2,"Para","")</f>
        <v/>
      </c>
      <c r="AA251" s="424" t="str">
        <f aca="false">IF(ABS(t-T_satellite)&lt;pas/2,"Satellite","")</f>
        <v/>
      </c>
      <c r="AB251" s="412"/>
      <c r="AC251" s="420" t="e">
        <f aca="false">IF(ABS(t-ROUND(t,0))&lt;0.001,t,NA())</f>
        <v>#N/A</v>
      </c>
      <c r="AD251" s="425" t="e">
        <f aca="false">IF(ABS(t-ROUND(t,0))&lt;0.001,pos_x,NA())</f>
        <v>#N/A</v>
      </c>
      <c r="AE251" s="426" t="n">
        <f aca="false">IF(t&lt;T_para, pos_z, NA())</f>
        <v>235.82765262079</v>
      </c>
      <c r="AF251" s="412"/>
      <c r="AG251" s="418" t="n">
        <f aca="false">IF(AND(L250&lt;L_rampe,Poussee&lt;Poids*SIN(M250)),0,(-W250+Poussee)/m-Poids*SIN(M250)/m)</f>
        <v>44.010358340007</v>
      </c>
      <c r="AH251" s="417" t="n">
        <f aca="false">IF(AND(L250&lt;L_rampe,Poussee&lt;Poids*SIN(M250)), g*SIN(M250), (-W250+Poussee)/m)</f>
        <v>53.5813733485683</v>
      </c>
    </row>
    <row r="252" customFormat="false" ht="12" hidden="false" customHeight="false" outlineLevel="0" collapsed="false">
      <c r="A252" s="416" t="n">
        <f aca="false">IF(B251+0.01&lt;=T_ini+ROUNDUP(Temps_fin_propu,0), 0.01, IF(K251&gt;0, 0.1, 0.0001))</f>
        <v>0.01</v>
      </c>
      <c r="B252" s="417" t="n">
        <f aca="false">B251+pas</f>
        <v>2.47999999999999</v>
      </c>
      <c r="C252" s="401"/>
      <c r="D252" s="418" t="n">
        <f aca="false">IF(AND(L251&lt;L_rampe,Poussee&lt;Poids*SIN(M251)),0,(-W251+Poussee)/m*COS(M251)-U251/m*SIN(M251))</f>
        <v>11.7069049745135</v>
      </c>
      <c r="E252" s="419" t="n">
        <f aca="false">IF(AND(L251&lt;L_rampe,Poussee&lt;Poids*SIN(M251)),0,(-W251+Poussee)/m*SIN(M251)+U251/m*COS(M251)-Poids/m)</f>
        <v>42.2229430857465</v>
      </c>
      <c r="F252" s="417" t="n">
        <f aca="false">SQRT(acc_x^2+acc_z^2)</f>
        <v>43.815848124902</v>
      </c>
      <c r="G252" s="418" t="n">
        <f aca="false">G251+acc_x*pas</f>
        <v>38.7377258891831</v>
      </c>
      <c r="H252" s="419" t="n">
        <f aca="false">H251+acc_z*pas</f>
        <v>172.077030049424</v>
      </c>
      <c r="I252" s="417" t="n">
        <f aca="false">SQRT(vit_x^2+vit_z^2)</f>
        <v>176.38343368269</v>
      </c>
      <c r="J252" s="418" t="n">
        <f aca="false">J251+0.5*(vit_x+G251)*pas*(K251&gt;=0)</f>
        <v>50.1629348741206</v>
      </c>
      <c r="K252" s="419" t="n">
        <f aca="false">K251+0.5*(vit_z+H251)*pas</f>
        <v>237.54631177413</v>
      </c>
      <c r="L252" s="417" t="n">
        <f aca="false">SQRT(pos_x^2+pos_z^2)</f>
        <v>242.785028930282</v>
      </c>
      <c r="M252" s="418" t="n">
        <f aca="false">IF(AND(L251&gt;L_rampe,G252&gt;0),ATAN2(G252,H252),$M$4)</f>
        <v>1.34936908071077</v>
      </c>
      <c r="N252" s="417" t="n">
        <f aca="false">DEGREES(Beta)</f>
        <v>77.3131533301748</v>
      </c>
      <c r="O252" s="401"/>
      <c r="P252" s="420" t="n">
        <f aca="false">MATCH(t-pas/2-T_ini,CdP_t)</f>
        <v>6</v>
      </c>
      <c r="Q252" s="417" t="n">
        <f aca="false">(INDEX(CdP,2,i_P+1)-INDEX(CdP,2,i_P+0))/(INDEX(CdP,1,i_P+1)-INDEX(CdP,1,i_P+0))*(t-pas/2-T_ini-INDEX(CdP,1,i_P+0))+INDEX(CdP,2,i_P+0)</f>
        <v>516.650000000001</v>
      </c>
      <c r="R252" s="418" t="n">
        <f aca="false">Poussee/(g*ISP)</f>
        <v>0.259282563387536</v>
      </c>
      <c r="S252" s="419" t="n">
        <f aca="false">S251-Débit*pas</f>
        <v>7.55169608165684</v>
      </c>
      <c r="T252" s="417" t="n">
        <f aca="false">m*g</f>
        <v>74.0821385610536</v>
      </c>
      <c r="U252" s="421" t="n">
        <f aca="false">IF(pos_xz&lt;L_rampe,Poids*COS(Beta),0)</f>
        <v>0</v>
      </c>
      <c r="V252" s="418" t="n">
        <f aca="false">Rho_moyen*(20000-Alt_rampe-pos_z)/(20000+Alt_rampe+pos_z)</f>
        <v>1.19624214295149</v>
      </c>
      <c r="W252" s="417" t="n">
        <f aca="false">1/2*Rho*Sref*Cx*vit_xz^2</f>
        <v>114.438036088197</v>
      </c>
      <c r="X252" s="401"/>
      <c r="Y252" s="422" t="str">
        <f aca="false">IF(AND(pos_z&lt;=0,K251&gt;0),"Impact balistique","") &amp; IF(AND(H253&lt;0,vit_z&gt;=0),"Apogée","") &amp; IF(AND(Poussee=0,Q251&gt;0),"Fin de propulsion","") &amp; IF(AND(L253&gt;L_rampe,pos_xz&lt;=L_rampe),"Sortie de rampe","")</f>
        <v/>
      </c>
      <c r="Z252" s="423" t="str">
        <f aca="false">IF(ABS(t-T_para)&lt;pas/2,"Para","")</f>
        <v/>
      </c>
      <c r="AA252" s="424" t="str">
        <f aca="false">IF(ABS(t-T_satellite)&lt;pas/2,"Satellite","")</f>
        <v/>
      </c>
      <c r="AB252" s="412"/>
      <c r="AC252" s="420" t="e">
        <f aca="false">IF(ABS(t-ROUND(t,0))&lt;0.001,t,NA())</f>
        <v>#N/A</v>
      </c>
      <c r="AD252" s="425" t="e">
        <f aca="false">IF(ABS(t-ROUND(t,0))&lt;0.001,pos_x,NA())</f>
        <v>#N/A</v>
      </c>
      <c r="AE252" s="426" t="n">
        <f aca="false">IF(t&lt;T_para, pos_z, NA())</f>
        <v>237.54631177413</v>
      </c>
      <c r="AF252" s="412"/>
      <c r="AG252" s="418" t="n">
        <f aca="false">IF(AND(L251&lt;L_rampe,Poussee&lt;Poids*SIN(M251)),0,(-W251+Poussee)/m-Poids*SIN(M251)/m)</f>
        <v>43.762903637209</v>
      </c>
      <c r="AH252" s="417" t="n">
        <f aca="false">IF(AND(L251&lt;L_rampe,Poussee&lt;Poids*SIN(M251)), g*SIN(M251), (-W251+Poussee)/m)</f>
        <v>53.3336553242586</v>
      </c>
    </row>
    <row r="253" customFormat="false" ht="12" hidden="false" customHeight="false" outlineLevel="0" collapsed="false">
      <c r="A253" s="416" t="n">
        <f aca="false">IF(B252+0.01&lt;=T_ini+ROUNDUP(Temps_fin_propu,0), 0.01, IF(K252&gt;0, 0.1, 0.0001))</f>
        <v>0.01</v>
      </c>
      <c r="B253" s="417" t="n">
        <f aca="false">B252+pas</f>
        <v>2.48999999999999</v>
      </c>
      <c r="C253" s="401"/>
      <c r="D253" s="418" t="n">
        <f aca="false">IF(AND(L252&lt;L_rampe,Poussee&lt;Poids*SIN(M252)),0,(-W252+Poussee)/m*COS(M252)-U252/m*SIN(M252))</f>
        <v>11.658863053469</v>
      </c>
      <c r="E253" s="419" t="n">
        <f aca="false">IF(AND(L252&lt;L_rampe,Poussee&lt;Poids*SIN(M252)),0,(-W252+Poussee)/m*SIN(M252)+U252/m*COS(M252)-Poids/m)</f>
        <v>41.9798891053413</v>
      </c>
      <c r="F253" s="417" t="n">
        <f aca="false">SQRT(acc_x^2+acc_z^2)</f>
        <v>43.568798204636</v>
      </c>
      <c r="G253" s="418" t="n">
        <f aca="false">G252+acc_x*pas</f>
        <v>38.8543145197178</v>
      </c>
      <c r="H253" s="419" t="n">
        <f aca="false">H252+acc_z*pas</f>
        <v>172.496828940478</v>
      </c>
      <c r="I253" s="417" t="n">
        <f aca="false">SQRT(vit_x^2+vit_z^2)</f>
        <v>176.818589948336</v>
      </c>
      <c r="J253" s="418" t="n">
        <f aca="false">J252+0.5*(vit_x+G252)*pas*(K252&gt;=0)</f>
        <v>50.5508950761651</v>
      </c>
      <c r="K253" s="419" t="n">
        <f aca="false">K252+0.5*(vit_z+H252)*pas</f>
        <v>239.26918106908</v>
      </c>
      <c r="L253" s="417" t="n">
        <f aca="false">SQRT(pos_x^2+pos_z^2)</f>
        <v>244.55088223613</v>
      </c>
      <c r="M253" s="418" t="n">
        <f aca="false">IF(AND(L252&gt;L_rampe,G253&gt;0),ATAN2(G253,H253),$M$4)</f>
        <v>1.34924723298872</v>
      </c>
      <c r="N253" s="417" t="n">
        <f aca="false">DEGREES(Beta)</f>
        <v>77.3061719699583</v>
      </c>
      <c r="O253" s="401"/>
      <c r="P253" s="420" t="n">
        <f aca="false">MATCH(t-pas/2-T_ini,CdP_t)</f>
        <v>6</v>
      </c>
      <c r="Q253" s="417" t="n">
        <f aca="false">(INDEX(CdP,2,i_P+1)-INDEX(CdP,2,i_P+0))/(INDEX(CdP,1,i_P+1)-INDEX(CdP,1,i_P+0))*(t-pas/2-T_ini-INDEX(CdP,1,i_P+0))+INDEX(CdP,2,i_P+0)</f>
        <v>515.190000000001</v>
      </c>
      <c r="R253" s="418" t="n">
        <f aca="false">Poussee/(g*ISP)</f>
        <v>0.258549857411448</v>
      </c>
      <c r="S253" s="419" t="n">
        <f aca="false">S252-Débit*pas</f>
        <v>7.54911058308273</v>
      </c>
      <c r="T253" s="417" t="n">
        <f aca="false">m*g</f>
        <v>74.0567748200415</v>
      </c>
      <c r="U253" s="421" t="n">
        <f aca="false">IF(pos_xz&lt;L_rampe,Poids*COS(Beta),0)</f>
        <v>0</v>
      </c>
      <c r="V253" s="418" t="n">
        <f aca="false">Rho_moyen*(20000-Alt_rampe-pos_z)/(20000+Alt_rampe+pos_z)</f>
        <v>1.19603603453392</v>
      </c>
      <c r="W253" s="417" t="n">
        <f aca="false">1/2*Rho*Sref*Cx*vit_xz^2</f>
        <v>114.983578998074</v>
      </c>
      <c r="X253" s="401"/>
      <c r="Y253" s="422" t="str">
        <f aca="false">IF(AND(pos_z&lt;=0,K252&gt;0),"Impact balistique","") &amp; IF(AND(H254&lt;0,vit_z&gt;=0),"Apogée","") &amp; IF(AND(Poussee=0,Q252&gt;0),"Fin de propulsion","") &amp; IF(AND(L254&gt;L_rampe,pos_xz&lt;=L_rampe),"Sortie de rampe","")</f>
        <v/>
      </c>
      <c r="Z253" s="423" t="str">
        <f aca="false">IF(ABS(t-T_para)&lt;pas/2,"Para","")</f>
        <v/>
      </c>
      <c r="AA253" s="424" t="str">
        <f aca="false">IF(ABS(t-T_satellite)&lt;pas/2,"Satellite","")</f>
        <v/>
      </c>
      <c r="AB253" s="412"/>
      <c r="AC253" s="420" t="e">
        <f aca="false">IF(ABS(t-ROUND(t,0))&lt;0.001,t,NA())</f>
        <v>#N/A</v>
      </c>
      <c r="AD253" s="425" t="e">
        <f aca="false">IF(ABS(t-ROUND(t,0))&lt;0.001,pos_x,NA())</f>
        <v>#N/A</v>
      </c>
      <c r="AE253" s="426" t="n">
        <f aca="false">IF(t&lt;T_para, pos_z, NA())</f>
        <v>239.26918106908</v>
      </c>
      <c r="AF253" s="412"/>
      <c r="AG253" s="418" t="n">
        <f aca="false">IF(AND(L252&lt;L_rampe,Poussee&lt;Poids*SIN(M252)),0,(-W252+Poussee)/m-Poids*SIN(M252)/m)</f>
        <v>43.5154953044174</v>
      </c>
      <c r="AH253" s="417" t="n">
        <f aca="false">IF(AND(L252&lt;L_rampe,Poussee&lt;Poids*SIN(M252)), g*SIN(M252), (-W252+Poussee)/m)</f>
        <v>53.0859840376261</v>
      </c>
    </row>
    <row r="254" customFormat="false" ht="12" hidden="false" customHeight="false" outlineLevel="0" collapsed="false">
      <c r="A254" s="416" t="n">
        <f aca="false">IF(B253+0.01&lt;=T_ini+ROUNDUP(Temps_fin_propu,0), 0.01, IF(K253&gt;0, 0.1, 0.0001))</f>
        <v>0.01</v>
      </c>
      <c r="B254" s="417" t="n">
        <f aca="false">B253+pas</f>
        <v>2.49999999999999</v>
      </c>
      <c r="C254" s="401"/>
      <c r="D254" s="418" t="n">
        <f aca="false">IF(AND(L253&lt;L_rampe,Poussee&lt;Poids*SIN(M253)),0,(-W253+Poussee)/m*COS(M253)-U253/m*SIN(M253))</f>
        <v>11.6107609830752</v>
      </c>
      <c r="E254" s="419" t="n">
        <f aca="false">IF(AND(L253&lt;L_rampe,Poussee&lt;Poids*SIN(M253)),0,(-W253+Poussee)/m*SIN(M253)+U253/m*COS(M253)-Poids/m)</f>
        <v>41.7368996409629</v>
      </c>
      <c r="F254" s="417" t="n">
        <f aca="false">SQRT(acc_x^2+acc_z^2)</f>
        <v>43.3218023891656</v>
      </c>
      <c r="G254" s="418" t="n">
        <f aca="false">G253+acc_x*pas</f>
        <v>38.9704221295486</v>
      </c>
      <c r="H254" s="419" t="n">
        <f aca="false">H253+acc_z*pas</f>
        <v>172.914197936887</v>
      </c>
      <c r="I254" s="417" t="n">
        <f aca="false">SQRT(vit_x^2+vit_z^2)</f>
        <v>177.251272630445</v>
      </c>
      <c r="J254" s="418" t="n">
        <f aca="false">J253+0.5*(vit_x+G253)*pas*(K253&gt;=0)</f>
        <v>50.9400187594114</v>
      </c>
      <c r="K254" s="419" t="n">
        <f aca="false">K253+0.5*(vit_z+H253)*pas</f>
        <v>240.996236203467</v>
      </c>
      <c r="L254" s="417" t="n">
        <f aca="false">SQRT(pos_x^2+pos_z^2)</f>
        <v>246.321073754249</v>
      </c>
      <c r="M254" s="418" t="n">
        <f aca="false">IF(AND(L253&gt;L_rampe,G254&gt;0),ATAN2(G254,H254),$M$4)</f>
        <v>1.349125616916</v>
      </c>
      <c r="N254" s="417" t="n">
        <f aca="false">DEGREES(Beta)</f>
        <v>77.2992038822701</v>
      </c>
      <c r="O254" s="401"/>
      <c r="P254" s="420" t="n">
        <f aca="false">MATCH(t-pas/2-T_ini,CdP_t)</f>
        <v>6</v>
      </c>
      <c r="Q254" s="417" t="n">
        <f aca="false">(INDEX(CdP,2,i_P+1)-INDEX(CdP,2,i_P+0))/(INDEX(CdP,1,i_P+1)-INDEX(CdP,1,i_P+0))*(t-pas/2-T_ini-INDEX(CdP,1,i_P+0))+INDEX(CdP,2,i_P+0)</f>
        <v>513.730000000001</v>
      </c>
      <c r="R254" s="418" t="n">
        <f aca="false">Poussee/(g*ISP)</f>
        <v>0.25781715143536</v>
      </c>
      <c r="S254" s="419" t="n">
        <f aca="false">S253-Débit*pas</f>
        <v>7.54653241156837</v>
      </c>
      <c r="T254" s="417" t="n">
        <f aca="false">m*g</f>
        <v>74.0314829574857</v>
      </c>
      <c r="U254" s="421" t="n">
        <f aca="false">IF(pos_xz&lt;L_rampe,Poids*COS(Beta),0)</f>
        <v>0</v>
      </c>
      <c r="V254" s="418" t="n">
        <f aca="false">Rho_moyen*(20000-Alt_rampe-pos_z)/(20000+Alt_rampe+pos_z)</f>
        <v>1.19582946057554</v>
      </c>
      <c r="W254" s="417" t="n">
        <f aca="false">1/2*Rho*Sref*Cx*vit_xz^2</f>
        <v>115.527050273473</v>
      </c>
      <c r="X254" s="401"/>
      <c r="Y254" s="422" t="str">
        <f aca="false">IF(AND(pos_z&lt;=0,K253&gt;0),"Impact balistique","") &amp; IF(AND(H255&lt;0,vit_z&gt;=0),"Apogée","") &amp; IF(AND(Poussee=0,Q253&gt;0),"Fin de propulsion","") &amp; IF(AND(L255&gt;L_rampe,pos_xz&lt;=L_rampe),"Sortie de rampe","")</f>
        <v/>
      </c>
      <c r="Z254" s="423" t="str">
        <f aca="false">IF(ABS(t-T_para)&lt;pas/2,"Para","")</f>
        <v/>
      </c>
      <c r="AA254" s="424" t="str">
        <f aca="false">IF(ABS(t-T_satellite)&lt;pas/2,"Satellite","")</f>
        <v/>
      </c>
      <c r="AB254" s="412"/>
      <c r="AC254" s="420" t="e">
        <f aca="false">IF(ABS(t-ROUND(t,0))&lt;0.001,t,NA())</f>
        <v>#N/A</v>
      </c>
      <c r="AD254" s="425" t="e">
        <f aca="false">IF(ABS(t-ROUND(t,0))&lt;0.001,pos_x,NA())</f>
        <v>#N/A</v>
      </c>
      <c r="AE254" s="426" t="n">
        <f aca="false">IF(t&lt;T_para, pos_z, NA())</f>
        <v>240.996236203467</v>
      </c>
      <c r="AF254" s="412"/>
      <c r="AG254" s="418" t="n">
        <f aca="false">IF(AND(L253&lt;L_rampe,Poussee&lt;Poids*SIN(M253)),0,(-W253+Poussee)/m-Poids*SIN(M253)/m)</f>
        <v>43.2681371294623</v>
      </c>
      <c r="AH254" s="417" t="n">
        <f aca="false">IF(AND(L253&lt;L_rampe,Poussee&lt;Poids*SIN(M253)), g*SIN(M253), (-W253+Poussee)/m)</f>
        <v>52.8383632714111</v>
      </c>
    </row>
    <row r="255" customFormat="false" ht="12" hidden="false" customHeight="false" outlineLevel="0" collapsed="false">
      <c r="A255" s="416" t="n">
        <f aca="false">IF(B254+0.01&lt;=T_ini+ROUNDUP(Temps_fin_propu,0), 0.01, IF(K254&gt;0, 0.1, 0.0001))</f>
        <v>0.01</v>
      </c>
      <c r="B255" s="417" t="n">
        <f aca="false">B254+pas</f>
        <v>2.50999999999999</v>
      </c>
      <c r="C255" s="401"/>
      <c r="D255" s="418" t="n">
        <f aca="false">IF(AND(L254&lt;L_rampe,Poussee&lt;Poids*SIN(M254)),0,(-W254+Poussee)/m*COS(M254)-U254/m*SIN(M254))</f>
        <v>11.5541087728023</v>
      </c>
      <c r="E255" s="419" t="n">
        <f aca="false">IF(AND(L254&lt;L_rampe,Poussee&lt;Poids*SIN(M254)),0,(-W254+Poussee)/m*SIN(M254)+U254/m*COS(M254)-Poids/m)</f>
        <v>41.4563025482039</v>
      </c>
      <c r="F255" s="417" t="n">
        <f aca="false">SQRT(acc_x^2+acc_z^2)</f>
        <v>43.0362922485426</v>
      </c>
      <c r="G255" s="418" t="n">
        <f aca="false">G254+acc_x*pas</f>
        <v>39.0859632172766</v>
      </c>
      <c r="H255" s="419" t="n">
        <f aca="false">H254+acc_z*pas</f>
        <v>173.328760962369</v>
      </c>
      <c r="I255" s="417" t="n">
        <f aca="false">SQRT(vit_x^2+vit_z^2)</f>
        <v>177.681096060815</v>
      </c>
      <c r="J255" s="418" t="n">
        <f aca="false">J254+0.5*(vit_x+G254)*pas*(K254&gt;=0)</f>
        <v>51.3303006861455</v>
      </c>
      <c r="K255" s="419" t="n">
        <f aca="false">K254+0.5*(vit_z+H254)*pas</f>
        <v>242.727450997963</v>
      </c>
      <c r="L255" s="417" t="n">
        <f aca="false">SQRT(pos_x^2+pos_z^2)</f>
        <v>248.095576817683</v>
      </c>
      <c r="M255" s="418" t="n">
        <f aca="false">IF(AND(L254&gt;L_rampe,G255&gt;0),ATAN2(G255,H255),$M$4)</f>
        <v>1.34900422953763</v>
      </c>
      <c r="N255" s="417" t="n">
        <f aca="false">DEGREES(Beta)</f>
        <v>77.2922488978034</v>
      </c>
      <c r="O255" s="401"/>
      <c r="P255" s="420" t="n">
        <f aca="false">MATCH(t-pas/2-T_ini,CdP_t)</f>
        <v>7</v>
      </c>
      <c r="Q255" s="417" t="n">
        <f aca="false">(INDEX(CdP,2,i_P+1)-INDEX(CdP,2,i_P+0))/(INDEX(CdP,1,i_P+1)-INDEX(CdP,1,i_P+0))*(t-pas/2-T_ini-INDEX(CdP,1,i_P+0))+INDEX(CdP,2,i_P+0)</f>
        <v>511.978723404257</v>
      </c>
      <c r="R255" s="418" t="n">
        <f aca="false">Poussee/(g*ISP)</f>
        <v>0.256938267306946</v>
      </c>
      <c r="S255" s="419" t="n">
        <f aca="false">S254-Débit*pas</f>
        <v>7.5439630288953</v>
      </c>
      <c r="T255" s="417" t="n">
        <f aca="false">m*g</f>
        <v>74.0062773134629</v>
      </c>
      <c r="U255" s="421" t="n">
        <f aca="false">IF(pos_xz&lt;L_rampe,Poids*COS(Beta),0)</f>
        <v>0</v>
      </c>
      <c r="V255" s="418" t="n">
        <f aca="false">Rho_moyen*(20000-Alt_rampe-pos_z)/(20000+Alt_rampe+pos_z)</f>
        <v>1.19562242445419</v>
      </c>
      <c r="W255" s="417" t="n">
        <f aca="false">1/2*Rho*Sref*Cx*vit_xz^2</f>
        <v>116.067923058465</v>
      </c>
      <c r="X255" s="401"/>
      <c r="Y255" s="422" t="str">
        <f aca="false">IF(AND(pos_z&lt;=0,K254&gt;0),"Impact balistique","") &amp; IF(AND(H256&lt;0,vit_z&gt;=0),"Apogée","") &amp; IF(AND(Poussee=0,Q254&gt;0),"Fin de propulsion","") &amp; IF(AND(L256&gt;L_rampe,pos_xz&lt;=L_rampe),"Sortie de rampe","")</f>
        <v/>
      </c>
      <c r="Z255" s="423" t="str">
        <f aca="false">IF(ABS(t-T_para)&lt;pas/2,"Para","")</f>
        <v/>
      </c>
      <c r="AA255" s="424" t="str">
        <f aca="false">IF(ABS(t-T_satellite)&lt;pas/2,"Satellite","")</f>
        <v/>
      </c>
      <c r="AB255" s="412"/>
      <c r="AC255" s="420" t="e">
        <f aca="false">IF(ABS(t-ROUND(t,0))&lt;0.001,t,NA())</f>
        <v>#N/A</v>
      </c>
      <c r="AD255" s="425" t="e">
        <f aca="false">IF(ABS(t-ROUND(t,0))&lt;0.001,pos_x,NA())</f>
        <v>#N/A</v>
      </c>
      <c r="AE255" s="426" t="n">
        <f aca="false">IF(t&lt;T_para, pos_z, NA())</f>
        <v>242.727450997963</v>
      </c>
      <c r="AF255" s="412"/>
      <c r="AG255" s="418" t="n">
        <f aca="false">IF(AND(L254&lt;L_rampe,Poussee&lt;Poids*SIN(M254)),0,(-W254+Poussee)/m-Poids*SIN(M254)/m)</f>
        <v>42.9822121313777</v>
      </c>
      <c r="AH255" s="417" t="n">
        <f aca="false">IF(AND(L254&lt;L_rampe,Poussee&lt;Poids*SIN(M254)), g*SIN(M254), (-W254+Poussee)/m)</f>
        <v>52.5521760396059</v>
      </c>
    </row>
    <row r="256" customFormat="false" ht="12" hidden="false" customHeight="false" outlineLevel="0" collapsed="false">
      <c r="A256" s="416" t="n">
        <f aca="false">IF(B255+0.01&lt;=T_ini+ROUNDUP(Temps_fin_propu,0), 0.01, IF(K255&gt;0, 0.1, 0.0001))</f>
        <v>0.01</v>
      </c>
      <c r="B256" s="417" t="n">
        <f aca="false">B255+pas</f>
        <v>2.51999999999999</v>
      </c>
      <c r="C256" s="401"/>
      <c r="D256" s="418" t="n">
        <f aca="false">IF(AND(L255&lt;L_rampe,Poussee&lt;Poids*SIN(M255)),0,(-W255+Poussee)/m*COS(M255)-U255/m*SIN(M255))</f>
        <v>11.4888977339701</v>
      </c>
      <c r="E256" s="419" t="n">
        <f aca="false">IF(AND(L255&lt;L_rampe,Poussee&lt;Poids*SIN(M255)),0,(-W255+Poussee)/m*SIN(M255)+U255/m*COS(M255)-Poids/m)</f>
        <v>41.1381216564264</v>
      </c>
      <c r="F256" s="417" t="n">
        <f aca="false">SQRT(acc_x^2+acc_z^2)</f>
        <v>42.7122912586127</v>
      </c>
      <c r="G256" s="418" t="n">
        <f aca="false">G255+acc_x*pas</f>
        <v>39.2008521946163</v>
      </c>
      <c r="H256" s="419" t="n">
        <f aca="false">H255+acc_z*pas</f>
        <v>173.740142178934</v>
      </c>
      <c r="I256" s="417" t="n">
        <f aca="false">SQRT(vit_x^2+vit_z^2)</f>
        <v>178.107674784497</v>
      </c>
      <c r="J256" s="418" t="n">
        <f aca="false">J255+0.5*(vit_x+G255)*pas*(K255&gt;=0)</f>
        <v>51.721734763205</v>
      </c>
      <c r="K256" s="419" t="n">
        <f aca="false">K255+0.5*(vit_z+H255)*pas</f>
        <v>244.46279551367</v>
      </c>
      <c r="L256" s="417" t="n">
        <f aca="false">SQRT(pos_x^2+pos_z^2)</f>
        <v>249.874360904182</v>
      </c>
      <c r="M256" s="418" t="n">
        <f aca="false">IF(AND(L255&gt;L_rampe,G256&gt;0),ATAN2(G256,H256),$M$4)</f>
        <v>1.34888306766725</v>
      </c>
      <c r="N256" s="417" t="n">
        <f aca="false">DEGREES(Beta)</f>
        <v>77.2853068339927</v>
      </c>
      <c r="O256" s="401"/>
      <c r="P256" s="420" t="n">
        <f aca="false">MATCH(t-pas/2-T_ini,CdP_t)</f>
        <v>7</v>
      </c>
      <c r="Q256" s="417" t="n">
        <f aca="false">(INDEX(CdP,2,i_P+1)-INDEX(CdP,2,i_P+0))/(INDEX(CdP,1,i_P+1)-INDEX(CdP,1,i_P+0))*(t-pas/2-T_ini-INDEX(CdP,1,i_P+0))+INDEX(CdP,2,i_P+0)</f>
        <v>509.936170212768</v>
      </c>
      <c r="R256" s="418" t="n">
        <f aca="false">Poussee/(g*ISP)</f>
        <v>0.255913205026205</v>
      </c>
      <c r="S256" s="419" t="n">
        <f aca="false">S255-Débit*pas</f>
        <v>7.54140389684504</v>
      </c>
      <c r="T256" s="417" t="n">
        <f aca="false">m*g</f>
        <v>73.9811722280498</v>
      </c>
      <c r="U256" s="421" t="n">
        <f aca="false">IF(pos_xz&lt;L_rampe,Poids*COS(Beta),0)</f>
        <v>0</v>
      </c>
      <c r="V256" s="418" t="n">
        <f aca="false">Rho_moyen*(20000-Alt_rampe-pos_z)/(20000+Alt_rampe+pos_z)</f>
        <v>1.19541492999551</v>
      </c>
      <c r="W256" s="417" t="n">
        <f aca="false">1/2*Rho*Sref*Cx*vit_xz^2</f>
        <v>116.605666487284</v>
      </c>
      <c r="X256" s="401"/>
      <c r="Y256" s="422" t="str">
        <f aca="false">IF(AND(pos_z&lt;=0,K255&gt;0),"Impact balistique","") &amp; IF(AND(H257&lt;0,vit_z&gt;=0),"Apogée","") &amp; IF(AND(Poussee=0,Q255&gt;0),"Fin de propulsion","") &amp; IF(AND(L257&gt;L_rampe,pos_xz&lt;=L_rampe),"Sortie de rampe","")</f>
        <v/>
      </c>
      <c r="Z256" s="423" t="str">
        <f aca="false">IF(ABS(t-T_para)&lt;pas/2,"Para","")</f>
        <v/>
      </c>
      <c r="AA256" s="424" t="str">
        <f aca="false">IF(ABS(t-T_satellite)&lt;pas/2,"Satellite","")</f>
        <v/>
      </c>
      <c r="AB256" s="412"/>
      <c r="AC256" s="420" t="e">
        <f aca="false">IF(ABS(t-ROUND(t,0))&lt;0.001,t,NA())</f>
        <v>#N/A</v>
      </c>
      <c r="AD256" s="425" t="e">
        <f aca="false">IF(ABS(t-ROUND(t,0))&lt;0.001,pos_x,NA())</f>
        <v>#N/A</v>
      </c>
      <c r="AE256" s="426" t="n">
        <f aca="false">IF(t&lt;T_para, pos_z, NA())</f>
        <v>244.46279551367</v>
      </c>
      <c r="AF256" s="412"/>
      <c r="AG256" s="418" t="n">
        <f aca="false">IF(AND(L255&lt;L_rampe,Poussee&lt;Poids*SIN(M255)),0,(-W255+Poussee)/m-Poids*SIN(M255)/m)</f>
        <v>42.6577416354432</v>
      </c>
      <c r="AH256" s="417" t="n">
        <f aca="false">IF(AND(L255&lt;L_rampe,Poussee&lt;Poids*SIN(M255)), g*SIN(M255), (-W255+Poussee)/m)</f>
        <v>52.2274436619259</v>
      </c>
    </row>
    <row r="257" customFormat="false" ht="12" hidden="false" customHeight="false" outlineLevel="0" collapsed="false">
      <c r="A257" s="416" t="n">
        <f aca="false">IF(B256+0.01&lt;=T_ini+ROUNDUP(Temps_fin_propu,0), 0.01, IF(K256&gt;0, 0.1, 0.0001))</f>
        <v>0.01</v>
      </c>
      <c r="B257" s="417" t="n">
        <f aca="false">B256+pas</f>
        <v>2.52999999999999</v>
      </c>
      <c r="C257" s="401"/>
      <c r="D257" s="418" t="n">
        <f aca="false">IF(AND(L256&lt;L_rampe,Poussee&lt;Poids*SIN(M256)),0,(-W256+Poussee)/m*COS(M256)-U256/m*SIN(M256))</f>
        <v>11.4236255073972</v>
      </c>
      <c r="E257" s="419" t="n">
        <f aca="false">IF(AND(L256&lt;L_rampe,Poussee&lt;Poids*SIN(M256)),0,(-W256+Poussee)/m*SIN(M256)+U256/m*COS(M256)-Poids/m)</f>
        <v>40.820080948257</v>
      </c>
      <c r="F257" s="417" t="n">
        <f aca="false">SQRT(acc_x^2+acc_z^2)</f>
        <v>42.388420923119</v>
      </c>
      <c r="G257" s="418" t="n">
        <f aca="false">G256+acc_x*pas</f>
        <v>39.3150884496903</v>
      </c>
      <c r="H257" s="419" t="n">
        <f aca="false">H256+acc_z*pas</f>
        <v>174.148342988416</v>
      </c>
      <c r="I257" s="417" t="n">
        <f aca="false">SQRT(vit_x^2+vit_z^2)</f>
        <v>178.531010038643</v>
      </c>
      <c r="J257" s="418" t="n">
        <f aca="false">J256+0.5*(vit_x+G256)*pas*(K256&gt;=0)</f>
        <v>52.1143144664265</v>
      </c>
      <c r="K257" s="419" t="n">
        <f aca="false">K256+0.5*(vit_z+H256)*pas</f>
        <v>246.202237939506</v>
      </c>
      <c r="L257" s="417" t="n">
        <f aca="false">SQRT(pos_x^2+pos_z^2)</f>
        <v>251.657393570558</v>
      </c>
      <c r="M257" s="418" t="n">
        <f aca="false">IF(AND(L256&gt;L_rampe,G257&gt;0),ATAN2(G257,H257),$M$4)</f>
        <v>1.34876212815275</v>
      </c>
      <c r="N257" s="417" t="n">
        <f aca="false">DEGREES(Beta)</f>
        <v>77.2783775102355</v>
      </c>
      <c r="O257" s="401"/>
      <c r="P257" s="420" t="n">
        <f aca="false">MATCH(t-pas/2-T_ini,CdP_t)</f>
        <v>7</v>
      </c>
      <c r="Q257" s="417" t="n">
        <f aca="false">(INDEX(CdP,2,i_P+1)-INDEX(CdP,2,i_P+0))/(INDEX(CdP,1,i_P+1)-INDEX(CdP,1,i_P+0))*(t-pas/2-T_ini-INDEX(CdP,1,i_P+0))+INDEX(CdP,2,i_P+0)</f>
        <v>507.893617021279</v>
      </c>
      <c r="R257" s="418" t="n">
        <f aca="false">Poussee/(g*ISP)</f>
        <v>0.254888142745464</v>
      </c>
      <c r="S257" s="419" t="n">
        <f aca="false">S256-Débit*pas</f>
        <v>7.53885501541759</v>
      </c>
      <c r="T257" s="417" t="n">
        <f aca="false">m*g</f>
        <v>73.9561677012465</v>
      </c>
      <c r="U257" s="421" t="n">
        <f aca="false">IF(pos_xz&lt;L_rampe,Poids*COS(Beta),0)</f>
        <v>0</v>
      </c>
      <c r="V257" s="418" t="n">
        <f aca="false">Rho_moyen*(20000-Alt_rampe-pos_z)/(20000+Alt_rampe+pos_z)</f>
        <v>1.19520698124701</v>
      </c>
      <c r="W257" s="417" t="n">
        <f aca="false">1/2*Rho*Sref*Cx*vit_xz^2</f>
        <v>117.140252922075</v>
      </c>
      <c r="X257" s="401"/>
      <c r="Y257" s="422" t="str">
        <f aca="false">IF(AND(pos_z&lt;=0,K256&gt;0),"Impact balistique","") &amp; IF(AND(H258&lt;0,vit_z&gt;=0),"Apogée","") &amp; IF(AND(Poussee=0,Q256&gt;0),"Fin de propulsion","") &amp; IF(AND(L258&gt;L_rampe,pos_xz&lt;=L_rampe),"Sortie de rampe","")</f>
        <v/>
      </c>
      <c r="Z257" s="423" t="str">
        <f aca="false">IF(ABS(t-T_para)&lt;pas/2,"Para","")</f>
        <v/>
      </c>
      <c r="AA257" s="424" t="str">
        <f aca="false">IF(ABS(t-T_satellite)&lt;pas/2,"Satellite","")</f>
        <v/>
      </c>
      <c r="AB257" s="412"/>
      <c r="AC257" s="420" t="e">
        <f aca="false">IF(ABS(t-ROUND(t,0))&lt;0.001,t,NA())</f>
        <v>#N/A</v>
      </c>
      <c r="AD257" s="425" t="e">
        <f aca="false">IF(ABS(t-ROUND(t,0))&lt;0.001,pos_x,NA())</f>
        <v>#N/A</v>
      </c>
      <c r="AE257" s="426" t="n">
        <f aca="false">IF(t&lt;T_para, pos_z, NA())</f>
        <v>246.202237939506</v>
      </c>
      <c r="AF257" s="412"/>
      <c r="AG257" s="418" t="n">
        <f aca="false">IF(AND(L256&lt;L_rampe,Poussee&lt;Poids*SIN(M256)),0,(-W256+Poussee)/m-Poids*SIN(M256)/m)</f>
        <v>42.3333948515742</v>
      </c>
      <c r="AH257" s="417" t="n">
        <f aca="false">IF(AND(L256&lt;L_rampe,Poussee&lt;Poids*SIN(M256)), g*SIN(M256), (-W256+Poussee)/m)</f>
        <v>51.9028353422076</v>
      </c>
    </row>
    <row r="258" customFormat="false" ht="12" hidden="false" customHeight="false" outlineLevel="0" collapsed="false">
      <c r="A258" s="416" t="n">
        <f aca="false">IF(B257+0.01&lt;=T_ini+ROUNDUP(Temps_fin_propu,0), 0.01, IF(K257&gt;0, 0.1, 0.0001))</f>
        <v>0.01</v>
      </c>
      <c r="B258" s="417" t="n">
        <f aca="false">B257+pas</f>
        <v>2.53999999999999</v>
      </c>
      <c r="C258" s="401"/>
      <c r="D258" s="418" t="n">
        <f aca="false">IF(AND(L257&lt;L_rampe,Poussee&lt;Poids*SIN(M257)),0,(-W257+Poussee)/m*COS(M257)-U257/m*SIN(M257))</f>
        <v>11.358293640875</v>
      </c>
      <c r="E258" s="419" t="n">
        <f aca="false">IF(AND(L257&lt;L_rampe,Poussee&lt;Poids*SIN(M257)),0,(-W257+Poussee)/m*SIN(M257)+U257/m*COS(M257)-Poids/m)</f>
        <v>40.5021853398712</v>
      </c>
      <c r="F258" s="417" t="n">
        <f aca="false">SQRT(acc_x^2+acc_z^2)</f>
        <v>42.0646865165737</v>
      </c>
      <c r="G258" s="418" t="n">
        <f aca="false">G257+acc_x*pas</f>
        <v>39.428671386099</v>
      </c>
      <c r="H258" s="419" t="n">
        <f aca="false">H257+acc_z*pas</f>
        <v>174.553364841815</v>
      </c>
      <c r="I258" s="417" t="n">
        <f aca="false">SQRT(vit_x^2+vit_z^2)</f>
        <v>178.95110311164</v>
      </c>
      <c r="J258" s="418" t="n">
        <f aca="false">J257+0.5*(vit_x+G257)*pas*(K257&gt;=0)</f>
        <v>52.5080332656055</v>
      </c>
      <c r="K258" s="419" t="n">
        <f aca="false">K257+0.5*(vit_z+H257)*pas</f>
        <v>247.945746478657</v>
      </c>
      <c r="L258" s="417" t="n">
        <f aca="false">SQRT(pos_x^2+pos_z^2)</f>
        <v>253.444642386223</v>
      </c>
      <c r="M258" s="418" t="n">
        <f aca="false">IF(AND(L257&gt;L_rampe,G258&gt;0),ATAN2(G258,H258),$M$4)</f>
        <v>1.34864140787565</v>
      </c>
      <c r="N258" s="417" t="n">
        <f aca="false">DEGREES(Beta)</f>
        <v>77.2714607478563</v>
      </c>
      <c r="O258" s="401"/>
      <c r="P258" s="420" t="n">
        <f aca="false">MATCH(t-pas/2-T_ini,CdP_t)</f>
        <v>7</v>
      </c>
      <c r="Q258" s="417" t="n">
        <f aca="false">(INDEX(CdP,2,i_P+1)-INDEX(CdP,2,i_P+0))/(INDEX(CdP,1,i_P+1)-INDEX(CdP,1,i_P+0))*(t-pas/2-T_ini-INDEX(CdP,1,i_P+0))+INDEX(CdP,2,i_P+0)</f>
        <v>505.851063829789</v>
      </c>
      <c r="R258" s="418" t="n">
        <f aca="false">Poussee/(g*ISP)</f>
        <v>0.253863080464724</v>
      </c>
      <c r="S258" s="419" t="n">
        <f aca="false">S257-Débit*pas</f>
        <v>7.53631638461294</v>
      </c>
      <c r="T258" s="417" t="n">
        <f aca="false">m*g</f>
        <v>73.9312637330529</v>
      </c>
      <c r="U258" s="421" t="n">
        <f aca="false">IF(pos_xz&lt;L_rampe,Poids*COS(Beta),0)</f>
        <v>0</v>
      </c>
      <c r="V258" s="418" t="n">
        <f aca="false">Rho_moyen*(20000-Alt_rampe-pos_z)/(20000+Alt_rampe+pos_z)</f>
        <v>1.19499858225231</v>
      </c>
      <c r="W258" s="417" t="n">
        <f aca="false">1/2*Rho*Sref*Cx*vit_xz^2</f>
        <v>117.671655073667</v>
      </c>
      <c r="X258" s="401"/>
      <c r="Y258" s="422" t="str">
        <f aca="false">IF(AND(pos_z&lt;=0,K257&gt;0),"Impact balistique","") &amp; IF(AND(H259&lt;0,vit_z&gt;=0),"Apogée","") &amp; IF(AND(Poussee=0,Q257&gt;0),"Fin de propulsion","") &amp; IF(AND(L259&gt;L_rampe,pos_xz&lt;=L_rampe),"Sortie de rampe","")</f>
        <v/>
      </c>
      <c r="Z258" s="423" t="str">
        <f aca="false">IF(ABS(t-T_para)&lt;pas/2,"Para","")</f>
        <v/>
      </c>
      <c r="AA258" s="424" t="str">
        <f aca="false">IF(ABS(t-T_satellite)&lt;pas/2,"Satellite","")</f>
        <v/>
      </c>
      <c r="AB258" s="412"/>
      <c r="AC258" s="420" t="e">
        <f aca="false">IF(ABS(t-ROUND(t,0))&lt;0.001,t,NA())</f>
        <v>#N/A</v>
      </c>
      <c r="AD258" s="425" t="e">
        <f aca="false">IF(ABS(t-ROUND(t,0))&lt;0.001,pos_x,NA())</f>
        <v>#N/A</v>
      </c>
      <c r="AE258" s="426" t="n">
        <f aca="false">IF(t&lt;T_para, pos_z, NA())</f>
        <v>247.945746478657</v>
      </c>
      <c r="AF258" s="412"/>
      <c r="AG258" s="418" t="n">
        <f aca="false">IF(AND(L257&lt;L_rampe,Poussee&lt;Poids*SIN(M257)),0,(-W257+Poussee)/m-Poids*SIN(M257)/m)</f>
        <v>42.0091769035166</v>
      </c>
      <c r="AH258" s="417" t="n">
        <f aca="false">IF(AND(L257&lt;L_rampe,Poussee&lt;Poids*SIN(M257)), g*SIN(M257), (-W257+Poussee)/m)</f>
        <v>51.5783561981757</v>
      </c>
    </row>
    <row r="259" customFormat="false" ht="12" hidden="false" customHeight="false" outlineLevel="0" collapsed="false">
      <c r="A259" s="416" t="n">
        <f aca="false">IF(B258+0.01&lt;=T_ini+ROUNDUP(Temps_fin_propu,0), 0.01, IF(K258&gt;0, 0.1, 0.0001))</f>
        <v>0.01</v>
      </c>
      <c r="B259" s="417" t="n">
        <f aca="false">B258+pas</f>
        <v>2.54999999999999</v>
      </c>
      <c r="C259" s="401"/>
      <c r="D259" s="418" t="n">
        <f aca="false">IF(AND(L258&lt;L_rampe,Poussee&lt;Poids*SIN(M258)),0,(-W258+Poussee)/m*COS(M258)-U258/m*SIN(M258))</f>
        <v>11.2929036698226</v>
      </c>
      <c r="E259" s="419" t="n">
        <f aca="false">IF(AND(L258&lt;L_rampe,Poussee&lt;Poids*SIN(M258)),0,(-W258+Poussee)/m*SIN(M258)+U258/m*COS(M258)-Poids/m)</f>
        <v>40.1844397085869</v>
      </c>
      <c r="F259" s="417" t="n">
        <f aca="false">SQRT(acc_x^2+acc_z^2)</f>
        <v>41.7410932773562</v>
      </c>
      <c r="G259" s="418" t="n">
        <f aca="false">G258+acc_x*pas</f>
        <v>39.5416004227972</v>
      </c>
      <c r="H259" s="419" t="n">
        <f aca="false">H258+acc_z*pas</f>
        <v>174.955209238901</v>
      </c>
      <c r="I259" s="417" t="n">
        <f aca="false">SQRT(vit_x^2+vit_z^2)</f>
        <v>179.367955342708</v>
      </c>
      <c r="J259" s="418" t="n">
        <f aca="false">J258+0.5*(vit_x+G258)*pas*(K258&gt;=0)</f>
        <v>52.90288462465</v>
      </c>
      <c r="K259" s="419" t="n">
        <f aca="false">K258+0.5*(vit_z+H258)*pas</f>
        <v>249.693289349061</v>
      </c>
      <c r="L259" s="417" t="n">
        <f aca="false">SQRT(pos_x^2+pos_z^2)</f>
        <v>255.236074933703</v>
      </c>
      <c r="M259" s="418" t="n">
        <f aca="false">IF(AND(L258&gt;L_rampe,G259&gt;0),ATAN2(G259,H259),$M$4)</f>
        <v>1.34852090375052</v>
      </c>
      <c r="N259" s="417" t="n">
        <f aca="false">DEGREES(Beta)</f>
        <v>77.2645563700721</v>
      </c>
      <c r="O259" s="401"/>
      <c r="P259" s="420" t="n">
        <f aca="false">MATCH(t-pas/2-T_ini,CdP_t)</f>
        <v>7</v>
      </c>
      <c r="Q259" s="417" t="n">
        <f aca="false">(INDEX(CdP,2,i_P+1)-INDEX(CdP,2,i_P+0))/(INDEX(CdP,1,i_P+1)-INDEX(CdP,1,i_P+0))*(t-pas/2-T_ini-INDEX(CdP,1,i_P+0))+INDEX(CdP,2,i_P+0)</f>
        <v>503.8085106383</v>
      </c>
      <c r="R259" s="418" t="n">
        <f aca="false">Poussee/(g*ISP)</f>
        <v>0.252838018183983</v>
      </c>
      <c r="S259" s="419" t="n">
        <f aca="false">S258-Débit*pas</f>
        <v>7.5337880044311</v>
      </c>
      <c r="T259" s="417" t="n">
        <f aca="false">m*g</f>
        <v>73.9064603234691</v>
      </c>
      <c r="U259" s="421" t="n">
        <f aca="false">IF(pos_xz&lt;L_rampe,Poids*COS(Beta),0)</f>
        <v>0</v>
      </c>
      <c r="V259" s="418" t="n">
        <f aca="false">Rho_moyen*(20000-Alt_rampe-pos_z)/(20000+Alt_rampe+pos_z)</f>
        <v>1.19478973705113</v>
      </c>
      <c r="W259" s="417" t="n">
        <f aca="false">1/2*Rho*Sref*Cx*vit_xz^2</f>
        <v>118.19984600124</v>
      </c>
      <c r="X259" s="401"/>
      <c r="Y259" s="422" t="str">
        <f aca="false">IF(AND(pos_z&lt;=0,K258&gt;0),"Impact balistique","") &amp; IF(AND(H260&lt;0,vit_z&gt;=0),"Apogée","") &amp; IF(AND(Poussee=0,Q258&gt;0),"Fin de propulsion","") &amp; IF(AND(L260&gt;L_rampe,pos_xz&lt;=L_rampe),"Sortie de rampe","")</f>
        <v/>
      </c>
      <c r="Z259" s="423" t="str">
        <f aca="false">IF(ABS(t-T_para)&lt;pas/2,"Para","")</f>
        <v/>
      </c>
      <c r="AA259" s="424" t="str">
        <f aca="false">IF(ABS(t-T_satellite)&lt;pas/2,"Satellite","")</f>
        <v/>
      </c>
      <c r="AB259" s="412"/>
      <c r="AC259" s="420" t="e">
        <f aca="false">IF(ABS(t-ROUND(t,0))&lt;0.001,t,NA())</f>
        <v>#N/A</v>
      </c>
      <c r="AD259" s="425" t="e">
        <f aca="false">IF(ABS(t-ROUND(t,0))&lt;0.001,pos_x,NA())</f>
        <v>#N/A</v>
      </c>
      <c r="AE259" s="426" t="n">
        <f aca="false">IF(t&lt;T_para, pos_z, NA())</f>
        <v>249.693289349061</v>
      </c>
      <c r="AF259" s="412"/>
      <c r="AG259" s="418" t="n">
        <f aca="false">IF(AND(L258&lt;L_rampe,Poussee&lt;Poids*SIN(M258)),0,(-W258+Poussee)/m-Poids*SIN(M258)/m)</f>
        <v>41.685092874535</v>
      </c>
      <c r="AH259" s="417" t="n">
        <f aca="false">IF(AND(L258&lt;L_rampe,Poussee&lt;Poids*SIN(M258)), g*SIN(M258), (-W258+Poussee)/m)</f>
        <v>51.2540113071302</v>
      </c>
    </row>
    <row r="260" customFormat="false" ht="12" hidden="false" customHeight="false" outlineLevel="0" collapsed="false">
      <c r="A260" s="416" t="n">
        <f aca="false">IF(B259+0.01&lt;=T_ini+ROUNDUP(Temps_fin_propu,0), 0.01, IF(K259&gt;0, 0.1, 0.0001))</f>
        <v>0.01</v>
      </c>
      <c r="B260" s="417" t="n">
        <f aca="false">B259+pas</f>
        <v>2.55999999999999</v>
      </c>
      <c r="C260" s="401"/>
      <c r="D260" s="418" t="n">
        <f aca="false">IF(AND(L259&lt;L_rampe,Poussee&lt;Poids*SIN(M259)),0,(-W259+Poussee)/m*COS(M259)-U259/m*SIN(M259))</f>
        <v>11.2274571173193</v>
      </c>
      <c r="E260" s="419" t="n">
        <f aca="false">IF(AND(L259&lt;L_rampe,Poussee&lt;Poids*SIN(M259)),0,(-W259+Poussee)/m*SIN(M259)+U259/m*COS(M259)-Poids/m)</f>
        <v>39.8668488927648</v>
      </c>
      <c r="F260" s="417" t="n">
        <f aca="false">SQRT(acc_x^2+acc_z^2)</f>
        <v>41.4176464077787</v>
      </c>
      <c r="G260" s="418" t="n">
        <f aca="false">G259+acc_x*pas</f>
        <v>39.6538749939704</v>
      </c>
      <c r="H260" s="419" t="n">
        <f aca="false">H259+acc_z*pas</f>
        <v>175.353877727829</v>
      </c>
      <c r="I260" s="417" t="n">
        <f aca="false">SQRT(vit_x^2+vit_z^2)</f>
        <v>179.781568121495</v>
      </c>
      <c r="J260" s="418" t="n">
        <f aca="false">J259+0.5*(vit_x+G259)*pas*(K259&gt;=0)</f>
        <v>53.2988620017338</v>
      </c>
      <c r="K260" s="419" t="n">
        <f aca="false">K259+0.5*(vit_z+H259)*pas</f>
        <v>251.444834783895</v>
      </c>
      <c r="L260" s="417" t="n">
        <f aca="false">SQRT(pos_x^2+pos_z^2)</f>
        <v>257.031658809144</v>
      </c>
      <c r="M260" s="418" t="n">
        <f aca="false">IF(AND(L259&gt;L_rampe,G260&gt;0),ATAN2(G260,H260),$M$4)</f>
        <v>1.34840061272432</v>
      </c>
      <c r="N260" s="417" t="n">
        <f aca="false">DEGREES(Beta)</f>
        <v>77.2576642019578</v>
      </c>
      <c r="O260" s="401"/>
      <c r="P260" s="420" t="n">
        <f aca="false">MATCH(t-pas/2-T_ini,CdP_t)</f>
        <v>7</v>
      </c>
      <c r="Q260" s="417" t="n">
        <f aca="false">(INDEX(CdP,2,i_P+1)-INDEX(CdP,2,i_P+0))/(INDEX(CdP,1,i_P+1)-INDEX(CdP,1,i_P+0))*(t-pas/2-T_ini-INDEX(CdP,1,i_P+0))+INDEX(CdP,2,i_P+0)</f>
        <v>501.765957446811</v>
      </c>
      <c r="R260" s="418" t="n">
        <f aca="false">Poussee/(g*ISP)</f>
        <v>0.251812955903242</v>
      </c>
      <c r="S260" s="419" t="n">
        <f aca="false">S259-Débit*pas</f>
        <v>7.53126987487207</v>
      </c>
      <c r="T260" s="417" t="n">
        <f aca="false">m*g</f>
        <v>73.881757472495</v>
      </c>
      <c r="U260" s="421" t="n">
        <f aca="false">IF(pos_xz&lt;L_rampe,Poids*COS(Beta),0)</f>
        <v>0</v>
      </c>
      <c r="V260" s="418" t="n">
        <f aca="false">Rho_moyen*(20000-Alt_rampe-pos_z)/(20000+Alt_rampe+pos_z)</f>
        <v>1.1945804496792</v>
      </c>
      <c r="W260" s="417" t="n">
        <f aca="false">1/2*Rho*Sref*Cx*vit_xz^2</f>
        <v>118.724799111978</v>
      </c>
      <c r="X260" s="401"/>
      <c r="Y260" s="422" t="str">
        <f aca="false">IF(AND(pos_z&lt;=0,K259&gt;0),"Impact balistique","") &amp; IF(AND(H261&lt;0,vit_z&gt;=0),"Apogée","") &amp; IF(AND(Poussee=0,Q259&gt;0),"Fin de propulsion","") &amp; IF(AND(L261&gt;L_rampe,pos_xz&lt;=L_rampe),"Sortie de rampe","")</f>
        <v/>
      </c>
      <c r="Z260" s="423" t="str">
        <f aca="false">IF(ABS(t-T_para)&lt;pas/2,"Para","")</f>
        <v/>
      </c>
      <c r="AA260" s="424" t="str">
        <f aca="false">IF(ABS(t-T_satellite)&lt;pas/2,"Satellite","")</f>
        <v/>
      </c>
      <c r="AB260" s="412"/>
      <c r="AC260" s="420" t="e">
        <f aca="false">IF(ABS(t-ROUND(t,0))&lt;0.001,t,NA())</f>
        <v>#N/A</v>
      </c>
      <c r="AD260" s="425" t="e">
        <f aca="false">IF(ABS(t-ROUND(t,0))&lt;0.001,pos_x,NA())</f>
        <v>#N/A</v>
      </c>
      <c r="AE260" s="426" t="n">
        <f aca="false">IF(t&lt;T_para, pos_z, NA())</f>
        <v>251.444834783895</v>
      </c>
      <c r="AF260" s="412"/>
      <c r="AG260" s="418" t="n">
        <f aca="false">IF(AND(L259&lt;L_rampe,Poussee&lt;Poids*SIN(M259)),0,(-W259+Poussee)/m-Poids*SIN(M259)/m)</f>
        <v>41.3611478073195</v>
      </c>
      <c r="AH260" s="417" t="n">
        <f aca="false">IF(AND(L259&lt;L_rampe,Poussee&lt;Poids*SIN(M259)), g*SIN(M259), (-W259+Poussee)/m)</f>
        <v>50.929805705852</v>
      </c>
    </row>
    <row r="261" customFormat="false" ht="12" hidden="false" customHeight="false" outlineLevel="0" collapsed="false">
      <c r="A261" s="416" t="n">
        <f aca="false">IF(B260+0.01&lt;=T_ini+ROUNDUP(Temps_fin_propu,0), 0.01, IF(K260&gt;0, 0.1, 0.0001))</f>
        <v>0.01</v>
      </c>
      <c r="B261" s="417" t="n">
        <f aca="false">B260+pas</f>
        <v>2.56999999999999</v>
      </c>
      <c r="C261" s="401"/>
      <c r="D261" s="418" t="n">
        <f aca="false">IF(AND(L260&lt;L_rampe,Poussee&lt;Poids*SIN(M260)),0,(-W260+Poussee)/m*COS(M260)-U260/m*SIN(M260))</f>
        <v>11.1619554941368</v>
      </c>
      <c r="E261" s="419" t="n">
        <f aca="false">IF(AND(L260&lt;L_rampe,Poussee&lt;Poids*SIN(M260)),0,(-W260+Poussee)/m*SIN(M260)+U260/m*COS(M260)-Poids/m)</f>
        <v>39.5494176917124</v>
      </c>
      <c r="F261" s="417" t="n">
        <f aca="false">SQRT(acc_x^2+acc_z^2)</f>
        <v>41.0943510741637</v>
      </c>
      <c r="G261" s="418" t="n">
        <f aca="false">G260+acc_x*pas</f>
        <v>39.7654945489118</v>
      </c>
      <c r="H261" s="419" t="n">
        <f aca="false">H260+acc_z*pas</f>
        <v>175.749371904746</v>
      </c>
      <c r="I261" s="417" t="n">
        <f aca="false">SQRT(vit_x^2+vit_z^2)</f>
        <v>180.191942887667</v>
      </c>
      <c r="J261" s="418" t="n">
        <f aca="false">J260+0.5*(vit_x+G260)*pas*(K260&gt;=0)</f>
        <v>53.6959588494482</v>
      </c>
      <c r="K261" s="419" t="n">
        <f aca="false">K260+0.5*(vit_z+H260)*pas</f>
        <v>253.200351032058</v>
      </c>
      <c r="L261" s="417" t="n">
        <f aca="false">SQRT(pos_x^2+pos_z^2)</f>
        <v>258.831361622812</v>
      </c>
      <c r="M261" s="418" t="n">
        <f aca="false">IF(AND(L260&gt;L_rampe,G261&gt;0),ATAN2(G261,H261),$M$4)</f>
        <v>1.34828053177589</v>
      </c>
      <c r="N261" s="417" t="n">
        <f aca="false">DEGREES(Beta)</f>
        <v>77.250784070413</v>
      </c>
      <c r="O261" s="401"/>
      <c r="P261" s="420" t="n">
        <f aca="false">MATCH(t-pas/2-T_ini,CdP_t)</f>
        <v>7</v>
      </c>
      <c r="Q261" s="417" t="n">
        <f aca="false">(INDEX(CdP,2,i_P+1)-INDEX(CdP,2,i_P+0))/(INDEX(CdP,1,i_P+1)-INDEX(CdP,1,i_P+0))*(t-pas/2-T_ini-INDEX(CdP,1,i_P+0))+INDEX(CdP,2,i_P+0)</f>
        <v>499.723404255321</v>
      </c>
      <c r="R261" s="418" t="n">
        <f aca="false">Poussee/(g*ISP)</f>
        <v>0.250787893622501</v>
      </c>
      <c r="S261" s="419" t="n">
        <f aca="false">S260-Débit*pas</f>
        <v>7.52876199593584</v>
      </c>
      <c r="T261" s="417" t="n">
        <f aca="false">m*g</f>
        <v>73.8571551801306</v>
      </c>
      <c r="U261" s="421" t="n">
        <f aca="false">IF(pos_xz&lt;L_rampe,Poids*COS(Beta),0)</f>
        <v>0</v>
      </c>
      <c r="V261" s="418" t="n">
        <f aca="false">Rho_moyen*(20000-Alt_rampe-pos_z)/(20000+Alt_rampe+pos_z)</f>
        <v>1.1943707241682</v>
      </c>
      <c r="W261" s="417" t="n">
        <f aca="false">1/2*Rho*Sref*Cx*vit_xz^2</f>
        <v>119.246488160676</v>
      </c>
      <c r="X261" s="401"/>
      <c r="Y261" s="422" t="str">
        <f aca="false">IF(AND(pos_z&lt;=0,K260&gt;0),"Impact balistique","") &amp; IF(AND(H262&lt;0,vit_z&gt;=0),"Apogée","") &amp; IF(AND(Poussee=0,Q260&gt;0),"Fin de propulsion","") &amp; IF(AND(L262&gt;L_rampe,pos_xz&lt;=L_rampe),"Sortie de rampe","")</f>
        <v/>
      </c>
      <c r="Z261" s="423" t="str">
        <f aca="false">IF(ABS(t-T_para)&lt;pas/2,"Para","")</f>
        <v/>
      </c>
      <c r="AA261" s="424" t="str">
        <f aca="false">IF(ABS(t-T_satellite)&lt;pas/2,"Satellite","")</f>
        <v/>
      </c>
      <c r="AB261" s="412"/>
      <c r="AC261" s="420" t="e">
        <f aca="false">IF(ABS(t-ROUND(t,0))&lt;0.001,t,NA())</f>
        <v>#N/A</v>
      </c>
      <c r="AD261" s="425" t="e">
        <f aca="false">IF(ABS(t-ROUND(t,0))&lt;0.001,pos_x,NA())</f>
        <v>#N/A</v>
      </c>
      <c r="AE261" s="426" t="n">
        <f aca="false">IF(t&lt;T_para, pos_z, NA())</f>
        <v>253.200351032058</v>
      </c>
      <c r="AF261" s="412"/>
      <c r="AG261" s="418" t="n">
        <f aca="false">IF(AND(L260&lt;L_rampe,Poussee&lt;Poids*SIN(M260)),0,(-W260+Poussee)/m-Poids*SIN(M260)/m)</f>
        <v>41.0373467038973</v>
      </c>
      <c r="AH261" s="417" t="n">
        <f aca="false">IF(AND(L260&lt;L_rampe,Poussee&lt;Poids*SIN(M260)), g*SIN(M260), (-W260+Poussee)/m)</f>
        <v>50.6057443905138</v>
      </c>
    </row>
    <row r="262" customFormat="false" ht="12" hidden="false" customHeight="false" outlineLevel="0" collapsed="false">
      <c r="A262" s="416" t="n">
        <f aca="false">IF(B261+0.01&lt;=T_ini+ROUNDUP(Temps_fin_propu,0), 0.01, IF(K261&gt;0, 0.1, 0.0001))</f>
        <v>0.01</v>
      </c>
      <c r="B262" s="417" t="n">
        <f aca="false">B261+pas</f>
        <v>2.57999999999999</v>
      </c>
      <c r="C262" s="401"/>
      <c r="D262" s="418" t="n">
        <f aca="false">IF(AND(L261&lt;L_rampe,Poussee&lt;Poids*SIN(M261)),0,(-W261+Poussee)/m*COS(M261)-U261/m*SIN(M261))</f>
        <v>11.0964002987712</v>
      </c>
      <c r="E262" s="419" t="n">
        <f aca="false">IF(AND(L261&lt;L_rampe,Poussee&lt;Poids*SIN(M261)),0,(-W261+Poussee)/m*SIN(M261)+U261/m*COS(M261)-Poids/m)</f>
        <v>39.2321508655935</v>
      </c>
      <c r="F262" s="417" t="n">
        <f aca="false">SQRT(acc_x^2+acc_z^2)</f>
        <v>40.7712124069331</v>
      </c>
      <c r="G262" s="418" t="n">
        <f aca="false">G261+acc_x*pas</f>
        <v>39.8764585518995</v>
      </c>
      <c r="H262" s="419" t="n">
        <f aca="false">H261+acc_z*pas</f>
        <v>176.141693413402</v>
      </c>
      <c r="I262" s="417" t="n">
        <f aca="false">SQRT(vit_x^2+vit_z^2)</f>
        <v>180.599081130503</v>
      </c>
      <c r="J262" s="418" t="n">
        <f aca="false">J261+0.5*(vit_x+G261)*pas*(K261&gt;=0)</f>
        <v>54.0941686149523</v>
      </c>
      <c r="K262" s="419" t="n">
        <f aca="false">K261+0.5*(vit_z+H261)*pas</f>
        <v>254.959806358648</v>
      </c>
      <c r="L262" s="417" t="n">
        <f aca="false">SQRT(pos_x^2+pos_z^2)</f>
        <v>260.635150999596</v>
      </c>
      <c r="M262" s="418" t="n">
        <f aca="false">IF(AND(L261&gt;L_rampe,G262&gt;0),ATAN2(G262,H262),$M$4)</f>
        <v>1.34816065791534</v>
      </c>
      <c r="N262" s="417" t="n">
        <f aca="false">DEGREES(Beta)</f>
        <v>77.2439158041295</v>
      </c>
      <c r="O262" s="401"/>
      <c r="P262" s="420" t="n">
        <f aca="false">MATCH(t-pas/2-T_ini,CdP_t)</f>
        <v>7</v>
      </c>
      <c r="Q262" s="417" t="n">
        <f aca="false">(INDEX(CdP,2,i_P+1)-INDEX(CdP,2,i_P+0))/(INDEX(CdP,1,i_P+1)-INDEX(CdP,1,i_P+0))*(t-pas/2-T_ini-INDEX(CdP,1,i_P+0))+INDEX(CdP,2,i_P+0)</f>
        <v>497.680851063832</v>
      </c>
      <c r="R262" s="418" t="n">
        <f aca="false">Poussee/(g*ISP)</f>
        <v>0.24976283134176</v>
      </c>
      <c r="S262" s="419" t="n">
        <f aca="false">S261-Débit*pas</f>
        <v>7.52626436762242</v>
      </c>
      <c r="T262" s="417" t="n">
        <f aca="false">m*g</f>
        <v>73.832653446376</v>
      </c>
      <c r="U262" s="421" t="n">
        <f aca="false">IF(pos_xz&lt;L_rampe,Poids*COS(Beta),0)</f>
        <v>0</v>
      </c>
      <c r="V262" s="418" t="n">
        <f aca="false">Rho_moyen*(20000-Alt_rampe-pos_z)/(20000+Alt_rampe+pos_z)</f>
        <v>1.19416056454565</v>
      </c>
      <c r="W262" s="417" t="n">
        <f aca="false">1/2*Rho*Sref*Cx*vit_xz^2</f>
        <v>119.764887249333</v>
      </c>
      <c r="X262" s="401"/>
      <c r="Y262" s="422" t="str">
        <f aca="false">IF(AND(pos_z&lt;=0,K261&gt;0),"Impact balistique","") &amp; IF(AND(H263&lt;0,vit_z&gt;=0),"Apogée","") &amp; IF(AND(Poussee=0,Q261&gt;0),"Fin de propulsion","") &amp; IF(AND(L263&gt;L_rampe,pos_xz&lt;=L_rampe),"Sortie de rampe","")</f>
        <v/>
      </c>
      <c r="Z262" s="423" t="str">
        <f aca="false">IF(ABS(t-T_para)&lt;pas/2,"Para","")</f>
        <v/>
      </c>
      <c r="AA262" s="424" t="str">
        <f aca="false">IF(ABS(t-T_satellite)&lt;pas/2,"Satellite","")</f>
        <v/>
      </c>
      <c r="AB262" s="412"/>
      <c r="AC262" s="420" t="e">
        <f aca="false">IF(ABS(t-ROUND(t,0))&lt;0.001,t,NA())</f>
        <v>#N/A</v>
      </c>
      <c r="AD262" s="425" t="e">
        <f aca="false">IF(ABS(t-ROUND(t,0))&lt;0.001,pos_x,NA())</f>
        <v>#N/A</v>
      </c>
      <c r="AE262" s="426" t="n">
        <f aca="false">IF(t&lt;T_para, pos_z, NA())</f>
        <v>254.959806358648</v>
      </c>
      <c r="AF262" s="412"/>
      <c r="AG262" s="418" t="n">
        <f aca="false">IF(AND(L261&lt;L_rampe,Poussee&lt;Poids*SIN(M261)),0,(-W261+Poussee)/m-Poids*SIN(M261)/m)</f>
        <v>40.7136945255488</v>
      </c>
      <c r="AH262" s="417" t="n">
        <f aca="false">IF(AND(L261&lt;L_rampe,Poussee&lt;Poids*SIN(M261)), g*SIN(M261), (-W261+Poussee)/m)</f>
        <v>50.2818323165952</v>
      </c>
    </row>
    <row r="263" customFormat="false" ht="12" hidden="false" customHeight="false" outlineLevel="0" collapsed="false">
      <c r="A263" s="416" t="n">
        <f aca="false">IF(B262+0.01&lt;=T_ini+ROUNDUP(Temps_fin_propu,0), 0.01, IF(K262&gt;0, 0.1, 0.0001))</f>
        <v>0.01</v>
      </c>
      <c r="B263" s="417" t="n">
        <f aca="false">B262+pas</f>
        <v>2.58999999999999</v>
      </c>
      <c r="C263" s="401"/>
      <c r="D263" s="418" t="n">
        <f aca="false">IF(AND(L262&lt;L_rampe,Poussee&lt;Poids*SIN(M262)),0,(-W262+Poussee)/m*COS(M262)-U262/m*SIN(M262))</f>
        <v>11.0307930174739</v>
      </c>
      <c r="E263" s="419" t="n">
        <f aca="false">IF(AND(L262&lt;L_rampe,Poussee&lt;Poids*SIN(M262)),0,(-W262+Poussee)/m*SIN(M262)+U262/m*COS(M262)-Poids/m)</f>
        <v>38.9150531353421</v>
      </c>
      <c r="F263" s="417" t="n">
        <f aca="false">SQRT(acc_x^2+acc_z^2)</f>
        <v>40.4482355007094</v>
      </c>
      <c r="G263" s="418" t="n">
        <f aca="false">G262+acc_x*pas</f>
        <v>39.9867664820743</v>
      </c>
      <c r="H263" s="419" t="n">
        <f aca="false">H262+acc_z*pas</f>
        <v>176.530843944755</v>
      </c>
      <c r="I263" s="417" t="n">
        <f aca="false">SQRT(vit_x^2+vit_z^2)</f>
        <v>181.002984388488</v>
      </c>
      <c r="J263" s="418" t="n">
        <f aca="false">J262+0.5*(vit_x+G262)*pas*(K262&gt;=0)</f>
        <v>54.4934847401221</v>
      </c>
      <c r="K263" s="419" t="n">
        <f aca="false">K262+0.5*(vit_z+H262)*pas</f>
        <v>256.723169045439</v>
      </c>
      <c r="L263" s="417" t="n">
        <f aca="false">SQRT(pos_x^2+pos_z^2)</f>
        <v>262.442994579499</v>
      </c>
      <c r="M263" s="418" t="n">
        <f aca="false">IF(AND(L262&gt;L_rampe,G263&gt;0),ATAN2(G263,H263),$M$4)</f>
        <v>1.34804098818348</v>
      </c>
      <c r="N263" s="417" t="n">
        <f aca="false">DEGREES(Beta)</f>
        <v>77.2370592335585</v>
      </c>
      <c r="O263" s="401"/>
      <c r="P263" s="420" t="n">
        <f aca="false">MATCH(t-pas/2-T_ini,CdP_t)</f>
        <v>7</v>
      </c>
      <c r="Q263" s="417" t="n">
        <f aca="false">(INDEX(CdP,2,i_P+1)-INDEX(CdP,2,i_P+0))/(INDEX(CdP,1,i_P+1)-INDEX(CdP,1,i_P+0))*(t-pas/2-T_ini-INDEX(CdP,1,i_P+0))+INDEX(CdP,2,i_P+0)</f>
        <v>495.638297872343</v>
      </c>
      <c r="R263" s="418" t="n">
        <f aca="false">Poussee/(g*ISP)</f>
        <v>0.24873776906102</v>
      </c>
      <c r="S263" s="419" t="n">
        <f aca="false">S262-Débit*pas</f>
        <v>7.52377698993181</v>
      </c>
      <c r="T263" s="417" t="n">
        <f aca="false">m*g</f>
        <v>73.8082522712311</v>
      </c>
      <c r="U263" s="421" t="n">
        <f aca="false">IF(pos_xz&lt;L_rampe,Poids*COS(Beta),0)</f>
        <v>0</v>
      </c>
      <c r="V263" s="418" t="n">
        <f aca="false">Rho_moyen*(20000-Alt_rampe-pos_z)/(20000+Alt_rampe+pos_z)</f>
        <v>1.1939499748349</v>
      </c>
      <c r="W263" s="417" t="n">
        <f aca="false">1/2*Rho*Sref*Cx*vit_xz^2</f>
        <v>120.279970826702</v>
      </c>
      <c r="X263" s="401"/>
      <c r="Y263" s="422" t="str">
        <f aca="false">IF(AND(pos_z&lt;=0,K262&gt;0),"Impact balistique","") &amp; IF(AND(H264&lt;0,vit_z&gt;=0),"Apogée","") &amp; IF(AND(Poussee=0,Q262&gt;0),"Fin de propulsion","") &amp; IF(AND(L264&gt;L_rampe,pos_xz&lt;=L_rampe),"Sortie de rampe","")</f>
        <v/>
      </c>
      <c r="Z263" s="423" t="str">
        <f aca="false">IF(ABS(t-T_para)&lt;pas/2,"Para","")</f>
        <v/>
      </c>
      <c r="AA263" s="424" t="str">
        <f aca="false">IF(ABS(t-T_satellite)&lt;pas/2,"Satellite","")</f>
        <v/>
      </c>
      <c r="AB263" s="412"/>
      <c r="AC263" s="420" t="e">
        <f aca="false">IF(ABS(t-ROUND(t,0))&lt;0.001,t,NA())</f>
        <v>#N/A</v>
      </c>
      <c r="AD263" s="425" t="e">
        <f aca="false">IF(ABS(t-ROUND(t,0))&lt;0.001,pos_x,NA())</f>
        <v>#N/A</v>
      </c>
      <c r="AE263" s="426" t="n">
        <f aca="false">IF(t&lt;T_para, pos_z, NA())</f>
        <v>256.723169045439</v>
      </c>
      <c r="AF263" s="412"/>
      <c r="AG263" s="418" t="n">
        <f aca="false">IF(AND(L262&lt;L_rampe,Poussee&lt;Poids*SIN(M262)),0,(-W262+Poussee)/m-Poids*SIN(M262)/m)</f>
        <v>40.3901961927286</v>
      </c>
      <c r="AH263" s="417" t="n">
        <f aca="false">IF(AND(L262&lt;L_rampe,Poussee&lt;Poids*SIN(M262)), g*SIN(M262), (-W262+Poussee)/m)</f>
        <v>49.9580743988023</v>
      </c>
    </row>
    <row r="264" customFormat="false" ht="12" hidden="false" customHeight="false" outlineLevel="0" collapsed="false">
      <c r="A264" s="416" t="n">
        <f aca="false">IF(B263+0.01&lt;=T_ini+ROUNDUP(Temps_fin_propu,0), 0.01, IF(K263&gt;0, 0.1, 0.0001))</f>
        <v>0.01</v>
      </c>
      <c r="B264" s="417" t="n">
        <f aca="false">B263+pas</f>
        <v>2.59999999999999</v>
      </c>
      <c r="C264" s="401"/>
      <c r="D264" s="418" t="n">
        <f aca="false">IF(AND(L263&lt;L_rampe,Poussee&lt;Poids*SIN(M263)),0,(-W263+Poussee)/m*COS(M263)-U263/m*SIN(M263))</f>
        <v>10.965135124283</v>
      </c>
      <c r="E264" s="419" t="n">
        <f aca="false">IF(AND(L263&lt;L_rampe,Poussee&lt;Poids*SIN(M263)),0,(-W263+Poussee)/m*SIN(M263)+U263/m*COS(M263)-Poids/m)</f>
        <v>38.5981291825813</v>
      </c>
      <c r="F264" s="417" t="n">
        <f aca="false">SQRT(acc_x^2+acc_z^2)</f>
        <v>40.1254254144304</v>
      </c>
      <c r="G264" s="418" t="n">
        <f aca="false">G263+acc_x*pas</f>
        <v>40.0964178333171</v>
      </c>
      <c r="H264" s="419" t="n">
        <f aca="false">H263+acc_z*pas</f>
        <v>176.916825236581</v>
      </c>
      <c r="I264" s="417" t="n">
        <f aca="false">SQRT(vit_x^2+vit_z^2)</f>
        <v>181.403654248901</v>
      </c>
      <c r="J264" s="418" t="n">
        <f aca="false">J263+0.5*(vit_x+G263)*pas*(K263&gt;=0)</f>
        <v>54.8939006616991</v>
      </c>
      <c r="K264" s="419" t="n">
        <f aca="false">K263+0.5*(vit_z+H263)*pas</f>
        <v>258.490407391346</v>
      </c>
      <c r="L264" s="417" t="n">
        <f aca="false">SQRT(pos_x^2+pos_z^2)</f>
        <v>264.254860018128</v>
      </c>
      <c r="M264" s="418" t="n">
        <f aca="false">IF(AND(L263&gt;L_rampe,G264&gt;0),ATAN2(G264,H264),$M$4)</f>
        <v>1.3479215196513</v>
      </c>
      <c r="N264" s="417" t="n">
        <f aca="false">DEGREES(Beta)</f>
        <v>77.2302141908796</v>
      </c>
      <c r="O264" s="401"/>
      <c r="P264" s="420" t="n">
        <f aca="false">MATCH(t-pas/2-T_ini,CdP_t)</f>
        <v>7</v>
      </c>
      <c r="Q264" s="417" t="n">
        <f aca="false">(INDEX(CdP,2,i_P+1)-INDEX(CdP,2,i_P+0))/(INDEX(CdP,1,i_P+1)-INDEX(CdP,1,i_P+0))*(t-pas/2-T_ini-INDEX(CdP,1,i_P+0))+INDEX(CdP,2,i_P+0)</f>
        <v>493.595744680853</v>
      </c>
      <c r="R264" s="418" t="n">
        <f aca="false">Poussee/(g*ISP)</f>
        <v>0.247712706780279</v>
      </c>
      <c r="S264" s="419" t="n">
        <f aca="false">S263-Débit*pas</f>
        <v>7.52129986286401</v>
      </c>
      <c r="T264" s="417" t="n">
        <f aca="false">m*g</f>
        <v>73.783951654696</v>
      </c>
      <c r="U264" s="421" t="n">
        <f aca="false">IF(pos_xz&lt;L_rampe,Poids*COS(Beta),0)</f>
        <v>0</v>
      </c>
      <c r="V264" s="418" t="n">
        <f aca="false">Rho_moyen*(20000-Alt_rampe-pos_z)/(20000+Alt_rampe+pos_z)</f>
        <v>1.19373895905503</v>
      </c>
      <c r="W264" s="417" t="n">
        <f aca="false">1/2*Rho*Sref*Cx*vit_xz^2</f>
        <v>120.79171368782</v>
      </c>
      <c r="X264" s="401"/>
      <c r="Y264" s="422" t="str">
        <f aca="false">IF(AND(pos_z&lt;=0,K263&gt;0),"Impact balistique","") &amp; IF(AND(H265&lt;0,vit_z&gt;=0),"Apogée","") &amp; IF(AND(Poussee=0,Q263&gt;0),"Fin de propulsion","") &amp; IF(AND(L265&gt;L_rampe,pos_xz&lt;=L_rampe),"Sortie de rampe","")</f>
        <v/>
      </c>
      <c r="Z264" s="423" t="str">
        <f aca="false">IF(ABS(t-T_para)&lt;pas/2,"Para","")</f>
        <v/>
      </c>
      <c r="AA264" s="424" t="str">
        <f aca="false">IF(ABS(t-T_satellite)&lt;pas/2,"Satellite","")</f>
        <v/>
      </c>
      <c r="AB264" s="412"/>
      <c r="AC264" s="420" t="e">
        <f aca="false">IF(ABS(t-ROUND(t,0))&lt;0.001,t,NA())</f>
        <v>#N/A</v>
      </c>
      <c r="AD264" s="425" t="e">
        <f aca="false">IF(ABS(t-ROUND(t,0))&lt;0.001,pos_x,NA())</f>
        <v>#N/A</v>
      </c>
      <c r="AE264" s="426" t="n">
        <f aca="false">IF(t&lt;T_para, pos_z, NA())</f>
        <v>258.490407391346</v>
      </c>
      <c r="AF264" s="412"/>
      <c r="AG264" s="418" t="n">
        <f aca="false">IF(AND(L263&lt;L_rampe,Poussee&lt;Poids*SIN(M263)),0,(-W263+Poussee)/m-Poids*SIN(M263)/m)</f>
        <v>40.0668565849906</v>
      </c>
      <c r="AH264" s="417" t="n">
        <f aca="false">IF(AND(L263&lt;L_rampe,Poussee&lt;Poids*SIN(M263)), g*SIN(M263), (-W263+Poussee)/m)</f>
        <v>49.634475510992</v>
      </c>
    </row>
    <row r="265" customFormat="false" ht="12" hidden="false" customHeight="false" outlineLevel="0" collapsed="false">
      <c r="A265" s="416" t="n">
        <f aca="false">IF(B264+0.01&lt;=T_ini+ROUNDUP(Temps_fin_propu,0), 0.01, IF(K264&gt;0, 0.1, 0.0001))</f>
        <v>0.01</v>
      </c>
      <c r="B265" s="417" t="n">
        <f aca="false">B264+pas</f>
        <v>2.60999999999999</v>
      </c>
      <c r="C265" s="401"/>
      <c r="D265" s="418" t="n">
        <f aca="false">IF(AND(L264&lt;L_rampe,Poussee&lt;Poids*SIN(M264)),0,(-W264+Poussee)/m*COS(M264)-U264/m*SIN(M264))</f>
        <v>10.8994280810543</v>
      </c>
      <c r="E265" s="419" t="n">
        <f aca="false">IF(AND(L264&lt;L_rampe,Poussee&lt;Poids*SIN(M264)),0,(-W264+Poussee)/m*SIN(M264)+U264/m*COS(M264)-Poids/m)</f>
        <v>38.2813836495465</v>
      </c>
      <c r="F265" s="417" t="n">
        <f aca="false">SQRT(acc_x^2+acc_z^2)</f>
        <v>39.8027871714763</v>
      </c>
      <c r="G265" s="418" t="n">
        <f aca="false">G264+acc_x*pas</f>
        <v>40.2054121141276</v>
      </c>
      <c r="H265" s="419" t="n">
        <f aca="false">H264+acc_z*pas</f>
        <v>177.299639073076</v>
      </c>
      <c r="I265" s="417" t="n">
        <f aca="false">SQRT(vit_x^2+vit_z^2)</f>
        <v>181.801092347406</v>
      </c>
      <c r="J265" s="418" t="n">
        <f aca="false">J264+0.5*(vit_x+G264)*pas*(K264&gt;=0)</f>
        <v>55.2954098114363</v>
      </c>
      <c r="K265" s="419" t="n">
        <f aca="false">K264+0.5*(vit_z+H264)*pas</f>
        <v>260.261489712894</v>
      </c>
      <c r="L265" s="417" t="n">
        <f aca="false">SQRT(pos_x^2+pos_z^2)</f>
        <v>266.070714987181</v>
      </c>
      <c r="M265" s="418" t="n">
        <f aca="false">IF(AND(L264&gt;L_rampe,G265&gt;0),ATAN2(G265,H265),$M$4)</f>
        <v>1.34780224941939</v>
      </c>
      <c r="N265" s="417" t="n">
        <f aca="false">DEGREES(Beta)</f>
        <v>77.2233805099696</v>
      </c>
      <c r="O265" s="401"/>
      <c r="P265" s="420" t="n">
        <f aca="false">MATCH(t-pas/2-T_ini,CdP_t)</f>
        <v>7</v>
      </c>
      <c r="Q265" s="417" t="n">
        <f aca="false">(INDEX(CdP,2,i_P+1)-INDEX(CdP,2,i_P+0))/(INDEX(CdP,1,i_P+1)-INDEX(CdP,1,i_P+0))*(t-pas/2-T_ini-INDEX(CdP,1,i_P+0))+INDEX(CdP,2,i_P+0)</f>
        <v>491.553191489364</v>
      </c>
      <c r="R265" s="418" t="n">
        <f aca="false">Poussee/(g*ISP)</f>
        <v>0.246687644499538</v>
      </c>
      <c r="S265" s="419" t="n">
        <f aca="false">S264-Débit*pas</f>
        <v>7.51883298641902</v>
      </c>
      <c r="T265" s="417" t="n">
        <f aca="false">m*g</f>
        <v>73.7597515967705</v>
      </c>
      <c r="U265" s="421" t="n">
        <f aca="false">IF(pos_xz&lt;L_rampe,Poids*COS(Beta),0)</f>
        <v>0</v>
      </c>
      <c r="V265" s="418" t="n">
        <f aca="false">Rho_moyen*(20000-Alt_rampe-pos_z)/(20000+Alt_rampe+pos_z)</f>
        <v>1.19352752122077</v>
      </c>
      <c r="W265" s="417" t="n">
        <f aca="false">1/2*Rho*Sref*Cx*vit_xz^2</f>
        <v>121.300090973505</v>
      </c>
      <c r="X265" s="401"/>
      <c r="Y265" s="422" t="str">
        <f aca="false">IF(AND(pos_z&lt;=0,K264&gt;0),"Impact balistique","") &amp; IF(AND(H266&lt;0,vit_z&gt;=0),"Apogée","") &amp; IF(AND(Poussee=0,Q264&gt;0),"Fin de propulsion","") &amp; IF(AND(L266&gt;L_rampe,pos_xz&lt;=L_rampe),"Sortie de rampe","")</f>
        <v/>
      </c>
      <c r="Z265" s="423" t="str">
        <f aca="false">IF(ABS(t-T_para)&lt;pas/2,"Para","")</f>
        <v/>
      </c>
      <c r="AA265" s="424" t="str">
        <f aca="false">IF(ABS(t-T_satellite)&lt;pas/2,"Satellite","")</f>
        <v/>
      </c>
      <c r="AB265" s="412"/>
      <c r="AC265" s="420" t="e">
        <f aca="false">IF(ABS(t-ROUND(t,0))&lt;0.001,t,NA())</f>
        <v>#N/A</v>
      </c>
      <c r="AD265" s="425" t="e">
        <f aca="false">IF(ABS(t-ROUND(t,0))&lt;0.001,pos_x,NA())</f>
        <v>#N/A</v>
      </c>
      <c r="AE265" s="426" t="n">
        <f aca="false">IF(t&lt;T_para, pos_z, NA())</f>
        <v>260.261489712894</v>
      </c>
      <c r="AF265" s="412"/>
      <c r="AG265" s="418" t="n">
        <f aca="false">IF(AND(L264&lt;L_rampe,Poussee&lt;Poids*SIN(M264)),0,(-W264+Poussee)/m-Poids*SIN(M264)/m)</f>
        <v>39.743680540918</v>
      </c>
      <c r="AH265" s="417" t="n">
        <f aca="false">IF(AND(L264&lt;L_rampe,Poussee&lt;Poids*SIN(M264)), g*SIN(M264), (-W264+Poussee)/m)</f>
        <v>49.3110404861015</v>
      </c>
    </row>
    <row r="266" customFormat="false" ht="12" hidden="false" customHeight="false" outlineLevel="0" collapsed="false">
      <c r="A266" s="416" t="n">
        <f aca="false">IF(B265+0.01&lt;=T_ini+ROUNDUP(Temps_fin_propu,0), 0.01, IF(K265&gt;0, 0.1, 0.0001))</f>
        <v>0.01</v>
      </c>
      <c r="B266" s="417" t="n">
        <f aca="false">B265+pas</f>
        <v>2.61999999999999</v>
      </c>
      <c r="C266" s="401"/>
      <c r="D266" s="418" t="n">
        <f aca="false">IF(AND(L265&lt;L_rampe,Poussee&lt;Poids*SIN(M265)),0,(-W265+Poussee)/m*COS(M265)-U265/m*SIN(M265))</f>
        <v>10.8336733374911</v>
      </c>
      <c r="E266" s="419" t="n">
        <f aca="false">IF(AND(L265&lt;L_rampe,Poussee&lt;Poids*SIN(M265)),0,(-W265+Poussee)/m*SIN(M265)+U265/m*COS(M265)-Poids/m)</f>
        <v>37.9648211390135</v>
      </c>
      <c r="F266" s="417" t="n">
        <f aca="false">SQRT(acc_x^2+acc_z^2)</f>
        <v>39.4803257598104</v>
      </c>
      <c r="G266" s="418" t="n">
        <f aca="false">G265+acc_x*pas</f>
        <v>40.3137488475025</v>
      </c>
      <c r="H266" s="419" t="n">
        <f aca="false">H265+acc_z*pas</f>
        <v>177.679287284466</v>
      </c>
      <c r="I266" s="417" t="n">
        <f aca="false">SQRT(vit_x^2+vit_z^2)</f>
        <v>182.195300367642</v>
      </c>
      <c r="J266" s="418" t="n">
        <f aca="false">J265+0.5*(vit_x+G265)*pas*(K265&gt;=0)</f>
        <v>55.6980056162445</v>
      </c>
      <c r="K266" s="419" t="n">
        <f aca="false">K265+0.5*(vit_z+H265)*pas</f>
        <v>262.036384344682</v>
      </c>
      <c r="L266" s="417" t="n">
        <f aca="false">SQRT(pos_x^2+pos_z^2)</f>
        <v>267.890527174928</v>
      </c>
      <c r="M266" s="418" t="n">
        <f aca="false">IF(AND(L265&gt;L_rampe,G266&gt;0),ATAN2(G266,H266),$M$4)</f>
        <v>1.34768317461746</v>
      </c>
      <c r="N266" s="417" t="n">
        <f aca="false">DEGREES(Beta)</f>
        <v>77.2165580263728</v>
      </c>
      <c r="O266" s="401"/>
      <c r="P266" s="420" t="n">
        <f aca="false">MATCH(t-pas/2-T_ini,CdP_t)</f>
        <v>7</v>
      </c>
      <c r="Q266" s="417" t="n">
        <f aca="false">(INDEX(CdP,2,i_P+1)-INDEX(CdP,2,i_P+0))/(INDEX(CdP,1,i_P+1)-INDEX(CdP,1,i_P+0))*(t-pas/2-T_ini-INDEX(CdP,1,i_P+0))+INDEX(CdP,2,i_P+0)</f>
        <v>489.510638297875</v>
      </c>
      <c r="R266" s="418" t="n">
        <f aca="false">Poussee/(g*ISP)</f>
        <v>0.245662582218797</v>
      </c>
      <c r="S266" s="419" t="n">
        <f aca="false">S265-Débit*pas</f>
        <v>7.51637636059683</v>
      </c>
      <c r="T266" s="417" t="n">
        <f aca="false">m*g</f>
        <v>73.7356520974549</v>
      </c>
      <c r="U266" s="421" t="n">
        <f aca="false">IF(pos_xz&lt;L_rampe,Poids*COS(Beta),0)</f>
        <v>0</v>
      </c>
      <c r="V266" s="418" t="n">
        <f aca="false">Rho_moyen*(20000-Alt_rampe-pos_z)/(20000+Alt_rampe+pos_z)</f>
        <v>1.19331566534248</v>
      </c>
      <c r="W266" s="417" t="n">
        <f aca="false">1/2*Rho*Sref*Cx*vit_xz^2</f>
        <v>121.805078169824</v>
      </c>
      <c r="X266" s="401"/>
      <c r="Y266" s="422" t="str">
        <f aca="false">IF(AND(pos_z&lt;=0,K265&gt;0),"Impact balistique","") &amp; IF(AND(H267&lt;0,vit_z&gt;=0),"Apogée","") &amp; IF(AND(Poussee=0,Q265&gt;0),"Fin de propulsion","") &amp; IF(AND(L267&gt;L_rampe,pos_xz&lt;=L_rampe),"Sortie de rampe","")</f>
        <v/>
      </c>
      <c r="Z266" s="423" t="str">
        <f aca="false">IF(ABS(t-T_para)&lt;pas/2,"Para","")</f>
        <v/>
      </c>
      <c r="AA266" s="424" t="str">
        <f aca="false">IF(ABS(t-T_satellite)&lt;pas/2,"Satellite","")</f>
        <v/>
      </c>
      <c r="AB266" s="412"/>
      <c r="AC266" s="420" t="e">
        <f aca="false">IF(ABS(t-ROUND(t,0))&lt;0.001,t,NA())</f>
        <v>#N/A</v>
      </c>
      <c r="AD266" s="425" t="e">
        <f aca="false">IF(ABS(t-ROUND(t,0))&lt;0.001,pos_x,NA())</f>
        <v>#N/A</v>
      </c>
      <c r="AE266" s="426" t="n">
        <f aca="false">IF(t&lt;T_para, pos_z, NA())</f>
        <v>262.036384344682</v>
      </c>
      <c r="AF266" s="412"/>
      <c r="AG266" s="418" t="n">
        <f aca="false">IF(AND(L265&lt;L_rampe,Poussee&lt;Poids*SIN(M265)),0,(-W265+Poussee)/m-Poids*SIN(M265)/m)</f>
        <v>39.4206728580579</v>
      </c>
      <c r="AH266" s="417" t="n">
        <f aca="false">IF(AND(L265&lt;L_rampe,Poussee&lt;Poids*SIN(M265)), g*SIN(M265), (-W265+Poussee)/m)</f>
        <v>48.9877741160812</v>
      </c>
    </row>
    <row r="267" customFormat="false" ht="12" hidden="false" customHeight="false" outlineLevel="0" collapsed="false">
      <c r="A267" s="416" t="n">
        <f aca="false">IF(B266+0.01&lt;=T_ini+ROUNDUP(Temps_fin_propu,0), 0.01, IF(K266&gt;0, 0.1, 0.0001))</f>
        <v>0.01</v>
      </c>
      <c r="B267" s="417" t="n">
        <f aca="false">B266+pas</f>
        <v>2.62999999999999</v>
      </c>
      <c r="C267" s="401"/>
      <c r="D267" s="418" t="n">
        <f aca="false">IF(AND(L266&lt;L_rampe,Poussee&lt;Poids*SIN(M266)),0,(-W266+Poussee)/m*COS(M266)-U266/m*SIN(M266))</f>
        <v>10.7678723311746</v>
      </c>
      <c r="E267" s="419" t="n">
        <f aca="false">IF(AND(L266&lt;L_rampe,Poussee&lt;Poids*SIN(M266)),0,(-W266+Poussee)/m*SIN(M266)+U266/m*COS(M266)-Poids/m)</f>
        <v>37.6484462142311</v>
      </c>
      <c r="F267" s="417" t="n">
        <f aca="false">SQRT(acc_x^2+acc_z^2)</f>
        <v>39.1580461321339</v>
      </c>
      <c r="G267" s="418" t="n">
        <f aca="false">G266+acc_x*pas</f>
        <v>40.4214275708143</v>
      </c>
      <c r="H267" s="419" t="n">
        <f aca="false">H266+acc_z*pas</f>
        <v>178.055771746609</v>
      </c>
      <c r="I267" s="417" t="n">
        <f aca="false">SQRT(vit_x^2+vit_z^2)</f>
        <v>182.586280040815</v>
      </c>
      <c r="J267" s="418" t="n">
        <f aca="false">J266+0.5*(vit_x+G266)*pas*(K266&gt;=0)</f>
        <v>56.101681498336</v>
      </c>
      <c r="K267" s="419" t="n">
        <f aca="false">K266+0.5*(vit_z+H266)*pas</f>
        <v>263.815059639837</v>
      </c>
      <c r="L267" s="417" t="n">
        <f aca="false">SQRT(pos_x^2+pos_z^2)</f>
        <v>269.714264286692</v>
      </c>
      <c r="M267" s="418" t="n">
        <f aca="false">IF(AND(L266&gt;L_rampe,G267&gt;0),ATAN2(G267,H267),$M$4)</f>
        <v>1.34756429240379</v>
      </c>
      <c r="N267" s="417" t="n">
        <f aca="false">DEGREES(Beta)</f>
        <v>77.2097465772705</v>
      </c>
      <c r="O267" s="401"/>
      <c r="P267" s="420" t="n">
        <f aca="false">MATCH(t-pas/2-T_ini,CdP_t)</f>
        <v>7</v>
      </c>
      <c r="Q267" s="417" t="n">
        <f aca="false">(INDEX(CdP,2,i_P+1)-INDEX(CdP,2,i_P+0))/(INDEX(CdP,1,i_P+1)-INDEX(CdP,1,i_P+0))*(t-pas/2-T_ini-INDEX(CdP,1,i_P+0))+INDEX(CdP,2,i_P+0)</f>
        <v>487.468085106385</v>
      </c>
      <c r="R267" s="418" t="n">
        <f aca="false">Poussee/(g*ISP)</f>
        <v>0.244637519938056</v>
      </c>
      <c r="S267" s="419" t="n">
        <f aca="false">S266-Débit*pas</f>
        <v>7.51392998539745</v>
      </c>
      <c r="T267" s="417" t="n">
        <f aca="false">m*g</f>
        <v>73.711653156749</v>
      </c>
      <c r="U267" s="421" t="n">
        <f aca="false">IF(pos_xz&lt;L_rampe,Poids*COS(Beta),0)</f>
        <v>0</v>
      </c>
      <c r="V267" s="418" t="n">
        <f aca="false">Rho_moyen*(20000-Alt_rampe-pos_z)/(20000+Alt_rampe+pos_z)</f>
        <v>1.19310339542602</v>
      </c>
      <c r="W267" s="417" t="n">
        <f aca="false">1/2*Rho*Sref*Cx*vit_xz^2</f>
        <v>122.306651107536</v>
      </c>
      <c r="X267" s="401"/>
      <c r="Y267" s="422" t="str">
        <f aca="false">IF(AND(pos_z&lt;=0,K266&gt;0),"Impact balistique","") &amp; IF(AND(H268&lt;0,vit_z&gt;=0),"Apogée","") &amp; IF(AND(Poussee=0,Q266&gt;0),"Fin de propulsion","") &amp; IF(AND(L268&gt;L_rampe,pos_xz&lt;=L_rampe),"Sortie de rampe","")</f>
        <v/>
      </c>
      <c r="Z267" s="423" t="str">
        <f aca="false">IF(ABS(t-T_para)&lt;pas/2,"Para","")</f>
        <v/>
      </c>
      <c r="AA267" s="424" t="str">
        <f aca="false">IF(ABS(t-T_satellite)&lt;pas/2,"Satellite","")</f>
        <v/>
      </c>
      <c r="AB267" s="412"/>
      <c r="AC267" s="420" t="e">
        <f aca="false">IF(ABS(t-ROUND(t,0))&lt;0.001,t,NA())</f>
        <v>#N/A</v>
      </c>
      <c r="AD267" s="425" t="e">
        <f aca="false">IF(ABS(t-ROUND(t,0))&lt;0.001,pos_x,NA())</f>
        <v>#N/A</v>
      </c>
      <c r="AE267" s="426" t="n">
        <f aca="false">IF(t&lt;T_para, pos_z, NA())</f>
        <v>263.815059639837</v>
      </c>
      <c r="AF267" s="412"/>
      <c r="AG267" s="418" t="n">
        <f aca="false">IF(AND(L266&lt;L_rampe,Poussee&lt;Poids*SIN(M266)),0,(-W266+Poussee)/m-Poids*SIN(M266)/m)</f>
        <v>39.0978382928598</v>
      </c>
      <c r="AH267" s="417" t="n">
        <f aca="false">IF(AND(L266&lt;L_rampe,Poussee&lt;Poids*SIN(M266)), g*SIN(M266), (-W266+Poussee)/m)</f>
        <v>48.6646811518327</v>
      </c>
    </row>
    <row r="268" customFormat="false" ht="12" hidden="false" customHeight="false" outlineLevel="0" collapsed="false">
      <c r="A268" s="416" t="n">
        <f aca="false">IF(B267+0.01&lt;=T_ini+ROUNDUP(Temps_fin_propu,0), 0.01, IF(K267&gt;0, 0.1, 0.0001))</f>
        <v>0.01</v>
      </c>
      <c r="B268" s="417" t="n">
        <f aca="false">B267+pas</f>
        <v>2.63999999999999</v>
      </c>
      <c r="C268" s="401"/>
      <c r="D268" s="418" t="n">
        <f aca="false">IF(AND(L267&lt;L_rampe,Poussee&lt;Poids*SIN(M267)),0,(-W267+Poussee)/m*COS(M267)-U267/m*SIN(M267))</f>
        <v>10.702026487594</v>
      </c>
      <c r="E268" s="419" t="n">
        <f aca="false">IF(AND(L267&lt;L_rampe,Poussee&lt;Poids*SIN(M267)),0,(-W267+Poussee)/m*SIN(M267)+U267/m*COS(M267)-Poids/m)</f>
        <v>37.3322633988584</v>
      </c>
      <c r="F268" s="417" t="n">
        <f aca="false">SQRT(acc_x^2+acc_z^2)</f>
        <v>38.8359532060552</v>
      </c>
      <c r="G268" s="418" t="n">
        <f aca="false">G267+acc_x*pas</f>
        <v>40.5284478356902</v>
      </c>
      <c r="H268" s="419" t="n">
        <f aca="false">H267+acc_z*pas</f>
        <v>178.429094380597</v>
      </c>
      <c r="I268" s="417" t="n">
        <f aca="false">SQRT(vit_x^2+vit_z^2)</f>
        <v>182.974033145281</v>
      </c>
      <c r="J268" s="418" t="n">
        <f aca="false">J267+0.5*(vit_x+G267)*pas*(K267&gt;=0)</f>
        <v>56.5064308753686</v>
      </c>
      <c r="K268" s="419" t="n">
        <f aca="false">K267+0.5*(vit_z+H267)*pas</f>
        <v>265.597483970473</v>
      </c>
      <c r="L268" s="417" t="n">
        <f aca="false">SQRT(pos_x^2+pos_z^2)</f>
        <v>271.541894045318</v>
      </c>
      <c r="M268" s="418" t="n">
        <f aca="false">IF(AND(L267&gt;L_rampe,G268&gt;0),ATAN2(G268,H268),$M$4)</f>
        <v>1.34744559996474</v>
      </c>
      <c r="N268" s="417" t="n">
        <f aca="false">DEGREES(Beta)</f>
        <v>77.2029460014526</v>
      </c>
      <c r="O268" s="401"/>
      <c r="P268" s="420" t="n">
        <f aca="false">MATCH(t-pas/2-T_ini,CdP_t)</f>
        <v>7</v>
      </c>
      <c r="Q268" s="417" t="n">
        <f aca="false">(INDEX(CdP,2,i_P+1)-INDEX(CdP,2,i_P+0))/(INDEX(CdP,1,i_P+1)-INDEX(CdP,1,i_P+0))*(t-pas/2-T_ini-INDEX(CdP,1,i_P+0))+INDEX(CdP,2,i_P+0)</f>
        <v>485.425531914896</v>
      </c>
      <c r="R268" s="418" t="n">
        <f aca="false">Poussee/(g*ISP)</f>
        <v>0.243612457657315</v>
      </c>
      <c r="S268" s="419" t="n">
        <f aca="false">S267-Débit*pas</f>
        <v>7.51149386082087</v>
      </c>
      <c r="T268" s="417" t="n">
        <f aca="false">m*g</f>
        <v>73.6877547746528</v>
      </c>
      <c r="U268" s="421" t="n">
        <f aca="false">IF(pos_xz&lt;L_rampe,Poids*COS(Beta),0)</f>
        <v>0</v>
      </c>
      <c r="V268" s="418" t="n">
        <f aca="false">Rho_moyen*(20000-Alt_rampe-pos_z)/(20000+Alt_rampe+pos_z)</f>
        <v>1.19289071547274</v>
      </c>
      <c r="W268" s="417" t="n">
        <f aca="false">1/2*Rho*Sref*Cx*vit_xz^2</f>
        <v>122.804785961509</v>
      </c>
      <c r="X268" s="401"/>
      <c r="Y268" s="422" t="str">
        <f aca="false">IF(AND(pos_z&lt;=0,K267&gt;0),"Impact balistique","") &amp; IF(AND(H269&lt;0,vit_z&gt;=0),"Apogée","") &amp; IF(AND(Poussee=0,Q267&gt;0),"Fin de propulsion","") &amp; IF(AND(L269&gt;L_rampe,pos_xz&lt;=L_rampe),"Sortie de rampe","")</f>
        <v/>
      </c>
      <c r="Z268" s="423" t="str">
        <f aca="false">IF(ABS(t-T_para)&lt;pas/2,"Para","")</f>
        <v/>
      </c>
      <c r="AA268" s="424" t="str">
        <f aca="false">IF(ABS(t-T_satellite)&lt;pas/2,"Satellite","")</f>
        <v/>
      </c>
      <c r="AB268" s="412"/>
      <c r="AC268" s="420" t="e">
        <f aca="false">IF(ABS(t-ROUND(t,0))&lt;0.001,t,NA())</f>
        <v>#N/A</v>
      </c>
      <c r="AD268" s="425" t="e">
        <f aca="false">IF(ABS(t-ROUND(t,0))&lt;0.001,pos_x,NA())</f>
        <v>#N/A</v>
      </c>
      <c r="AE268" s="426" t="n">
        <f aca="false">IF(t&lt;T_para, pos_z, NA())</f>
        <v>265.597483970473</v>
      </c>
      <c r="AF268" s="412"/>
      <c r="AG268" s="418" t="n">
        <f aca="false">IF(AND(L267&lt;L_rampe,Poussee&lt;Poids*SIN(M267)),0,(-W267+Poussee)/m-Poids*SIN(M267)/m)</f>
        <v>38.775181560619</v>
      </c>
      <c r="AH268" s="417" t="n">
        <f aca="false">IF(AND(L267&lt;L_rampe,Poussee&lt;Poids*SIN(M267)), g*SIN(M267), (-W267+Poussee)/m)</f>
        <v>48.3417663031515</v>
      </c>
    </row>
    <row r="269" customFormat="false" ht="12" hidden="false" customHeight="false" outlineLevel="0" collapsed="false">
      <c r="A269" s="416" t="n">
        <f aca="false">IF(B268+0.01&lt;=T_ini+ROUNDUP(Temps_fin_propu,0), 0.01, IF(K268&gt;0, 0.1, 0.0001))</f>
        <v>0.01</v>
      </c>
      <c r="B269" s="417" t="n">
        <f aca="false">B268+pas</f>
        <v>2.64999999999999</v>
      </c>
      <c r="C269" s="401"/>
      <c r="D269" s="418" t="n">
        <f aca="false">IF(AND(L268&lt;L_rampe,Poussee&lt;Poids*SIN(M268)),0,(-W268+Poussee)/m*COS(M268)-U268/m*SIN(M268))</f>
        <v>10.6361372201763</v>
      </c>
      <c r="E269" s="419" t="n">
        <f aca="false">IF(AND(L268&lt;L_rampe,Poussee&lt;Poids*SIN(M268)),0,(-W268+Poussee)/m*SIN(M268)+U268/m*COS(M268)-Poids/m)</f>
        <v>37.0162771769064</v>
      </c>
      <c r="F269" s="417" t="n">
        <f aca="false">SQRT(acc_x^2+acc_z^2)</f>
        <v>38.5140518642739</v>
      </c>
      <c r="G269" s="418" t="n">
        <f aca="false">G268+acc_x*pas</f>
        <v>40.634809207892</v>
      </c>
      <c r="H269" s="419" t="n">
        <f aca="false">H268+acc_z*pas</f>
        <v>178.799257152366</v>
      </c>
      <c r="I269" s="417" t="n">
        <f aca="false">SQRT(vit_x^2+vit_z^2)</f>
        <v>183.358561506137</v>
      </c>
      <c r="J269" s="418" t="n">
        <f aca="false">J268+0.5*(vit_x+G268)*pas*(K268&gt;=0)</f>
        <v>56.9122471605865</v>
      </c>
      <c r="K269" s="419" t="n">
        <f aca="false">K268+0.5*(vit_z+H268)*pas</f>
        <v>267.383625728138</v>
      </c>
      <c r="L269" s="417" t="n">
        <f aca="false">SQRT(pos_x^2+pos_z^2)</f>
        <v>273.373384191645</v>
      </c>
      <c r="M269" s="418" t="n">
        <f aca="false">IF(AND(L268&gt;L_rampe,G269&gt;0),ATAN2(G269,H269),$M$4)</f>
        <v>1.34732709451422</v>
      </c>
      <c r="N269" s="417" t="n">
        <f aca="false">DEGREES(Beta)</f>
        <v>77.1961561392888</v>
      </c>
      <c r="O269" s="401"/>
      <c r="P269" s="420" t="n">
        <f aca="false">MATCH(t-pas/2-T_ini,CdP_t)</f>
        <v>7</v>
      </c>
      <c r="Q269" s="417" t="n">
        <f aca="false">(INDEX(CdP,2,i_P+1)-INDEX(CdP,2,i_P+0))/(INDEX(CdP,1,i_P+1)-INDEX(CdP,1,i_P+0))*(t-pas/2-T_ini-INDEX(CdP,1,i_P+0))+INDEX(CdP,2,i_P+0)</f>
        <v>483.382978723407</v>
      </c>
      <c r="R269" s="418" t="n">
        <f aca="false">Poussee/(g*ISP)</f>
        <v>0.242587395376575</v>
      </c>
      <c r="S269" s="419" t="n">
        <f aca="false">S268-Débit*pas</f>
        <v>7.50906798686711</v>
      </c>
      <c r="T269" s="417" t="n">
        <f aca="false">m*g</f>
        <v>73.6639569511663</v>
      </c>
      <c r="U269" s="421" t="n">
        <f aca="false">IF(pos_xz&lt;L_rampe,Poids*COS(Beta),0)</f>
        <v>0</v>
      </c>
      <c r="V269" s="418" t="n">
        <f aca="false">Rho_moyen*(20000-Alt_rampe-pos_z)/(20000+Alt_rampe+pos_z)</f>
        <v>1.1926776294794</v>
      </c>
      <c r="W269" s="417" t="n">
        <f aca="false">1/2*Rho*Sref*Cx*vit_xz^2</f>
        <v>123.299459250101</v>
      </c>
      <c r="X269" s="401"/>
      <c r="Y269" s="422" t="str">
        <f aca="false">IF(AND(pos_z&lt;=0,K268&gt;0),"Impact balistique","") &amp; IF(AND(H270&lt;0,vit_z&gt;=0),"Apogée","") &amp; IF(AND(Poussee=0,Q268&gt;0),"Fin de propulsion","") &amp; IF(AND(L270&gt;L_rampe,pos_xz&lt;=L_rampe),"Sortie de rampe","")</f>
        <v/>
      </c>
      <c r="Z269" s="423" t="str">
        <f aca="false">IF(ABS(t-T_para)&lt;pas/2,"Para","")</f>
        <v/>
      </c>
      <c r="AA269" s="424" t="str">
        <f aca="false">IF(ABS(t-T_satellite)&lt;pas/2,"Satellite","")</f>
        <v/>
      </c>
      <c r="AB269" s="412"/>
      <c r="AC269" s="420" t="e">
        <f aca="false">IF(ABS(t-ROUND(t,0))&lt;0.001,t,NA())</f>
        <v>#N/A</v>
      </c>
      <c r="AD269" s="425" t="e">
        <f aca="false">IF(ABS(t-ROUND(t,0))&lt;0.001,pos_x,NA())</f>
        <v>#N/A</v>
      </c>
      <c r="AE269" s="426" t="n">
        <f aca="false">IF(t&lt;T_para, pos_z, NA())</f>
        <v>267.383625728138</v>
      </c>
      <c r="AF269" s="412"/>
      <c r="AG269" s="418" t="n">
        <f aca="false">IF(AND(L268&lt;L_rampe,Poussee&lt;Poids*SIN(M268)),0,(-W268+Poussee)/m-Poids*SIN(M268)/m)</f>
        <v>38.4527073354244</v>
      </c>
      <c r="AH269" s="417" t="n">
        <f aca="false">IF(AND(L268&lt;L_rampe,Poussee&lt;Poids*SIN(M268)), g*SIN(M268), (-W268+Poussee)/m)</f>
        <v>48.0190342386734</v>
      </c>
    </row>
    <row r="270" customFormat="false" ht="12" hidden="false" customHeight="false" outlineLevel="0" collapsed="false">
      <c r="A270" s="416" t="n">
        <f aca="false">IF(B269+0.01&lt;=T_ini+ROUNDUP(Temps_fin_propu,0), 0.01, IF(K269&gt;0, 0.1, 0.0001))</f>
        <v>0.01</v>
      </c>
      <c r="B270" s="417" t="n">
        <f aca="false">B269+pas</f>
        <v>2.65999999999999</v>
      </c>
      <c r="C270" s="401"/>
      <c r="D270" s="418" t="n">
        <f aca="false">IF(AND(L269&lt;L_rampe,Poussee&lt;Poids*SIN(M269)),0,(-W269+Poussee)/m*COS(M269)-U269/m*SIN(M269))</f>
        <v>10.5702059303152</v>
      </c>
      <c r="E270" s="419" t="n">
        <f aca="false">IF(AND(L269&lt;L_rampe,Poussee&lt;Poids*SIN(M269)),0,(-W269+Poussee)/m*SIN(M269)+U269/m*COS(M269)-Poids/m)</f>
        <v>36.700491992684</v>
      </c>
      <c r="F270" s="417" t="n">
        <f aca="false">SQRT(acc_x^2+acc_z^2)</f>
        <v>38.1923469547805</v>
      </c>
      <c r="G270" s="418" t="n">
        <f aca="false">G269+acc_x*pas</f>
        <v>40.7405112671951</v>
      </c>
      <c r="H270" s="419" t="n">
        <f aca="false">H269+acc_z*pas</f>
        <v>179.166262072293</v>
      </c>
      <c r="I270" s="417" t="n">
        <f aca="false">SQRT(vit_x^2+vit_z^2)</f>
        <v>183.739866994809</v>
      </c>
      <c r="J270" s="418" t="n">
        <f aca="false">J269+0.5*(vit_x+G269)*pas*(K269&gt;=0)</f>
        <v>57.3191237629619</v>
      </c>
      <c r="K270" s="419" t="n">
        <f aca="false">K269+0.5*(vit_z+H269)*pas</f>
        <v>269.173453324261</v>
      </c>
      <c r="L270" s="417" t="n">
        <f aca="false">SQRT(pos_x^2+pos_z^2)</f>
        <v>275.208702484972</v>
      </c>
      <c r="M270" s="418" t="n">
        <f aca="false">IF(AND(L269&gt;L_rampe,G270&gt;0),ATAN2(G270,H270),$M$4)</f>
        <v>1.34720877329326</v>
      </c>
      <c r="N270" s="417" t="n">
        <f aca="false">DEGREES(Beta)</f>
        <v>77.1893768327006</v>
      </c>
      <c r="O270" s="401"/>
      <c r="P270" s="420" t="n">
        <f aca="false">MATCH(t-pas/2-T_ini,CdP_t)</f>
        <v>7</v>
      </c>
      <c r="Q270" s="417" t="n">
        <f aca="false">(INDEX(CdP,2,i_P+1)-INDEX(CdP,2,i_P+0))/(INDEX(CdP,1,i_P+1)-INDEX(CdP,1,i_P+0))*(t-pas/2-T_ini-INDEX(CdP,1,i_P+0))+INDEX(CdP,2,i_P+0)</f>
        <v>481.340425531918</v>
      </c>
      <c r="R270" s="418" t="n">
        <f aca="false">Poussee/(g*ISP)</f>
        <v>0.241562333095834</v>
      </c>
      <c r="S270" s="419" t="n">
        <f aca="false">S269-Débit*pas</f>
        <v>7.50665236353615</v>
      </c>
      <c r="T270" s="417" t="n">
        <f aca="false">m*g</f>
        <v>73.6402596862896</v>
      </c>
      <c r="U270" s="421" t="n">
        <f aca="false">IF(pos_xz&lt;L_rampe,Poids*COS(Beta),0)</f>
        <v>0</v>
      </c>
      <c r="V270" s="418" t="n">
        <f aca="false">Rho_moyen*(20000-Alt_rampe-pos_z)/(20000+Alt_rampe+pos_z)</f>
        <v>1.19246414143808</v>
      </c>
      <c r="W270" s="417" t="n">
        <f aca="false">1/2*Rho*Sref*Cx*vit_xz^2</f>
        <v>123.790647834522</v>
      </c>
      <c r="X270" s="401"/>
      <c r="Y270" s="422" t="str">
        <f aca="false">IF(AND(pos_z&lt;=0,K269&gt;0),"Impact balistique","") &amp; IF(AND(H271&lt;0,vit_z&gt;=0),"Apogée","") &amp; IF(AND(Poussee=0,Q269&gt;0),"Fin de propulsion","") &amp; IF(AND(L271&gt;L_rampe,pos_xz&lt;=L_rampe),"Sortie de rampe","")</f>
        <v/>
      </c>
      <c r="Z270" s="423" t="str">
        <f aca="false">IF(ABS(t-T_para)&lt;pas/2,"Para","")</f>
        <v/>
      </c>
      <c r="AA270" s="424" t="str">
        <f aca="false">IF(ABS(t-T_satellite)&lt;pas/2,"Satellite","")</f>
        <v/>
      </c>
      <c r="AB270" s="412"/>
      <c r="AC270" s="420" t="e">
        <f aca="false">IF(ABS(t-ROUND(t,0))&lt;0.001,t,NA())</f>
        <v>#N/A</v>
      </c>
      <c r="AD270" s="425" t="e">
        <f aca="false">IF(ABS(t-ROUND(t,0))&lt;0.001,pos_x,NA())</f>
        <v>#N/A</v>
      </c>
      <c r="AE270" s="426" t="n">
        <f aca="false">IF(t&lt;T_para, pos_z, NA())</f>
        <v>269.173453324261</v>
      </c>
      <c r="AF270" s="412"/>
      <c r="AG270" s="418" t="n">
        <f aca="false">IF(AND(L269&lt;L_rampe,Poussee&lt;Poids*SIN(M269)),0,(-W269+Poussee)/m-Poids*SIN(M269)/m)</f>
        <v>38.1304202501106</v>
      </c>
      <c r="AH270" s="417" t="n">
        <f aca="false">IF(AND(L269&lt;L_rampe,Poussee&lt;Poids*SIN(M269)), g*SIN(M269), (-W269+Poussee)/m)</f>
        <v>47.6964895858258</v>
      </c>
    </row>
    <row r="271" customFormat="false" ht="12" hidden="false" customHeight="false" outlineLevel="0" collapsed="false">
      <c r="A271" s="416" t="n">
        <f aca="false">IF(B270+0.01&lt;=T_ini+ROUNDUP(Temps_fin_propu,0), 0.01, IF(K270&gt;0, 0.1, 0.0001))</f>
        <v>0.01</v>
      </c>
      <c r="B271" s="417" t="n">
        <f aca="false">B270+pas</f>
        <v>2.66999999999999</v>
      </c>
      <c r="C271" s="401"/>
      <c r="D271" s="418" t="n">
        <f aca="false">IF(AND(L270&lt;L_rampe,Poussee&lt;Poids*SIN(M270)),0,(-W270+Poussee)/m*COS(M270)-U270/m*SIN(M270))</f>
        <v>10.5042340074011</v>
      </c>
      <c r="E271" s="419" t="n">
        <f aca="false">IF(AND(L270&lt;L_rampe,Poussee&lt;Poids*SIN(M270)),0,(-W270+Poussee)/m*SIN(M270)+U270/m*COS(M270)-Poids/m)</f>
        <v>36.3849122507489</v>
      </c>
      <c r="F271" s="417" t="n">
        <f aca="false">SQRT(acc_x^2+acc_z^2)</f>
        <v>37.8708432910721</v>
      </c>
      <c r="G271" s="418" t="n">
        <f aca="false">G270+acc_x*pas</f>
        <v>40.8455536072692</v>
      </c>
      <c r="H271" s="419" t="n">
        <f aca="false">H270+acc_z*pas</f>
        <v>179.530111194801</v>
      </c>
      <c r="I271" s="417" t="n">
        <f aca="false">SQRT(vit_x^2+vit_z^2)</f>
        <v>184.117951528638</v>
      </c>
      <c r="J271" s="418" t="n">
        <f aca="false">J270+0.5*(vit_x+G270)*pas*(K270&gt;=0)</f>
        <v>57.7270540873342</v>
      </c>
      <c r="K271" s="419" t="n">
        <f aca="false">K270+0.5*(vit_z+H270)*pas</f>
        <v>270.966935190597</v>
      </c>
      <c r="L271" s="417" t="n">
        <f aca="false">SQRT(pos_x^2+pos_z^2)</f>
        <v>277.04781670352</v>
      </c>
      <c r="M271" s="418" t="n">
        <f aca="false">IF(AND(L270&gt;L_rampe,G271&gt;0),ATAN2(G271,H271),$M$4)</f>
        <v>1.34709063356945</v>
      </c>
      <c r="N271" s="417" t="n">
        <f aca="false">DEGREES(Beta)</f>
        <v>77.1826079251338</v>
      </c>
      <c r="O271" s="401"/>
      <c r="P271" s="420" t="n">
        <f aca="false">MATCH(t-pas/2-T_ini,CdP_t)</f>
        <v>7</v>
      </c>
      <c r="Q271" s="417" t="n">
        <f aca="false">(INDEX(CdP,2,i_P+1)-INDEX(CdP,2,i_P+0))/(INDEX(CdP,1,i_P+1)-INDEX(CdP,1,i_P+0))*(t-pas/2-T_ini-INDEX(CdP,1,i_P+0))+INDEX(CdP,2,i_P+0)</f>
        <v>479.297872340428</v>
      </c>
      <c r="R271" s="418" t="n">
        <f aca="false">Poussee/(g*ISP)</f>
        <v>0.240537270815093</v>
      </c>
      <c r="S271" s="419" t="n">
        <f aca="false">S270-Débit*pas</f>
        <v>7.504246990828</v>
      </c>
      <c r="T271" s="417" t="n">
        <f aca="false">m*g</f>
        <v>73.6166629800227</v>
      </c>
      <c r="U271" s="421" t="n">
        <f aca="false">IF(pos_xz&lt;L_rampe,Poids*COS(Beta),0)</f>
        <v>0</v>
      </c>
      <c r="V271" s="418" t="n">
        <f aca="false">Rho_moyen*(20000-Alt_rampe-pos_z)/(20000+Alt_rampe+pos_z)</f>
        <v>1.19225025533614</v>
      </c>
      <c r="W271" s="417" t="n">
        <f aca="false">1/2*Rho*Sref*Cx*vit_xz^2</f>
        <v>124.27832891817</v>
      </c>
      <c r="X271" s="401"/>
      <c r="Y271" s="422" t="str">
        <f aca="false">IF(AND(pos_z&lt;=0,K270&gt;0),"Impact balistique","") &amp; IF(AND(H272&lt;0,vit_z&gt;=0),"Apogée","") &amp; IF(AND(Poussee=0,Q270&gt;0),"Fin de propulsion","") &amp; IF(AND(L272&gt;L_rampe,pos_xz&lt;=L_rampe),"Sortie de rampe","")</f>
        <v/>
      </c>
      <c r="Z271" s="423" t="str">
        <f aca="false">IF(ABS(t-T_para)&lt;pas/2,"Para","")</f>
        <v/>
      </c>
      <c r="AA271" s="424" t="str">
        <f aca="false">IF(ABS(t-T_satellite)&lt;pas/2,"Satellite","")</f>
        <v/>
      </c>
      <c r="AB271" s="412"/>
      <c r="AC271" s="420" t="e">
        <f aca="false">IF(ABS(t-ROUND(t,0))&lt;0.001,t,NA())</f>
        <v>#N/A</v>
      </c>
      <c r="AD271" s="425" t="e">
        <f aca="false">IF(ABS(t-ROUND(t,0))&lt;0.001,pos_x,NA())</f>
        <v>#N/A</v>
      </c>
      <c r="AE271" s="426" t="n">
        <f aca="false">IF(t&lt;T_para, pos_z, NA())</f>
        <v>270.966935190597</v>
      </c>
      <c r="AF271" s="412"/>
      <c r="AG271" s="418" t="n">
        <f aca="false">IF(AND(L270&lt;L_rampe,Poussee&lt;Poids*SIN(M270)),0,(-W270+Poussee)/m-Poids*SIN(M270)/m)</f>
        <v>37.8083248962138</v>
      </c>
      <c r="AH271" s="417" t="n">
        <f aca="false">IF(AND(L270&lt;L_rampe,Poussee&lt;Poids*SIN(M270)), g*SIN(M270), (-W270+Poussee)/m)</f>
        <v>47.3741369307836</v>
      </c>
    </row>
    <row r="272" customFormat="false" ht="12" hidden="false" customHeight="false" outlineLevel="0" collapsed="false">
      <c r="A272" s="416" t="n">
        <f aca="false">IF(B271+0.01&lt;=T_ini+ROUNDUP(Temps_fin_propu,0), 0.01, IF(K271&gt;0, 0.1, 0.0001))</f>
        <v>0.01</v>
      </c>
      <c r="B272" s="417" t="n">
        <f aca="false">B271+pas</f>
        <v>2.67999999999999</v>
      </c>
      <c r="C272" s="401"/>
      <c r="D272" s="418" t="n">
        <f aca="false">IF(AND(L271&lt;L_rampe,Poussee&lt;Poids*SIN(M271)),0,(-W271+Poussee)/m*COS(M271)-U271/m*SIN(M271))</f>
        <v>10.4382228288499</v>
      </c>
      <c r="E272" s="419" t="n">
        <f aca="false">IF(AND(L271&lt;L_rampe,Poussee&lt;Poids*SIN(M271)),0,(-W271+Poussee)/m*SIN(M271)+U271/m*COS(M271)-Poids/m)</f>
        <v>36.0695423158624</v>
      </c>
      <c r="F272" s="417" t="n">
        <f aca="false">SQRT(acc_x^2+acc_z^2)</f>
        <v>37.5495456523846</v>
      </c>
      <c r="G272" s="418" t="n">
        <f aca="false">G271+acc_x*pas</f>
        <v>40.9499358355577</v>
      </c>
      <c r="H272" s="419" t="n">
        <f aca="false">H271+acc_z*pas</f>
        <v>179.890806617959</v>
      </c>
      <c r="I272" s="417" t="n">
        <f aca="false">SQRT(vit_x^2+vit_z^2)</f>
        <v>184.492817070466</v>
      </c>
      <c r="J272" s="418" t="n">
        <f aca="false">J271+0.5*(vit_x+G271)*pas*(K271&gt;=0)</f>
        <v>58.1360315345484</v>
      </c>
      <c r="K272" s="419" t="n">
        <f aca="false">K271+0.5*(vit_z+H271)*pas</f>
        <v>272.764039779661</v>
      </c>
      <c r="L272" s="417" t="n">
        <f aca="false">SQRT(pos_x^2+pos_z^2)</f>
        <v>278.890694644885</v>
      </c>
      <c r="M272" s="418" t="n">
        <f aca="false">IF(AND(L271&gt;L_rampe,G272&gt;0),ATAN2(G272,H272),$M$4)</f>
        <v>1.34697267263657</v>
      </c>
      <c r="N272" s="417" t="n">
        <f aca="false">DEGREES(Beta)</f>
        <v>77.1758492615319</v>
      </c>
      <c r="O272" s="401"/>
      <c r="P272" s="420" t="n">
        <f aca="false">MATCH(t-pas/2-T_ini,CdP_t)</f>
        <v>7</v>
      </c>
      <c r="Q272" s="417" t="n">
        <f aca="false">(INDEX(CdP,2,i_P+1)-INDEX(CdP,2,i_P+0))/(INDEX(CdP,1,i_P+1)-INDEX(CdP,1,i_P+0))*(t-pas/2-T_ini-INDEX(CdP,1,i_P+0))+INDEX(CdP,2,i_P+0)</f>
        <v>477.255319148939</v>
      </c>
      <c r="R272" s="418" t="n">
        <f aca="false">Poussee/(g*ISP)</f>
        <v>0.239512208534352</v>
      </c>
      <c r="S272" s="419" t="n">
        <f aca="false">S271-Débit*pas</f>
        <v>7.50185186874265</v>
      </c>
      <c r="T272" s="417" t="n">
        <f aca="false">m*g</f>
        <v>73.5931668323654</v>
      </c>
      <c r="U272" s="421" t="n">
        <f aca="false">IF(pos_xz&lt;L_rampe,Poids*COS(Beta),0)</f>
        <v>0</v>
      </c>
      <c r="V272" s="418" t="n">
        <f aca="false">Rho_moyen*(20000-Alt_rampe-pos_z)/(20000+Alt_rampe+pos_z)</f>
        <v>1.19203597515618</v>
      </c>
      <c r="W272" s="417" t="n">
        <f aca="false">1/2*Rho*Sref*Cx*vit_xz^2</f>
        <v>124.762480045934</v>
      </c>
      <c r="X272" s="401"/>
      <c r="Y272" s="422" t="str">
        <f aca="false">IF(AND(pos_z&lt;=0,K271&gt;0),"Impact balistique","") &amp; IF(AND(H273&lt;0,vit_z&gt;=0),"Apogée","") &amp; IF(AND(Poussee=0,Q271&gt;0),"Fin de propulsion","") &amp; IF(AND(L273&gt;L_rampe,pos_xz&lt;=L_rampe),"Sortie de rampe","")</f>
        <v/>
      </c>
      <c r="Z272" s="423" t="str">
        <f aca="false">IF(ABS(t-T_para)&lt;pas/2,"Para","")</f>
        <v/>
      </c>
      <c r="AA272" s="424" t="str">
        <f aca="false">IF(ABS(t-T_satellite)&lt;pas/2,"Satellite","")</f>
        <v/>
      </c>
      <c r="AB272" s="412"/>
      <c r="AC272" s="420" t="e">
        <f aca="false">IF(ABS(t-ROUND(t,0))&lt;0.001,t,NA())</f>
        <v>#N/A</v>
      </c>
      <c r="AD272" s="425" t="e">
        <f aca="false">IF(ABS(t-ROUND(t,0))&lt;0.001,pos_x,NA())</f>
        <v>#N/A</v>
      </c>
      <c r="AE272" s="426" t="n">
        <f aca="false">IF(t&lt;T_para, pos_z, NA())</f>
        <v>272.764039779661</v>
      </c>
      <c r="AF272" s="412"/>
      <c r="AG272" s="418" t="n">
        <f aca="false">IF(AND(L271&lt;L_rampe,Poussee&lt;Poids*SIN(M271)),0,(-W271+Poussee)/m-Poids*SIN(M271)/m)</f>
        <v>37.4864258239329</v>
      </c>
      <c r="AH272" s="417" t="n">
        <f aca="false">IF(AND(L271&lt;L_rampe,Poussee&lt;Poids*SIN(M271)), g*SIN(M271), (-W271+Poussee)/m)</f>
        <v>47.0519808184282</v>
      </c>
    </row>
    <row r="273" customFormat="false" ht="12" hidden="false" customHeight="false" outlineLevel="0" collapsed="false">
      <c r="A273" s="416" t="n">
        <f aca="false">IF(B272+0.01&lt;=T_ini+ROUNDUP(Temps_fin_propu,0), 0.01, IF(K272&gt;0, 0.1, 0.0001))</f>
        <v>0.01</v>
      </c>
      <c r="B273" s="417" t="n">
        <f aca="false">B272+pas</f>
        <v>2.68999999999999</v>
      </c>
      <c r="C273" s="401"/>
      <c r="D273" s="418" t="n">
        <f aca="false">IF(AND(L272&lt;L_rampe,Poussee&lt;Poids*SIN(M272)),0,(-W272+Poussee)/m*COS(M272)-U272/m*SIN(M272))</f>
        <v>10.3721737601321</v>
      </c>
      <c r="E273" s="419" t="n">
        <f aca="false">IF(AND(L272&lt;L_rampe,Poussee&lt;Poids*SIN(M272)),0,(-W272+Poussee)/m*SIN(M272)+U272/m*COS(M272)-Poids/m)</f>
        <v>35.7543865129488</v>
      </c>
      <c r="F273" s="417" t="n">
        <f aca="false">SQRT(acc_x^2+acc_z^2)</f>
        <v>37.2284587839426</v>
      </c>
      <c r="G273" s="418" t="n">
        <f aca="false">G272+acc_x*pas</f>
        <v>41.053657573159</v>
      </c>
      <c r="H273" s="419" t="n">
        <f aca="false">H272+acc_z*pas</f>
        <v>180.248350483089</v>
      </c>
      <c r="I273" s="417" t="n">
        <f aca="false">SQRT(vit_x^2+vit_z^2)</f>
        <v>184.864465628223</v>
      </c>
      <c r="J273" s="418" t="n">
        <f aca="false">J272+0.5*(vit_x+G272)*pas*(K272&gt;=0)</f>
        <v>58.546049501592</v>
      </c>
      <c r="K273" s="419" t="n">
        <f aca="false">K272+0.5*(vit_z+H272)*pas</f>
        <v>274.564735565166</v>
      </c>
      <c r="L273" s="417" t="n">
        <f aca="false">SQRT(pos_x^2+pos_z^2)</f>
        <v>280.737304126495</v>
      </c>
      <c r="M273" s="418" t="n">
        <f aca="false">IF(AND(L272&gt;L_rampe,G273&gt;0),ATAN2(G273,H273),$M$4)</f>
        <v>1.34685488781402</v>
      </c>
      <c r="N273" s="417" t="n">
        <f aca="false">DEGREES(Beta)</f>
        <v>77.1691006883093</v>
      </c>
      <c r="O273" s="401"/>
      <c r="P273" s="420" t="n">
        <f aca="false">MATCH(t-pas/2-T_ini,CdP_t)</f>
        <v>7</v>
      </c>
      <c r="Q273" s="417" t="n">
        <f aca="false">(INDEX(CdP,2,i_P+1)-INDEX(CdP,2,i_P+0))/(INDEX(CdP,1,i_P+1)-INDEX(CdP,1,i_P+0))*(t-pas/2-T_ini-INDEX(CdP,1,i_P+0))+INDEX(CdP,2,i_P+0)</f>
        <v>475.21276595745</v>
      </c>
      <c r="R273" s="418" t="n">
        <f aca="false">Poussee/(g*ISP)</f>
        <v>0.238487146253611</v>
      </c>
      <c r="S273" s="419" t="n">
        <f aca="false">S272-Débit*pas</f>
        <v>7.49946699728012</v>
      </c>
      <c r="T273" s="417" t="n">
        <f aca="false">m*g</f>
        <v>73.569771243318</v>
      </c>
      <c r="U273" s="421" t="n">
        <f aca="false">IF(pos_xz&lt;L_rampe,Poids*COS(Beta),0)</f>
        <v>0</v>
      </c>
      <c r="V273" s="418" t="n">
        <f aca="false">Rho_moyen*(20000-Alt_rampe-pos_z)/(20000+Alt_rampe+pos_z)</f>
        <v>1.19182130487592</v>
      </c>
      <c r="W273" s="417" t="n">
        <f aca="false">1/2*Rho*Sref*Cx*vit_xz^2</f>
        <v>125.243079103476</v>
      </c>
      <c r="X273" s="401"/>
      <c r="Y273" s="422" t="str">
        <f aca="false">IF(AND(pos_z&lt;=0,K272&gt;0),"Impact balistique","") &amp; IF(AND(H274&lt;0,vit_z&gt;=0),"Apogée","") &amp; IF(AND(Poussee=0,Q272&gt;0),"Fin de propulsion","") &amp; IF(AND(L274&gt;L_rampe,pos_xz&lt;=L_rampe),"Sortie de rampe","")</f>
        <v/>
      </c>
      <c r="Z273" s="423" t="str">
        <f aca="false">IF(ABS(t-T_para)&lt;pas/2,"Para","")</f>
        <v/>
      </c>
      <c r="AA273" s="424" t="str">
        <f aca="false">IF(ABS(t-T_satellite)&lt;pas/2,"Satellite","")</f>
        <v/>
      </c>
      <c r="AB273" s="412"/>
      <c r="AC273" s="420" t="e">
        <f aca="false">IF(ABS(t-ROUND(t,0))&lt;0.001,t,NA())</f>
        <v>#N/A</v>
      </c>
      <c r="AD273" s="425" t="e">
        <f aca="false">IF(ABS(t-ROUND(t,0))&lt;0.001,pos_x,NA())</f>
        <v>#N/A</v>
      </c>
      <c r="AE273" s="426" t="n">
        <f aca="false">IF(t&lt;T_para, pos_z, NA())</f>
        <v>274.564735565166</v>
      </c>
      <c r="AF273" s="412"/>
      <c r="AG273" s="418" t="n">
        <f aca="false">IF(AND(L272&lt;L_rampe,Poussee&lt;Poids*SIN(M272)),0,(-W272+Poussee)/m-Poids*SIN(M272)/m)</f>
        <v>37.1647275420944</v>
      </c>
      <c r="AH273" s="417" t="n">
        <f aca="false">IF(AND(L272&lt;L_rampe,Poussee&lt;Poids*SIN(M272)), g*SIN(M272), (-W272+Poussee)/m)</f>
        <v>46.7300257523123</v>
      </c>
    </row>
    <row r="274" customFormat="false" ht="12" hidden="false" customHeight="false" outlineLevel="0" collapsed="false">
      <c r="A274" s="416" t="n">
        <f aca="false">IF(B273+0.01&lt;=T_ini+ROUNDUP(Temps_fin_propu,0), 0.01, IF(K273&gt;0, 0.1, 0.0001))</f>
        <v>0.01</v>
      </c>
      <c r="B274" s="417" t="n">
        <f aca="false">B273+pas</f>
        <v>2.69999999999999</v>
      </c>
      <c r="C274" s="401"/>
      <c r="D274" s="418" t="n">
        <f aca="false">IF(AND(L273&lt;L_rampe,Poussee&lt;Poids*SIN(M273)),0,(-W273+Poussee)/m*COS(M273)-U273/m*SIN(M273))</f>
        <v>10.306088154802</v>
      </c>
      <c r="E274" s="419" t="n">
        <f aca="false">IF(AND(L273&lt;L_rampe,Poussee&lt;Poids*SIN(M273)),0,(-W273+Poussee)/m*SIN(M273)+U273/m*COS(M273)-Poids/m)</f>
        <v>35.4394491270591</v>
      </c>
      <c r="F274" s="417" t="n">
        <f aca="false">SQRT(acc_x^2+acc_z^2)</f>
        <v>36.9075873972272</v>
      </c>
      <c r="G274" s="418" t="n">
        <f aca="false">G273+acc_x*pas</f>
        <v>41.156718454707</v>
      </c>
      <c r="H274" s="419" t="n">
        <f aca="false">H273+acc_z*pas</f>
        <v>180.602744974359</v>
      </c>
      <c r="I274" s="417" t="n">
        <f aca="false">SQRT(vit_x^2+vit_z^2)</f>
        <v>185.232899254516</v>
      </c>
      <c r="J274" s="418" t="n">
        <f aca="false">J273+0.5*(vit_x+G273)*pas*(K273&gt;=0)</f>
        <v>58.9571013817313</v>
      </c>
      <c r="K274" s="419" t="n">
        <f aca="false">K273+0.5*(vit_z+H273)*pas</f>
        <v>276.368991042453</v>
      </c>
      <c r="L274" s="417" t="n">
        <f aca="false">SQRT(pos_x^2+pos_z^2)</f>
        <v>282.58761298606</v>
      </c>
      <c r="M274" s="418" t="n">
        <f aca="false">IF(AND(L273&gt;L_rampe,G274&gt;0),ATAN2(G274,H274),$M$4)</f>
        <v>1.34673727644646</v>
      </c>
      <c r="N274" s="417" t="n">
        <f aca="false">DEGREES(Beta)</f>
        <v>77.1623620533256</v>
      </c>
      <c r="O274" s="401"/>
      <c r="P274" s="420" t="n">
        <f aca="false">MATCH(t-pas/2-T_ini,CdP_t)</f>
        <v>7</v>
      </c>
      <c r="Q274" s="417" t="n">
        <f aca="false">(INDEX(CdP,2,i_P+1)-INDEX(CdP,2,i_P+0))/(INDEX(CdP,1,i_P+1)-INDEX(CdP,1,i_P+0))*(t-pas/2-T_ini-INDEX(CdP,1,i_P+0))+INDEX(CdP,2,i_P+0)</f>
        <v>473.17021276596</v>
      </c>
      <c r="R274" s="418" t="n">
        <f aca="false">Poussee/(g*ISP)</f>
        <v>0.237462083972871</v>
      </c>
      <c r="S274" s="419" t="n">
        <f aca="false">S273-Débit*pas</f>
        <v>7.49709237644039</v>
      </c>
      <c r="T274" s="417" t="n">
        <f aca="false">m*g</f>
        <v>73.5464762128802</v>
      </c>
      <c r="U274" s="421" t="n">
        <f aca="false">IF(pos_xz&lt;L_rampe,Poids*COS(Beta),0)</f>
        <v>0</v>
      </c>
      <c r="V274" s="418" t="n">
        <f aca="false">Rho_moyen*(20000-Alt_rampe-pos_z)/(20000+Alt_rampe+pos_z)</f>
        <v>1.1916062484682</v>
      </c>
      <c r="W274" s="417" t="n">
        <f aca="false">1/2*Rho*Sref*Cx*vit_xz^2</f>
        <v>125.720104316488</v>
      </c>
      <c r="X274" s="401"/>
      <c r="Y274" s="422" t="str">
        <f aca="false">IF(AND(pos_z&lt;=0,K273&gt;0),"Impact balistique","") &amp; IF(AND(H275&lt;0,vit_z&gt;=0),"Apogée","") &amp; IF(AND(Poussee=0,Q273&gt;0),"Fin de propulsion","") &amp; IF(AND(L275&gt;L_rampe,pos_xz&lt;=L_rampe),"Sortie de rampe","")</f>
        <v/>
      </c>
      <c r="Z274" s="423" t="str">
        <f aca="false">IF(ABS(t-T_para)&lt;pas/2,"Para","")</f>
        <v/>
      </c>
      <c r="AA274" s="424" t="str">
        <f aca="false">IF(ABS(t-T_satellite)&lt;pas/2,"Satellite","")</f>
        <v/>
      </c>
      <c r="AB274" s="412"/>
      <c r="AC274" s="420" t="e">
        <f aca="false">IF(ABS(t-ROUND(t,0))&lt;0.001,t,NA())</f>
        <v>#N/A</v>
      </c>
      <c r="AD274" s="425" t="e">
        <f aca="false">IF(ABS(t-ROUND(t,0))&lt;0.001,pos_x,NA())</f>
        <v>#N/A</v>
      </c>
      <c r="AE274" s="426" t="n">
        <f aca="false">IF(t&lt;T_para, pos_z, NA())</f>
        <v>276.368991042453</v>
      </c>
      <c r="AF274" s="412"/>
      <c r="AG274" s="418" t="n">
        <f aca="false">IF(AND(L273&lt;L_rampe,Poussee&lt;Poids*SIN(M273)),0,(-W273+Poussee)/m-Poids*SIN(M273)/m)</f>
        <v>36.8432345181211</v>
      </c>
      <c r="AH274" s="417" t="n">
        <f aca="false">IF(AND(L273&lt;L_rampe,Poussee&lt;Poids*SIN(M273)), g*SIN(M273), (-W273+Poussee)/m)</f>
        <v>46.4082761946279</v>
      </c>
    </row>
    <row r="275" customFormat="false" ht="12" hidden="false" customHeight="false" outlineLevel="0" collapsed="false">
      <c r="A275" s="416" t="n">
        <f aca="false">IF(B274+0.01&lt;=T_ini+ROUNDUP(Temps_fin_propu,0), 0.01, IF(K274&gt;0, 0.1, 0.0001))</f>
        <v>0.01</v>
      </c>
      <c r="B275" s="417" t="n">
        <f aca="false">B274+pas</f>
        <v>2.70999999999999</v>
      </c>
      <c r="C275" s="401"/>
      <c r="D275" s="418" t="n">
        <f aca="false">IF(AND(L274&lt;L_rampe,Poussee&lt;Poids*SIN(M274)),0,(-W274+Poussee)/m*COS(M274)-U274/m*SIN(M274))</f>
        <v>10.2399673545261</v>
      </c>
      <c r="E275" s="419" t="n">
        <f aca="false">IF(AND(L274&lt;L_rampe,Poussee&lt;Poids*SIN(M274)),0,(-W274+Poussee)/m*SIN(M274)+U274/m*COS(M274)-Poids/m)</f>
        <v>35.1247344033388</v>
      </c>
      <c r="F275" s="417" t="n">
        <f aca="false">SQRT(acc_x^2+acc_z^2)</f>
        <v>36.5869361702624</v>
      </c>
      <c r="G275" s="418" t="n">
        <f aca="false">G274+acc_x*pas</f>
        <v>41.2591181282523</v>
      </c>
      <c r="H275" s="419" t="n">
        <f aca="false">H274+acc_z*pas</f>
        <v>180.953992318393</v>
      </c>
      <c r="I275" s="417" t="n">
        <f aca="false">SQRT(vit_x^2+vit_z^2)</f>
        <v>185.598120046206</v>
      </c>
      <c r="J275" s="418" t="n">
        <f aca="false">J274+0.5*(vit_x+G274)*pas*(K274&gt;=0)</f>
        <v>59.3691805646461</v>
      </c>
      <c r="K275" s="419" t="n">
        <f aca="false">K274+0.5*(vit_z+H274)*pas</f>
        <v>278.176774728917</v>
      </c>
      <c r="L275" s="417" t="n">
        <f aca="false">SQRT(pos_x^2+pos_z^2)</f>
        <v>284.441589082012</v>
      </c>
      <c r="M275" s="418" t="n">
        <f aca="false">IF(AND(L274&gt;L_rampe,G275&gt;0),ATAN2(G275,H275),$M$4)</f>
        <v>1.34661983590333</v>
      </c>
      <c r="N275" s="417" t="n">
        <f aca="false">DEGREES(Beta)</f>
        <v>77.1556332058603</v>
      </c>
      <c r="O275" s="401"/>
      <c r="P275" s="420" t="n">
        <f aca="false">MATCH(t-pas/2-T_ini,CdP_t)</f>
        <v>7</v>
      </c>
      <c r="Q275" s="417" t="n">
        <f aca="false">(INDEX(CdP,2,i_P+1)-INDEX(CdP,2,i_P+0))/(INDEX(CdP,1,i_P+1)-INDEX(CdP,1,i_P+0))*(t-pas/2-T_ini-INDEX(CdP,1,i_P+0))+INDEX(CdP,2,i_P+0)</f>
        <v>471.127659574471</v>
      </c>
      <c r="R275" s="418" t="n">
        <f aca="false">Poussee/(g*ISP)</f>
        <v>0.23643702169213</v>
      </c>
      <c r="S275" s="419" t="n">
        <f aca="false">S274-Débit*pas</f>
        <v>7.49472800622347</v>
      </c>
      <c r="T275" s="417" t="n">
        <f aca="false">m*g</f>
        <v>73.5232817410522</v>
      </c>
      <c r="U275" s="421" t="n">
        <f aca="false">IF(pos_xz&lt;L_rampe,Poids*COS(Beta),0)</f>
        <v>0</v>
      </c>
      <c r="V275" s="418" t="n">
        <f aca="false">Rho_moyen*(20000-Alt_rampe-pos_z)/(20000+Alt_rampe+pos_z)</f>
        <v>1.19139080990086</v>
      </c>
      <c r="W275" s="417" t="n">
        <f aca="false">1/2*Rho*Sref*Cx*vit_xz^2</f>
        <v>126.19353424992</v>
      </c>
      <c r="X275" s="401"/>
      <c r="Y275" s="422" t="str">
        <f aca="false">IF(AND(pos_z&lt;=0,K274&gt;0),"Impact balistique","") &amp; IF(AND(H276&lt;0,vit_z&gt;=0),"Apogée","") &amp; IF(AND(Poussee=0,Q274&gt;0),"Fin de propulsion","") &amp; IF(AND(L276&gt;L_rampe,pos_xz&lt;=L_rampe),"Sortie de rampe","")</f>
        <v/>
      </c>
      <c r="Z275" s="423" t="str">
        <f aca="false">IF(ABS(t-T_para)&lt;pas/2,"Para","")</f>
        <v/>
      </c>
      <c r="AA275" s="424" t="str">
        <f aca="false">IF(ABS(t-T_satellite)&lt;pas/2,"Satellite","")</f>
        <v/>
      </c>
      <c r="AB275" s="412"/>
      <c r="AC275" s="420" t="e">
        <f aca="false">IF(ABS(t-ROUND(t,0))&lt;0.001,t,NA())</f>
        <v>#N/A</v>
      </c>
      <c r="AD275" s="425" t="e">
        <f aca="false">IF(ABS(t-ROUND(t,0))&lt;0.001,pos_x,NA())</f>
        <v>#N/A</v>
      </c>
      <c r="AE275" s="426" t="n">
        <f aca="false">IF(t&lt;T_para, pos_z, NA())</f>
        <v>278.176774728917</v>
      </c>
      <c r="AF275" s="412"/>
      <c r="AG275" s="418" t="n">
        <f aca="false">IF(AND(L274&lt;L_rampe,Poussee&lt;Poids*SIN(M274)),0,(-W274+Poussee)/m-Poids*SIN(M274)/m)</f>
        <v>36.521951178006</v>
      </c>
      <c r="AH275" s="417" t="n">
        <f aca="false">IF(AND(L274&lt;L_rampe,Poussee&lt;Poids*SIN(M274)), g*SIN(M274), (-W274+Poussee)/m)</f>
        <v>46.0867365661788</v>
      </c>
    </row>
    <row r="276" customFormat="false" ht="12" hidden="false" customHeight="false" outlineLevel="0" collapsed="false">
      <c r="A276" s="416" t="n">
        <f aca="false">IF(B275+0.01&lt;=T_ini+ROUNDUP(Temps_fin_propu,0), 0.01, IF(K275&gt;0, 0.1, 0.0001))</f>
        <v>0.01</v>
      </c>
      <c r="B276" s="417" t="n">
        <f aca="false">B275+pas</f>
        <v>2.71999999999999</v>
      </c>
      <c r="C276" s="401"/>
      <c r="D276" s="418" t="n">
        <f aca="false">IF(AND(L275&lt;L_rampe,Poussee&lt;Poids*SIN(M275)),0,(-W275+Poussee)/m*COS(M275)-U275/m*SIN(M275))</f>
        <v>10.1738126891124</v>
      </c>
      <c r="E276" s="419" t="n">
        <f aca="false">IF(AND(L275&lt;L_rampe,Poussee&lt;Poids*SIN(M275)),0,(-W275+Poussee)/m*SIN(M275)+U275/m*COS(M275)-Poids/m)</f>
        <v>34.8102465470001</v>
      </c>
      <c r="F276" s="417" t="n">
        <f aca="false">SQRT(acc_x^2+acc_z^2)</f>
        <v>36.2665097479214</v>
      </c>
      <c r="G276" s="418" t="n">
        <f aca="false">G275+acc_x*pas</f>
        <v>41.3608562551434</v>
      </c>
      <c r="H276" s="419" t="n">
        <f aca="false">H275+acc_z*pas</f>
        <v>181.302094783863</v>
      </c>
      <c r="I276" s="417" t="n">
        <f aca="false">SQRT(vit_x^2+vit_z^2)</f>
        <v>185.960130144005</v>
      </c>
      <c r="J276" s="418" t="n">
        <f aca="false">J275+0.5*(vit_x+G275)*pas*(K275&gt;=0)</f>
        <v>59.7822804365631</v>
      </c>
      <c r="K276" s="419" t="n">
        <f aca="false">K275+0.5*(vit_z+H275)*pas</f>
        <v>279.988055164428</v>
      </c>
      <c r="L276" s="417" t="n">
        <f aca="false">SQRT(pos_x^2+pos_z^2)</f>
        <v>286.299200293949</v>
      </c>
      <c r="M276" s="418" t="n">
        <f aca="false">IF(AND(L275&gt;L_rampe,G276&gt;0),ATAN2(G276,H276),$M$4)</f>
        <v>1.34650256357839</v>
      </c>
      <c r="N276" s="417" t="n">
        <f aca="false">DEGREES(Beta)</f>
        <v>77.1489139965874</v>
      </c>
      <c r="O276" s="401"/>
      <c r="P276" s="420" t="n">
        <f aca="false">MATCH(t-pas/2-T_ini,CdP_t)</f>
        <v>7</v>
      </c>
      <c r="Q276" s="417" t="n">
        <f aca="false">(INDEX(CdP,2,i_P+1)-INDEX(CdP,2,i_P+0))/(INDEX(CdP,1,i_P+1)-INDEX(CdP,1,i_P+0))*(t-pas/2-T_ini-INDEX(CdP,1,i_P+0))+INDEX(CdP,2,i_P+0)</f>
        <v>469.085106382982</v>
      </c>
      <c r="R276" s="418" t="n">
        <f aca="false">Poussee/(g*ISP)</f>
        <v>0.235411959411389</v>
      </c>
      <c r="S276" s="419" t="n">
        <f aca="false">S275-Débit*pas</f>
        <v>7.49237388662935</v>
      </c>
      <c r="T276" s="417" t="n">
        <f aca="false">m*g</f>
        <v>73.500187827834</v>
      </c>
      <c r="U276" s="421" t="n">
        <f aca="false">IF(pos_xz&lt;L_rampe,Poids*COS(Beta),0)</f>
        <v>0</v>
      </c>
      <c r="V276" s="418" t="n">
        <f aca="false">Rho_moyen*(20000-Alt_rampe-pos_z)/(20000+Alt_rampe+pos_z)</f>
        <v>1.19117499313674</v>
      </c>
      <c r="W276" s="417" t="n">
        <f aca="false">1/2*Rho*Sref*Cx*vit_xz^2</f>
        <v>126.663347807188</v>
      </c>
      <c r="X276" s="401"/>
      <c r="Y276" s="422" t="str">
        <f aca="false">IF(AND(pos_z&lt;=0,K275&gt;0),"Impact balistique","") &amp; IF(AND(H277&lt;0,vit_z&gt;=0),"Apogée","") &amp; IF(AND(Poussee=0,Q275&gt;0),"Fin de propulsion","") &amp; IF(AND(L277&gt;L_rampe,pos_xz&lt;=L_rampe),"Sortie de rampe","")</f>
        <v/>
      </c>
      <c r="Z276" s="423" t="str">
        <f aca="false">IF(ABS(t-T_para)&lt;pas/2,"Para","")</f>
        <v/>
      </c>
      <c r="AA276" s="424" t="str">
        <f aca="false">IF(ABS(t-T_satellite)&lt;pas/2,"Satellite","")</f>
        <v/>
      </c>
      <c r="AB276" s="412"/>
      <c r="AC276" s="420" t="e">
        <f aca="false">IF(ABS(t-ROUND(t,0))&lt;0.001,t,NA())</f>
        <v>#N/A</v>
      </c>
      <c r="AD276" s="425" t="e">
        <f aca="false">IF(ABS(t-ROUND(t,0))&lt;0.001,pos_x,NA())</f>
        <v>#N/A</v>
      </c>
      <c r="AE276" s="426" t="n">
        <f aca="false">IF(t&lt;T_para, pos_z, NA())</f>
        <v>279.988055164428</v>
      </c>
      <c r="AF276" s="412"/>
      <c r="AG276" s="418" t="n">
        <f aca="false">IF(AND(L275&lt;L_rampe,Poussee&lt;Poids*SIN(M275)),0,(-W275+Poussee)/m-Poids*SIN(M275)/m)</f>
        <v>36.2008819062893</v>
      </c>
      <c r="AH276" s="417" t="n">
        <f aca="false">IF(AND(L275&lt;L_rampe,Poussee&lt;Poids*SIN(M275)), g*SIN(M275), (-W275+Poussee)/m)</f>
        <v>45.7654112463574</v>
      </c>
    </row>
    <row r="277" customFormat="false" ht="12" hidden="false" customHeight="false" outlineLevel="0" collapsed="false">
      <c r="A277" s="416" t="n">
        <f aca="false">IF(B276+0.01&lt;=T_ini+ROUNDUP(Temps_fin_propu,0), 0.01, IF(K276&gt;0, 0.1, 0.0001))</f>
        <v>0.01</v>
      </c>
      <c r="B277" s="417" t="n">
        <f aca="false">B276+pas</f>
        <v>2.72999999999999</v>
      </c>
      <c r="C277" s="401"/>
      <c r="D277" s="418" t="n">
        <f aca="false">IF(AND(L276&lt;L_rampe,Poussee&lt;Poids*SIN(M276)),0,(-W276+Poussee)/m*COS(M276)-U276/m*SIN(M276))</f>
        <v>10.1076254765387</v>
      </c>
      <c r="E277" s="419" t="n">
        <f aca="false">IF(AND(L276&lt;L_rampe,Poussee&lt;Poids*SIN(M276)),0,(-W276+Poussee)/m*SIN(M276)+U276/m*COS(M276)-Poids/m)</f>
        <v>34.4959897232983</v>
      </c>
      <c r="F277" s="417" t="n">
        <f aca="false">SQRT(acc_x^2+acc_z^2)</f>
        <v>35.9463127422532</v>
      </c>
      <c r="G277" s="418" t="n">
        <f aca="false">G276+acc_x*pas</f>
        <v>41.4619325099088</v>
      </c>
      <c r="H277" s="419" t="n">
        <f aca="false">H276+acc_z*pas</f>
        <v>181.647054681096</v>
      </c>
      <c r="I277" s="417" t="n">
        <f aca="false">SQRT(vit_x^2+vit_z^2)</f>
        <v>186.318931732052</v>
      </c>
      <c r="J277" s="418" t="n">
        <f aca="false">J276+0.5*(vit_x+G276)*pas*(K276&gt;=0)</f>
        <v>60.1963943803883</v>
      </c>
      <c r="K277" s="419" t="n">
        <f aca="false">K276+0.5*(vit_z+H276)*pas</f>
        <v>281.802800911753</v>
      </c>
      <c r="L277" s="417" t="n">
        <f aca="false">SQRT(pos_x^2+pos_z^2)</f>
        <v>288.160414523071</v>
      </c>
      <c r="M277" s="418" t="n">
        <f aca="false">IF(AND(L276&gt;L_rampe,G277&gt;0),ATAN2(G277,H277),$M$4)</f>
        <v>1.34638545688933</v>
      </c>
      <c r="N277" s="417" t="n">
        <f aca="false">DEGREES(Beta)</f>
        <v>77.1422042775516</v>
      </c>
      <c r="O277" s="401"/>
      <c r="P277" s="420" t="n">
        <f aca="false">MATCH(t-pas/2-T_ini,CdP_t)</f>
        <v>7</v>
      </c>
      <c r="Q277" s="417" t="n">
        <f aca="false">(INDEX(CdP,2,i_P+1)-INDEX(CdP,2,i_P+0))/(INDEX(CdP,1,i_P+1)-INDEX(CdP,1,i_P+0))*(t-pas/2-T_ini-INDEX(CdP,1,i_P+0))+INDEX(CdP,2,i_P+0)</f>
        <v>467.042553191492</v>
      </c>
      <c r="R277" s="418" t="n">
        <f aca="false">Poussee/(g*ISP)</f>
        <v>0.234386897130648</v>
      </c>
      <c r="S277" s="419" t="n">
        <f aca="false">S276-Débit*pas</f>
        <v>7.49003001765805</v>
      </c>
      <c r="T277" s="417" t="n">
        <f aca="false">m*g</f>
        <v>73.4771944732255</v>
      </c>
      <c r="U277" s="421" t="n">
        <f aca="false">IF(pos_xz&lt;L_rampe,Poids*COS(Beta),0)</f>
        <v>0</v>
      </c>
      <c r="V277" s="418" t="n">
        <f aca="false">Rho_moyen*(20000-Alt_rampe-pos_z)/(20000+Alt_rampe+pos_z)</f>
        <v>1.19095880213357</v>
      </c>
      <c r="W277" s="417" t="n">
        <f aca="false">1/2*Rho*Sref*Cx*vit_xz^2</f>
        <v>127.129524229352</v>
      </c>
      <c r="X277" s="401"/>
      <c r="Y277" s="422" t="str">
        <f aca="false">IF(AND(pos_z&lt;=0,K276&gt;0),"Impact balistique","") &amp; IF(AND(H278&lt;0,vit_z&gt;=0),"Apogée","") &amp; IF(AND(Poussee=0,Q276&gt;0),"Fin de propulsion","") &amp; IF(AND(L278&gt;L_rampe,pos_xz&lt;=L_rampe),"Sortie de rampe","")</f>
        <v/>
      </c>
      <c r="Z277" s="423" t="str">
        <f aca="false">IF(ABS(t-T_para)&lt;pas/2,"Para","")</f>
        <v/>
      </c>
      <c r="AA277" s="424" t="str">
        <f aca="false">IF(ABS(t-T_satellite)&lt;pas/2,"Satellite","")</f>
        <v/>
      </c>
      <c r="AB277" s="412"/>
      <c r="AC277" s="420" t="e">
        <f aca="false">IF(ABS(t-ROUND(t,0))&lt;0.001,t,NA())</f>
        <v>#N/A</v>
      </c>
      <c r="AD277" s="425" t="e">
        <f aca="false">IF(ABS(t-ROUND(t,0))&lt;0.001,pos_x,NA())</f>
        <v>#N/A</v>
      </c>
      <c r="AE277" s="426" t="n">
        <f aca="false">IF(t&lt;T_para, pos_z, NA())</f>
        <v>281.802800911753</v>
      </c>
      <c r="AF277" s="412"/>
      <c r="AG277" s="418" t="n">
        <f aca="false">IF(AND(L276&lt;L_rampe,Poussee&lt;Poids*SIN(M276)),0,(-W276+Poussee)/m-Poids*SIN(M276)/m)</f>
        <v>35.8800310460399</v>
      </c>
      <c r="AH277" s="417" t="n">
        <f aca="false">IF(AND(L276&lt;L_rampe,Poussee&lt;Poids*SIN(M276)), g*SIN(M276), (-W276+Poussee)/m)</f>
        <v>45.4443045731255</v>
      </c>
    </row>
    <row r="278" customFormat="false" ht="12" hidden="false" customHeight="false" outlineLevel="0" collapsed="false">
      <c r="A278" s="416" t="n">
        <f aca="false">IF(B277+0.01&lt;=T_ini+ROUNDUP(Temps_fin_propu,0), 0.01, IF(K277&gt;0, 0.1, 0.0001))</f>
        <v>0.01</v>
      </c>
      <c r="B278" s="417" t="n">
        <f aca="false">B277+pas</f>
        <v>2.73999999999999</v>
      </c>
      <c r="C278" s="401"/>
      <c r="D278" s="418" t="n">
        <f aca="false">IF(AND(L277&lt;L_rampe,Poussee&lt;Poids*SIN(M277)),0,(-W277+Poussee)/m*COS(M277)-U277/m*SIN(M277))</f>
        <v>10.0414070229814</v>
      </c>
      <c r="E278" s="419" t="n">
        <f aca="false">IF(AND(L277&lt;L_rampe,Poussee&lt;Poids*SIN(M277)),0,(-W277+Poussee)/m*SIN(M277)+U277/m*COS(M277)-Poids/m)</f>
        <v>34.1819680575124</v>
      </c>
      <c r="F278" s="417" t="n">
        <f aca="false">SQRT(acc_x^2+acc_z^2)</f>
        <v>35.6263497328309</v>
      </c>
      <c r="G278" s="418" t="n">
        <f aca="false">G277+acc_x*pas</f>
        <v>41.5623465801386</v>
      </c>
      <c r="H278" s="419" t="n">
        <f aca="false">H277+acc_z*pas</f>
        <v>181.988874361671</v>
      </c>
      <c r="I278" s="417" t="n">
        <f aca="false">SQRT(vit_x^2+vit_z^2)</f>
        <v>186.674527037503</v>
      </c>
      <c r="J278" s="418" t="n">
        <f aca="false">J277+0.5*(vit_x+G277)*pas*(K277&gt;=0)</f>
        <v>60.6115157758386</v>
      </c>
      <c r="K278" s="419" t="n">
        <f aca="false">K277+0.5*(vit_z+H277)*pas</f>
        <v>283.620980556967</v>
      </c>
      <c r="L278" s="417" t="n">
        <f aca="false">SQRT(pos_x^2+pos_z^2)</f>
        <v>290.025199692613</v>
      </c>
      <c r="M278" s="418" t="n">
        <f aca="false">IF(AND(L277&gt;L_rampe,G278&gt;0),ATAN2(G278,H278),$M$4)</f>
        <v>1.34626851327734</v>
      </c>
      <c r="N278" s="417" t="n">
        <f aca="false">DEGREES(Beta)</f>
        <v>77.1355039021434</v>
      </c>
      <c r="O278" s="401"/>
      <c r="P278" s="420" t="n">
        <f aca="false">MATCH(t-pas/2-T_ini,CdP_t)</f>
        <v>7</v>
      </c>
      <c r="Q278" s="417" t="n">
        <f aca="false">(INDEX(CdP,2,i_P+1)-INDEX(CdP,2,i_P+0))/(INDEX(CdP,1,i_P+1)-INDEX(CdP,1,i_P+0))*(t-pas/2-T_ini-INDEX(CdP,1,i_P+0))+INDEX(CdP,2,i_P+0)</f>
        <v>465.000000000003</v>
      </c>
      <c r="R278" s="418" t="n">
        <f aca="false">Poussee/(g*ISP)</f>
        <v>0.233361834849907</v>
      </c>
      <c r="S278" s="419" t="n">
        <f aca="false">S277-Débit*pas</f>
        <v>7.48769639930955</v>
      </c>
      <c r="T278" s="417" t="n">
        <f aca="false">m*g</f>
        <v>73.4543016772267</v>
      </c>
      <c r="U278" s="421" t="n">
        <f aca="false">IF(pos_xz&lt;L_rampe,Poids*COS(Beta),0)</f>
        <v>0</v>
      </c>
      <c r="V278" s="418" t="n">
        <f aca="false">Rho_moyen*(20000-Alt_rampe-pos_z)/(20000+Alt_rampe+pos_z)</f>
        <v>1.19074224084395</v>
      </c>
      <c r="W278" s="417" t="n">
        <f aca="false">1/2*Rho*Sref*Cx*vit_xz^2</f>
        <v>127.592043094275</v>
      </c>
      <c r="X278" s="401"/>
      <c r="Y278" s="422" t="str">
        <f aca="false">IF(AND(pos_z&lt;=0,K277&gt;0),"Impact balistique","") &amp; IF(AND(H279&lt;0,vit_z&gt;=0),"Apogée","") &amp; IF(AND(Poussee=0,Q277&gt;0),"Fin de propulsion","") &amp; IF(AND(L279&gt;L_rampe,pos_xz&lt;=L_rampe),"Sortie de rampe","")</f>
        <v/>
      </c>
      <c r="Z278" s="423" t="str">
        <f aca="false">IF(ABS(t-T_para)&lt;pas/2,"Para","")</f>
        <v/>
      </c>
      <c r="AA278" s="424" t="str">
        <f aca="false">IF(ABS(t-T_satellite)&lt;pas/2,"Satellite","")</f>
        <v/>
      </c>
      <c r="AB278" s="412"/>
      <c r="AC278" s="420" t="e">
        <f aca="false">IF(ABS(t-ROUND(t,0))&lt;0.001,t,NA())</f>
        <v>#N/A</v>
      </c>
      <c r="AD278" s="425" t="e">
        <f aca="false">IF(ABS(t-ROUND(t,0))&lt;0.001,pos_x,NA())</f>
        <v>#N/A</v>
      </c>
      <c r="AE278" s="426" t="n">
        <f aca="false">IF(t&lt;T_para, pos_z, NA())</f>
        <v>283.620980556967</v>
      </c>
      <c r="AF278" s="412"/>
      <c r="AG278" s="418" t="n">
        <f aca="false">IF(AND(L277&lt;L_rampe,Poussee&lt;Poids*SIN(M277)),0,(-W277+Poussee)/m-Poids*SIN(M277)/m)</f>
        <v>35.5594028988416</v>
      </c>
      <c r="AH278" s="417" t="n">
        <f aca="false">IF(AND(L277&lt;L_rampe,Poussee&lt;Poids*SIN(M277)), g*SIN(M277), (-W277+Poussee)/m)</f>
        <v>45.1234208429988</v>
      </c>
    </row>
    <row r="279" customFormat="false" ht="12" hidden="false" customHeight="false" outlineLevel="0" collapsed="false">
      <c r="A279" s="416" t="n">
        <f aca="false">IF(B278+0.01&lt;=T_ini+ROUNDUP(Temps_fin_propu,0), 0.01, IF(K278&gt;0, 0.1, 0.0001))</f>
        <v>0.01</v>
      </c>
      <c r="B279" s="417" t="n">
        <f aca="false">B278+pas</f>
        <v>2.74999999999999</v>
      </c>
      <c r="C279" s="401"/>
      <c r="D279" s="418" t="n">
        <f aca="false">IF(AND(L278&lt;L_rampe,Poussee&lt;Poids*SIN(M278)),0,(-W278+Poussee)/m*COS(M278)-U278/m*SIN(M278))</f>
        <v>9.9751586228444</v>
      </c>
      <c r="E279" s="419" t="n">
        <f aca="false">IF(AND(L278&lt;L_rampe,Poussee&lt;Poids*SIN(M278)),0,(-W278+Poussee)/m*SIN(M278)+U278/m*COS(M278)-Poids/m)</f>
        <v>33.8681856349295</v>
      </c>
      <c r="F279" s="417" t="n">
        <f aca="false">SQRT(acc_x^2+acc_z^2)</f>
        <v>35.3066252671216</v>
      </c>
      <c r="G279" s="418" t="n">
        <f aca="false">G278+acc_x*pas</f>
        <v>41.662098166367</v>
      </c>
      <c r="H279" s="419" t="n">
        <f aca="false">H278+acc_z*pas</f>
        <v>182.32755621802</v>
      </c>
      <c r="I279" s="417" t="n">
        <f aca="false">SQRT(vit_x^2+vit_z^2)</f>
        <v>187.026918330115</v>
      </c>
      <c r="J279" s="418" t="n">
        <f aca="false">J278+0.5*(vit_x+G278)*pas*(K278&gt;=0)</f>
        <v>61.0276379995711</v>
      </c>
      <c r="K279" s="419" t="n">
        <f aca="false">K278+0.5*(vit_z+H278)*pas</f>
        <v>285.442562709865</v>
      </c>
      <c r="L279" s="417" t="n">
        <f aca="false">SQRT(pos_x^2+pos_z^2)</f>
        <v>291.89352374827</v>
      </c>
      <c r="M279" s="418" t="n">
        <f aca="false">IF(AND(L278&gt;L_rampe,G279&gt;0),ATAN2(G279,H279),$M$4)</f>
        <v>1.34615173020668</v>
      </c>
      <c r="N279" s="417" t="n">
        <f aca="false">DEGREES(Beta)</f>
        <v>77.1288127250765</v>
      </c>
      <c r="O279" s="401"/>
      <c r="P279" s="420" t="n">
        <f aca="false">MATCH(t-pas/2-T_ini,CdP_t)</f>
        <v>7</v>
      </c>
      <c r="Q279" s="417" t="n">
        <f aca="false">(INDEX(CdP,2,i_P+1)-INDEX(CdP,2,i_P+0))/(INDEX(CdP,1,i_P+1)-INDEX(CdP,1,i_P+0))*(t-pas/2-T_ini-INDEX(CdP,1,i_P+0))+INDEX(CdP,2,i_P+0)</f>
        <v>462.957446808514</v>
      </c>
      <c r="R279" s="418" t="n">
        <f aca="false">Poussee/(g*ISP)</f>
        <v>0.232336772569167</v>
      </c>
      <c r="S279" s="419" t="n">
        <f aca="false">S278-Débit*pas</f>
        <v>7.48537303158386</v>
      </c>
      <c r="T279" s="417" t="n">
        <f aca="false">m*g</f>
        <v>73.4315094398377</v>
      </c>
      <c r="U279" s="421" t="n">
        <f aca="false">IF(pos_xz&lt;L_rampe,Poids*COS(Beta),0)</f>
        <v>0</v>
      </c>
      <c r="V279" s="418" t="n">
        <f aca="false">Rho_moyen*(20000-Alt_rampe-pos_z)/(20000+Alt_rampe+pos_z)</f>
        <v>1.19052531321526</v>
      </c>
      <c r="W279" s="417" t="n">
        <f aca="false">1/2*Rho*Sref*Cx*vit_xz^2</f>
        <v>128.050884315756</v>
      </c>
      <c r="X279" s="401"/>
      <c r="Y279" s="422" t="str">
        <f aca="false">IF(AND(pos_z&lt;=0,K278&gt;0),"Impact balistique","") &amp; IF(AND(H280&lt;0,vit_z&gt;=0),"Apogée","") &amp; IF(AND(Poussee=0,Q278&gt;0),"Fin de propulsion","") &amp; IF(AND(L280&gt;L_rampe,pos_xz&lt;=L_rampe),"Sortie de rampe","")</f>
        <v/>
      </c>
      <c r="Z279" s="423" t="str">
        <f aca="false">IF(ABS(t-T_para)&lt;pas/2,"Para","")</f>
        <v/>
      </c>
      <c r="AA279" s="424" t="str">
        <f aca="false">IF(ABS(t-T_satellite)&lt;pas/2,"Satellite","")</f>
        <v/>
      </c>
      <c r="AB279" s="412"/>
      <c r="AC279" s="420" t="e">
        <f aca="false">IF(ABS(t-ROUND(t,0))&lt;0.001,t,NA())</f>
        <v>#N/A</v>
      </c>
      <c r="AD279" s="425" t="e">
        <f aca="false">IF(ABS(t-ROUND(t,0))&lt;0.001,pos_x,NA())</f>
        <v>#N/A</v>
      </c>
      <c r="AE279" s="426" t="n">
        <f aca="false">IF(t&lt;T_para, pos_z, NA())</f>
        <v>285.442562709865</v>
      </c>
      <c r="AF279" s="412"/>
      <c r="AG279" s="418" t="n">
        <f aca="false">IF(AND(L278&lt;L_rampe,Poussee&lt;Poids*SIN(M278)),0,(-W278+Poussee)/m-Poids*SIN(M278)/m)</f>
        <v>35.239001724782</v>
      </c>
      <c r="AH279" s="417" t="n">
        <f aca="false">IF(AND(L278&lt;L_rampe,Poussee&lt;Poids*SIN(M278)), g*SIN(M278), (-W278+Poussee)/m)</f>
        <v>44.8027643110363</v>
      </c>
    </row>
    <row r="280" customFormat="false" ht="12" hidden="false" customHeight="false" outlineLevel="0" collapsed="false">
      <c r="A280" s="416" t="n">
        <f aca="false">IF(B279+0.01&lt;=T_ini+ROUNDUP(Temps_fin_propu,0), 0.01, IF(K279&gt;0, 0.1, 0.0001))</f>
        <v>0.01</v>
      </c>
      <c r="B280" s="417" t="n">
        <f aca="false">B279+pas</f>
        <v>2.75999999999999</v>
      </c>
      <c r="C280" s="401"/>
      <c r="D280" s="418" t="n">
        <f aca="false">IF(AND(L279&lt;L_rampe,Poussee&lt;Poids*SIN(M279)),0,(-W279+Poussee)/m*COS(M279)-U279/m*SIN(M279))</f>
        <v>9.90888155878746</v>
      </c>
      <c r="E280" s="419" t="n">
        <f aca="false">IF(AND(L279&lt;L_rampe,Poussee&lt;Poids*SIN(M279)),0,(-W279+Poussee)/m*SIN(M279)+U279/m*COS(M279)-Poids/m)</f>
        <v>33.5546465008334</v>
      </c>
      <c r="F280" s="417" t="n">
        <f aca="false">SQRT(acc_x^2+acc_z^2)</f>
        <v>34.9871438608808</v>
      </c>
      <c r="G280" s="418" t="n">
        <f aca="false">G279+acc_x*pas</f>
        <v>41.7611869819549</v>
      </c>
      <c r="H280" s="419" t="n">
        <f aca="false">H279+acc_z*pas</f>
        <v>182.663102683029</v>
      </c>
      <c r="I280" s="417" t="n">
        <f aca="false">SQRT(vit_x^2+vit_z^2)</f>
        <v>187.376107921828</v>
      </c>
      <c r="J280" s="418" t="n">
        <f aca="false">J279+0.5*(vit_x+G279)*pas*(K279&gt;=0)</f>
        <v>61.4447544253127</v>
      </c>
      <c r="K280" s="419" t="n">
        <f aca="false">K279+0.5*(vit_z+H279)*pas</f>
        <v>287.26751600437</v>
      </c>
      <c r="L280" s="417" t="n">
        <f aca="false">SQRT(pos_x^2+pos_z^2)</f>
        <v>293.765354658626</v>
      </c>
      <c r="M280" s="418" t="n">
        <f aca="false">IF(AND(L279&gt;L_rampe,G280&gt;0),ATAN2(G280,H280),$M$4)</f>
        <v>1.34603510516432</v>
      </c>
      <c r="N280" s="417" t="n">
        <f aca="false">DEGREES(Beta)</f>
        <v>77.1221306023637</v>
      </c>
      <c r="O280" s="401"/>
      <c r="P280" s="420" t="n">
        <f aca="false">MATCH(t-pas/2-T_ini,CdP_t)</f>
        <v>7</v>
      </c>
      <c r="Q280" s="417" t="n">
        <f aca="false">(INDEX(CdP,2,i_P+1)-INDEX(CdP,2,i_P+0))/(INDEX(CdP,1,i_P+1)-INDEX(CdP,1,i_P+0))*(t-pas/2-T_ini-INDEX(CdP,1,i_P+0))+INDEX(CdP,2,i_P+0)</f>
        <v>460.914893617024</v>
      </c>
      <c r="R280" s="418" t="n">
        <f aca="false">Poussee/(g*ISP)</f>
        <v>0.231311710288426</v>
      </c>
      <c r="S280" s="419" t="n">
        <f aca="false">S279-Débit*pas</f>
        <v>7.48305991448097</v>
      </c>
      <c r="T280" s="417" t="n">
        <f aca="false">m*g</f>
        <v>73.4088177610584</v>
      </c>
      <c r="U280" s="421" t="n">
        <f aca="false">IF(pos_xz&lt;L_rampe,Poids*COS(Beta),0)</f>
        <v>0</v>
      </c>
      <c r="V280" s="418" t="n">
        <f aca="false">Rho_moyen*(20000-Alt_rampe-pos_z)/(20000+Alt_rampe+pos_z)</f>
        <v>1.19030802318964</v>
      </c>
      <c r="W280" s="417" t="n">
        <f aca="false">1/2*Rho*Sref*Cx*vit_xz^2</f>
        <v>128.506028142638</v>
      </c>
      <c r="X280" s="401"/>
      <c r="Y280" s="422" t="str">
        <f aca="false">IF(AND(pos_z&lt;=0,K279&gt;0),"Impact balistique","") &amp; IF(AND(H281&lt;0,vit_z&gt;=0),"Apogée","") &amp; IF(AND(Poussee=0,Q279&gt;0),"Fin de propulsion","") &amp; IF(AND(L281&gt;L_rampe,pos_xz&lt;=L_rampe),"Sortie de rampe","")</f>
        <v/>
      </c>
      <c r="Z280" s="423" t="str">
        <f aca="false">IF(ABS(t-T_para)&lt;pas/2,"Para","")</f>
        <v/>
      </c>
      <c r="AA280" s="424" t="str">
        <f aca="false">IF(ABS(t-T_satellite)&lt;pas/2,"Satellite","")</f>
        <v/>
      </c>
      <c r="AB280" s="412"/>
      <c r="AC280" s="420" t="e">
        <f aca="false">IF(ABS(t-ROUND(t,0))&lt;0.001,t,NA())</f>
        <v>#N/A</v>
      </c>
      <c r="AD280" s="425" t="e">
        <f aca="false">IF(ABS(t-ROUND(t,0))&lt;0.001,pos_x,NA())</f>
        <v>#N/A</v>
      </c>
      <c r="AE280" s="426" t="n">
        <f aca="false">IF(t&lt;T_para, pos_z, NA())</f>
        <v>287.26751600437</v>
      </c>
      <c r="AF280" s="412"/>
      <c r="AG280" s="418" t="n">
        <f aca="false">IF(AND(L279&lt;L_rampe,Poussee&lt;Poids*SIN(M279)),0,(-W279+Poussee)/m-Poids*SIN(M279)/m)</f>
        <v>34.9188317424467</v>
      </c>
      <c r="AH280" s="417" t="n">
        <f aca="false">IF(AND(L279&lt;L_rampe,Poussee&lt;Poids*SIN(M279)), g*SIN(M279), (-W279+Poussee)/m)</f>
        <v>44.482339190833</v>
      </c>
    </row>
    <row r="281" customFormat="false" ht="12" hidden="false" customHeight="false" outlineLevel="0" collapsed="false">
      <c r="A281" s="416" t="n">
        <f aca="false">IF(B280+0.01&lt;=T_ini+ROUNDUP(Temps_fin_propu,0), 0.01, IF(K280&gt;0, 0.1, 0.0001))</f>
        <v>0.01</v>
      </c>
      <c r="B281" s="417" t="n">
        <f aca="false">B280+pas</f>
        <v>2.76999999999999</v>
      </c>
      <c r="C281" s="401"/>
      <c r="D281" s="418" t="n">
        <f aca="false">IF(AND(L280&lt;L_rampe,Poussee&lt;Poids*SIN(M280)),0,(-W280+Poussee)/m*COS(M280)-U280/m*SIN(M280))</f>
        <v>9.84257710175496</v>
      </c>
      <c r="E281" s="419" t="n">
        <f aca="false">IF(AND(L280&lt;L_rampe,Poussee&lt;Poids*SIN(M280)),0,(-W280+Poussee)/m*SIN(M280)+U280/m*COS(M280)-Poids/m)</f>
        <v>33.2413546604975</v>
      </c>
      <c r="F281" s="417" t="n">
        <f aca="false">SQRT(acc_x^2+acc_z^2)</f>
        <v>34.6679099985703</v>
      </c>
      <c r="G281" s="418" t="n">
        <f aca="false">G280+acc_x*pas</f>
        <v>41.8596127529725</v>
      </c>
      <c r="H281" s="419" t="n">
        <f aca="false">H280+acc_z*pas</f>
        <v>182.995516229634</v>
      </c>
      <c r="I281" s="417" t="n">
        <f aca="false">SQRT(vit_x^2+vit_z^2)</f>
        <v>187.722098166356</v>
      </c>
      <c r="J281" s="418" t="n">
        <f aca="false">J280+0.5*(vit_x+G280)*pas*(K280&gt;=0)</f>
        <v>61.8628584239873</v>
      </c>
      <c r="K281" s="419" t="n">
        <f aca="false">K280+0.5*(vit_z+H280)*pas</f>
        <v>289.095809098934</v>
      </c>
      <c r="L281" s="417" t="n">
        <f aca="false">SQRT(pos_x^2+pos_z^2)</f>
        <v>295.640660415568</v>
      </c>
      <c r="M281" s="418" t="n">
        <f aca="false">IF(AND(L280&gt;L_rampe,G281&gt;0),ATAN2(G281,H281),$M$4)</f>
        <v>1.34591863565949</v>
      </c>
      <c r="N281" s="417" t="n">
        <f aca="false">DEGREES(Beta)</f>
        <v>77.1154573912948</v>
      </c>
      <c r="O281" s="401"/>
      <c r="P281" s="420" t="n">
        <f aca="false">MATCH(t-pas/2-T_ini,CdP_t)</f>
        <v>7</v>
      </c>
      <c r="Q281" s="417" t="n">
        <f aca="false">(INDEX(CdP,2,i_P+1)-INDEX(CdP,2,i_P+0))/(INDEX(CdP,1,i_P+1)-INDEX(CdP,1,i_P+0))*(t-pas/2-T_ini-INDEX(CdP,1,i_P+0))+INDEX(CdP,2,i_P+0)</f>
        <v>458.872340425535</v>
      </c>
      <c r="R281" s="418" t="n">
        <f aca="false">Poussee/(g*ISP)</f>
        <v>0.230286648007685</v>
      </c>
      <c r="S281" s="419" t="n">
        <f aca="false">S280-Débit*pas</f>
        <v>7.4807570480009</v>
      </c>
      <c r="T281" s="417" t="n">
        <f aca="false">m*g</f>
        <v>73.3862266408888</v>
      </c>
      <c r="U281" s="421" t="n">
        <f aca="false">IF(pos_xz&lt;L_rampe,Poids*COS(Beta),0)</f>
        <v>0</v>
      </c>
      <c r="V281" s="418" t="n">
        <f aca="false">Rho_moyen*(20000-Alt_rampe-pos_z)/(20000+Alt_rampe+pos_z)</f>
        <v>1.1900903747039</v>
      </c>
      <c r="W281" s="417" t="n">
        <f aca="false">1/2*Rho*Sref*Cx*vit_xz^2</f>
        <v>128.957455157898</v>
      </c>
      <c r="X281" s="401"/>
      <c r="Y281" s="422" t="str">
        <f aca="false">IF(AND(pos_z&lt;=0,K280&gt;0),"Impact balistique","") &amp; IF(AND(H282&lt;0,vit_z&gt;=0),"Apogée","") &amp; IF(AND(Poussee=0,Q280&gt;0),"Fin de propulsion","") &amp; IF(AND(L282&gt;L_rampe,pos_xz&lt;=L_rampe),"Sortie de rampe","")</f>
        <v/>
      </c>
      <c r="Z281" s="423" t="str">
        <f aca="false">IF(ABS(t-T_para)&lt;pas/2,"Para","")</f>
        <v/>
      </c>
      <c r="AA281" s="424" t="str">
        <f aca="false">IF(ABS(t-T_satellite)&lt;pas/2,"Satellite","")</f>
        <v/>
      </c>
      <c r="AB281" s="412"/>
      <c r="AC281" s="420" t="e">
        <f aca="false">IF(ABS(t-ROUND(t,0))&lt;0.001,t,NA())</f>
        <v>#N/A</v>
      </c>
      <c r="AD281" s="425" t="e">
        <f aca="false">IF(ABS(t-ROUND(t,0))&lt;0.001,pos_x,NA())</f>
        <v>#N/A</v>
      </c>
      <c r="AE281" s="426" t="n">
        <f aca="false">IF(t&lt;T_para, pos_z, NA())</f>
        <v>289.095809098934</v>
      </c>
      <c r="AF281" s="412"/>
      <c r="AG281" s="418" t="n">
        <f aca="false">IF(AND(L280&lt;L_rampe,Poussee&lt;Poids*SIN(M280)),0,(-W280+Poussee)/m-Poids*SIN(M280)/m)</f>
        <v>34.5988971289168</v>
      </c>
      <c r="AH281" s="417" t="n">
        <f aca="false">IF(AND(L280&lt;L_rampe,Poussee&lt;Poids*SIN(M280)), g*SIN(M280), (-W280+Poussee)/m)</f>
        <v>44.1621496545167</v>
      </c>
    </row>
    <row r="282" customFormat="false" ht="12" hidden="false" customHeight="false" outlineLevel="0" collapsed="false">
      <c r="A282" s="416" t="n">
        <f aca="false">IF(B281+0.01&lt;=T_ini+ROUNDUP(Temps_fin_propu,0), 0.01, IF(K281&gt;0, 0.1, 0.0001))</f>
        <v>0.01</v>
      </c>
      <c r="B282" s="417" t="n">
        <f aca="false">B281+pas</f>
        <v>2.77999999999998</v>
      </c>
      <c r="C282" s="401"/>
      <c r="D282" s="418" t="n">
        <f aca="false">IF(AND(L281&lt;L_rampe,Poussee&lt;Poids*SIN(M281)),0,(-W281+Poussee)/m*COS(M281)-U281/m*SIN(M281))</f>
        <v>9.77624651100466</v>
      </c>
      <c r="E282" s="419" t="n">
        <f aca="false">IF(AND(L281&lt;L_rampe,Poussee&lt;Poids*SIN(M281)),0,(-W281+Poussee)/m*SIN(M281)+U281/m*COS(M281)-Poids/m)</f>
        <v>32.9283140791816</v>
      </c>
      <c r="F282" s="417" t="n">
        <f aca="false">SQRT(acc_x^2+acc_z^2)</f>
        <v>34.348928133803</v>
      </c>
      <c r="G282" s="418" t="n">
        <f aca="false">G281+acc_x*pas</f>
        <v>41.9573752180825</v>
      </c>
      <c r="H282" s="419" t="n">
        <f aca="false">H281+acc_z*pas</f>
        <v>183.324799370425</v>
      </c>
      <c r="I282" s="417" t="n">
        <f aca="false">SQRT(vit_x^2+vit_z^2)</f>
        <v>188.064891458767</v>
      </c>
      <c r="J282" s="418" t="n">
        <f aca="false">J281+0.5*(vit_x+G281)*pas*(K281&gt;=0)</f>
        <v>62.2819433638426</v>
      </c>
      <c r="K282" s="419" t="n">
        <f aca="false">K281+0.5*(vit_z+H281)*pas</f>
        <v>290.927410676934</v>
      </c>
      <c r="L282" s="417" t="n">
        <f aca="false">SQRT(pos_x^2+pos_z^2)</f>
        <v>297.519409034709</v>
      </c>
      <c r="M282" s="418" t="n">
        <f aca="false">IF(AND(L281&gt;L_rampe,G282&gt;0),ATAN2(G282,H282),$M$4)</f>
        <v>1.34580231922332</v>
      </c>
      <c r="N282" s="417" t="n">
        <f aca="false">DEGREES(Beta)</f>
        <v>77.108792950414</v>
      </c>
      <c r="O282" s="401"/>
      <c r="P282" s="420" t="n">
        <f aca="false">MATCH(t-pas/2-T_ini,CdP_t)</f>
        <v>7</v>
      </c>
      <c r="Q282" s="417" t="n">
        <f aca="false">(INDEX(CdP,2,i_P+1)-INDEX(CdP,2,i_P+0))/(INDEX(CdP,1,i_P+1)-INDEX(CdP,1,i_P+0))*(t-pas/2-T_ini-INDEX(CdP,1,i_P+0))+INDEX(CdP,2,i_P+0)</f>
        <v>456.829787234046</v>
      </c>
      <c r="R282" s="418" t="n">
        <f aca="false">Poussee/(g*ISP)</f>
        <v>0.229261585726944</v>
      </c>
      <c r="S282" s="419" t="n">
        <f aca="false">S281-Débit*pas</f>
        <v>7.47846443214363</v>
      </c>
      <c r="T282" s="417" t="n">
        <f aca="false">m*g</f>
        <v>73.363736079329</v>
      </c>
      <c r="U282" s="421" t="n">
        <f aca="false">IF(pos_xz&lt;L_rampe,Poids*COS(Beta),0)</f>
        <v>0</v>
      </c>
      <c r="V282" s="418" t="n">
        <f aca="false">Rho_moyen*(20000-Alt_rampe-pos_z)/(20000+Alt_rampe+pos_z)</f>
        <v>1.18987237168946</v>
      </c>
      <c r="W282" s="417" t="n">
        <f aca="false">1/2*Rho*Sref*Cx*vit_xz^2</f>
        <v>129.405146277707</v>
      </c>
      <c r="X282" s="401"/>
      <c r="Y282" s="422" t="str">
        <f aca="false">IF(AND(pos_z&lt;=0,K281&gt;0),"Impact balistique","") &amp; IF(AND(H283&lt;0,vit_z&gt;=0),"Apogée","") &amp; IF(AND(Poussee=0,Q281&gt;0),"Fin de propulsion","") &amp; IF(AND(L283&gt;L_rampe,pos_xz&lt;=L_rampe),"Sortie de rampe","")</f>
        <v/>
      </c>
      <c r="Z282" s="423" t="str">
        <f aca="false">IF(ABS(t-T_para)&lt;pas/2,"Para","")</f>
        <v/>
      </c>
      <c r="AA282" s="424" t="str">
        <f aca="false">IF(ABS(t-T_satellite)&lt;pas/2,"Satellite","")</f>
        <v/>
      </c>
      <c r="AB282" s="412"/>
      <c r="AC282" s="420" t="e">
        <f aca="false">IF(ABS(t-ROUND(t,0))&lt;0.001,t,NA())</f>
        <v>#N/A</v>
      </c>
      <c r="AD282" s="425" t="e">
        <f aca="false">IF(ABS(t-ROUND(t,0))&lt;0.001,pos_x,NA())</f>
        <v>#N/A</v>
      </c>
      <c r="AE282" s="426" t="n">
        <f aca="false">IF(t&lt;T_para, pos_z, NA())</f>
        <v>290.927410676934</v>
      </c>
      <c r="AF282" s="412"/>
      <c r="AG282" s="418" t="n">
        <f aca="false">IF(AND(L281&lt;L_rampe,Poussee&lt;Poids*SIN(M281)),0,(-W281+Poussee)/m-Poids*SIN(M281)/m)</f>
        <v>34.27920201977</v>
      </c>
      <c r="AH282" s="417" t="n">
        <f aca="false">IF(AND(L281&lt;L_rampe,Poussee&lt;Poids*SIN(M281)), g*SIN(M281), (-W281+Poussee)/m)</f>
        <v>43.8421998327491</v>
      </c>
    </row>
    <row r="283" customFormat="false" ht="12" hidden="false" customHeight="false" outlineLevel="0" collapsed="false">
      <c r="A283" s="416" t="n">
        <f aca="false">IF(B282+0.01&lt;=T_ini+ROUNDUP(Temps_fin_propu,0), 0.01, IF(K282&gt;0, 0.1, 0.0001))</f>
        <v>0.01</v>
      </c>
      <c r="B283" s="417" t="n">
        <f aca="false">B282+pas</f>
        <v>2.78999999999998</v>
      </c>
      <c r="C283" s="401"/>
      <c r="D283" s="418" t="n">
        <f aca="false">IF(AND(L282&lt;L_rampe,Poussee&lt;Poids*SIN(M282)),0,(-W282+Poussee)/m*COS(M282)-U282/m*SIN(M282))</f>
        <v>9.70989103413632</v>
      </c>
      <c r="E283" s="419" t="n">
        <f aca="false">IF(AND(L282&lt;L_rampe,Poussee&lt;Poids*SIN(M282)),0,(-W282+Poussee)/m*SIN(M282)+U282/m*COS(M282)-Poids/m)</f>
        <v>32.615528682132</v>
      </c>
      <c r="F283" s="417" t="n">
        <f aca="false">SQRT(acc_x^2+acc_z^2)</f>
        <v>34.0302026898133</v>
      </c>
      <c r="G283" s="418" t="n">
        <f aca="false">G282+acc_x*pas</f>
        <v>42.0544741284239</v>
      </c>
      <c r="H283" s="419" t="n">
        <f aca="false">H282+acc_z*pas</f>
        <v>183.650954657247</v>
      </c>
      <c r="I283" s="417" t="n">
        <f aca="false">SQRT(vit_x^2+vit_z^2)</f>
        <v>188.404490235069</v>
      </c>
      <c r="J283" s="418" t="n">
        <f aca="false">J282+0.5*(vit_x+G282)*pas*(K282&gt;=0)</f>
        <v>62.7020026105751</v>
      </c>
      <c r="K283" s="419" t="n">
        <f aca="false">K282+0.5*(vit_z+H282)*pas</f>
        <v>292.762289447072</v>
      </c>
      <c r="L283" s="417" t="n">
        <f aca="false">SQRT(pos_x^2+pos_z^2)</f>
        <v>299.401568555791</v>
      </c>
      <c r="M283" s="418" t="n">
        <f aca="false">IF(AND(L282&gt;L_rampe,G283&gt;0),ATAN2(G283,H283),$M$4)</f>
        <v>1.34568615340844</v>
      </c>
      <c r="N283" s="417" t="n">
        <f aca="false">DEGREES(Beta)</f>
        <v>77.102137139498</v>
      </c>
      <c r="O283" s="401"/>
      <c r="P283" s="420" t="n">
        <f aca="false">MATCH(t-pas/2-T_ini,CdP_t)</f>
        <v>7</v>
      </c>
      <c r="Q283" s="417" t="n">
        <f aca="false">(INDEX(CdP,2,i_P+1)-INDEX(CdP,2,i_P+0))/(INDEX(CdP,1,i_P+1)-INDEX(CdP,1,i_P+0))*(t-pas/2-T_ini-INDEX(CdP,1,i_P+0))+INDEX(CdP,2,i_P+0)</f>
        <v>454.787234042556</v>
      </c>
      <c r="R283" s="418" t="n">
        <f aca="false">Poussee/(g*ISP)</f>
        <v>0.228236523446203</v>
      </c>
      <c r="S283" s="419" t="n">
        <f aca="false">S282-Débit*pas</f>
        <v>7.47618206690917</v>
      </c>
      <c r="T283" s="417" t="n">
        <f aca="false">m*g</f>
        <v>73.3413460763789</v>
      </c>
      <c r="U283" s="421" t="n">
        <f aca="false">IF(pos_xz&lt;L_rampe,Poids*COS(Beta),0)</f>
        <v>0</v>
      </c>
      <c r="V283" s="418" t="n">
        <f aca="false">Rho_moyen*(20000-Alt_rampe-pos_z)/(20000+Alt_rampe+pos_z)</f>
        <v>1.18965401807233</v>
      </c>
      <c r="W283" s="417" t="n">
        <f aca="false">1/2*Rho*Sref*Cx*vit_xz^2</f>
        <v>129.849082750475</v>
      </c>
      <c r="X283" s="401"/>
      <c r="Y283" s="422" t="str">
        <f aca="false">IF(AND(pos_z&lt;=0,K282&gt;0),"Impact balistique","") &amp; IF(AND(H284&lt;0,vit_z&gt;=0),"Apogée","") &amp; IF(AND(Poussee=0,Q282&gt;0),"Fin de propulsion","") &amp; IF(AND(L284&gt;L_rampe,pos_xz&lt;=L_rampe),"Sortie de rampe","")</f>
        <v/>
      </c>
      <c r="Z283" s="423" t="str">
        <f aca="false">IF(ABS(t-T_para)&lt;pas/2,"Para","")</f>
        <v/>
      </c>
      <c r="AA283" s="424" t="str">
        <f aca="false">IF(ABS(t-T_satellite)&lt;pas/2,"Satellite","")</f>
        <v/>
      </c>
      <c r="AB283" s="412"/>
      <c r="AC283" s="420" t="e">
        <f aca="false">IF(ABS(t-ROUND(t,0))&lt;0.001,t,NA())</f>
        <v>#N/A</v>
      </c>
      <c r="AD283" s="425" t="e">
        <f aca="false">IF(ABS(t-ROUND(t,0))&lt;0.001,pos_x,NA())</f>
        <v>#N/A</v>
      </c>
      <c r="AE283" s="426" t="n">
        <f aca="false">IF(t&lt;T_para, pos_z, NA())</f>
        <v>292.762289447072</v>
      </c>
      <c r="AF283" s="412"/>
      <c r="AG283" s="418" t="n">
        <f aca="false">IF(AND(L282&lt;L_rampe,Poussee&lt;Poids*SIN(M282)),0,(-W282+Poussee)/m-Poids*SIN(M282)/m)</f>
        <v>33.9597505090865</v>
      </c>
      <c r="AH283" s="417" t="n">
        <f aca="false">IF(AND(L282&lt;L_rampe,Poussee&lt;Poids*SIN(M282)), g*SIN(M282), (-W282+Poussee)/m)</f>
        <v>43.5224938147299</v>
      </c>
    </row>
    <row r="284" customFormat="false" ht="12" hidden="false" customHeight="false" outlineLevel="0" collapsed="false">
      <c r="A284" s="416" t="n">
        <f aca="false">IF(B283+0.01&lt;=T_ini+ROUNDUP(Temps_fin_propu,0), 0.01, IF(K283&gt;0, 0.1, 0.0001))</f>
        <v>0.01</v>
      </c>
      <c r="B284" s="417" t="n">
        <f aca="false">B283+pas</f>
        <v>2.79999999999998</v>
      </c>
      <c r="C284" s="401"/>
      <c r="D284" s="418" t="n">
        <f aca="false">IF(AND(L283&lt;L_rampe,Poussee&lt;Poids*SIN(M283)),0,(-W283+Poussee)/m*COS(M283)-U283/m*SIN(M283))</f>
        <v>9.64351190712052</v>
      </c>
      <c r="E284" s="419" t="n">
        <f aca="false">IF(AND(L283&lt;L_rampe,Poussee&lt;Poids*SIN(M283)),0,(-W283+Poussee)/m*SIN(M283)+U283/m*COS(M283)-Poids/m)</f>
        <v>32.3030023545864</v>
      </c>
      <c r="F284" s="417" t="n">
        <f aca="false">SQRT(acc_x^2+acc_z^2)</f>
        <v>33.7117380599576</v>
      </c>
      <c r="G284" s="418" t="n">
        <f aca="false">G283+acc_x*pas</f>
        <v>42.1509092474951</v>
      </c>
      <c r="H284" s="419" t="n">
        <f aca="false">H283+acc_z*pas</f>
        <v>183.973984680793</v>
      </c>
      <c r="I284" s="417" t="n">
        <f aca="false">SQRT(vit_x^2+vit_z^2)</f>
        <v>188.740896971799</v>
      </c>
      <c r="J284" s="418" t="n">
        <f aca="false">J283+0.5*(vit_x+G283)*pas*(K283&gt;=0)</f>
        <v>63.1230295274547</v>
      </c>
      <c r="K284" s="419" t="n">
        <f aca="false">K283+0.5*(vit_z+H283)*pas</f>
        <v>294.600414143763</v>
      </c>
      <c r="L284" s="417" t="n">
        <f aca="false">SQRT(pos_x^2+pos_z^2)</f>
        <v>301.2871070431</v>
      </c>
      <c r="M284" s="418" t="n">
        <f aca="false">IF(AND(L283&gt;L_rampe,G284&gt;0),ATAN2(G284,H284),$M$4)</f>
        <v>1.34557013578864</v>
      </c>
      <c r="N284" s="417" t="n">
        <f aca="false">DEGREES(Beta)</f>
        <v>77.0954898195344</v>
      </c>
      <c r="O284" s="401"/>
      <c r="P284" s="420" t="n">
        <f aca="false">MATCH(t-pas/2-T_ini,CdP_t)</f>
        <v>7</v>
      </c>
      <c r="Q284" s="417" t="n">
        <f aca="false">(INDEX(CdP,2,i_P+1)-INDEX(CdP,2,i_P+0))/(INDEX(CdP,1,i_P+1)-INDEX(CdP,1,i_P+0))*(t-pas/2-T_ini-INDEX(CdP,1,i_P+0))+INDEX(CdP,2,i_P+0)</f>
        <v>452.744680851067</v>
      </c>
      <c r="R284" s="418" t="n">
        <f aca="false">Poussee/(g*ISP)</f>
        <v>0.227211461165463</v>
      </c>
      <c r="S284" s="419" t="n">
        <f aca="false">S283-Débit*pas</f>
        <v>7.47390995229751</v>
      </c>
      <c r="T284" s="417" t="n">
        <f aca="false">m*g</f>
        <v>73.3190566320386</v>
      </c>
      <c r="U284" s="421" t="n">
        <f aca="false">IF(pos_xz&lt;L_rampe,Poids*COS(Beta),0)</f>
        <v>0</v>
      </c>
      <c r="V284" s="418" t="n">
        <f aca="false">Rho_moyen*(20000-Alt_rampe-pos_z)/(20000+Alt_rampe+pos_z)</f>
        <v>1.18943531777304</v>
      </c>
      <c r="W284" s="417" t="n">
        <f aca="false">1/2*Rho*Sref*Cx*vit_xz^2</f>
        <v>130.289246155866</v>
      </c>
      <c r="X284" s="401"/>
      <c r="Y284" s="422" t="str">
        <f aca="false">IF(AND(pos_z&lt;=0,K283&gt;0),"Impact balistique","") &amp; IF(AND(H285&lt;0,vit_z&gt;=0),"Apogée","") &amp; IF(AND(Poussee=0,Q283&gt;0),"Fin de propulsion","") &amp; IF(AND(L285&gt;L_rampe,pos_xz&lt;=L_rampe),"Sortie de rampe","")</f>
        <v/>
      </c>
      <c r="Z284" s="423" t="str">
        <f aca="false">IF(ABS(t-T_para)&lt;pas/2,"Para","")</f>
        <v/>
      </c>
      <c r="AA284" s="424" t="str">
        <f aca="false">IF(ABS(t-T_satellite)&lt;pas/2,"Satellite","")</f>
        <v/>
      </c>
      <c r="AB284" s="412"/>
      <c r="AC284" s="420" t="e">
        <f aca="false">IF(ABS(t-ROUND(t,0))&lt;0.001,t,NA())</f>
        <v>#N/A</v>
      </c>
      <c r="AD284" s="425" t="e">
        <f aca="false">IF(ABS(t-ROUND(t,0))&lt;0.001,pos_x,NA())</f>
        <v>#N/A</v>
      </c>
      <c r="AE284" s="426" t="n">
        <f aca="false">IF(t&lt;T_para, pos_z, NA())</f>
        <v>294.600414143763</v>
      </c>
      <c r="AF284" s="412"/>
      <c r="AG284" s="418" t="n">
        <f aca="false">IF(AND(L283&lt;L_rampe,Poussee&lt;Poids*SIN(M283)),0,(-W283+Poussee)/m-Poids*SIN(M283)/m)</f>
        <v>33.6405466494581</v>
      </c>
      <c r="AH284" s="417" t="n">
        <f aca="false">IF(AND(L283&lt;L_rampe,Poussee&lt;Poids*SIN(M283)), g*SIN(M283), (-W283+Poussee)/m)</f>
        <v>43.2030356482062</v>
      </c>
    </row>
    <row r="285" customFormat="false" ht="12" hidden="false" customHeight="false" outlineLevel="0" collapsed="false">
      <c r="A285" s="416" t="n">
        <f aca="false">IF(B284+0.01&lt;=T_ini+ROUNDUP(Temps_fin_propu,0), 0.01, IF(K284&gt;0, 0.1, 0.0001))</f>
        <v>0.01</v>
      </c>
      <c r="B285" s="417" t="n">
        <f aca="false">B284+pas</f>
        <v>2.80999999999998</v>
      </c>
      <c r="C285" s="401"/>
      <c r="D285" s="418" t="n">
        <f aca="false">IF(AND(L284&lt;L_rampe,Poussee&lt;Poids*SIN(M284)),0,(-W284+Poussee)/m*COS(M284)-U284/m*SIN(M284))</f>
        <v>9.57711035432744</v>
      </c>
      <c r="E285" s="419" t="n">
        <f aca="false">IF(AND(L284&lt;L_rampe,Poussee&lt;Poids*SIN(M284)),0,(-W284+Poussee)/m*SIN(M284)+U284/m*COS(M284)-Poids/m)</f>
        <v>31.9907389417822</v>
      </c>
      <c r="F285" s="417" t="n">
        <f aca="false">SQRT(acc_x^2+acc_z^2)</f>
        <v>33.3935386082432</v>
      </c>
      <c r="G285" s="418" t="n">
        <f aca="false">G284+acc_x*pas</f>
        <v>42.2466803510383</v>
      </c>
      <c r="H285" s="419" t="n">
        <f aca="false">H284+acc_z*pas</f>
        <v>184.29389207021</v>
      </c>
      <c r="I285" s="417" t="n">
        <f aca="false">SQRT(vit_x^2+vit_z^2)</f>
        <v>189.0741141856</v>
      </c>
      <c r="J285" s="418" t="n">
        <f aca="false">J284+0.5*(vit_x+G284)*pas*(K284&gt;=0)</f>
        <v>63.5450174754474</v>
      </c>
      <c r="K285" s="419" t="n">
        <f aca="false">K284+0.5*(vit_z+H284)*pas</f>
        <v>296.441753527518</v>
      </c>
      <c r="L285" s="417" t="n">
        <f aca="false">SQRT(pos_x^2+pos_z^2)</f>
        <v>303.175992585865</v>
      </c>
      <c r="M285" s="418" t="n">
        <f aca="false">IF(AND(L284&gt;L_rampe,G285&gt;0),ATAN2(G285,H285),$M$4)</f>
        <v>1.34545426395847</v>
      </c>
      <c r="N285" s="417" t="n">
        <f aca="false">DEGREES(Beta)</f>
        <v>77.0888508527008</v>
      </c>
      <c r="O285" s="401"/>
      <c r="P285" s="420" t="n">
        <f aca="false">MATCH(t-pas/2-T_ini,CdP_t)</f>
        <v>7</v>
      </c>
      <c r="Q285" s="417" t="n">
        <f aca="false">(INDEX(CdP,2,i_P+1)-INDEX(CdP,2,i_P+0))/(INDEX(CdP,1,i_P+1)-INDEX(CdP,1,i_P+0))*(t-pas/2-T_ini-INDEX(CdP,1,i_P+0))+INDEX(CdP,2,i_P+0)</f>
        <v>450.702127659578</v>
      </c>
      <c r="R285" s="418" t="n">
        <f aca="false">Poussee/(g*ISP)</f>
        <v>0.226186398884722</v>
      </c>
      <c r="S285" s="419" t="n">
        <f aca="false">S284-Débit*pas</f>
        <v>7.47164808830866</v>
      </c>
      <c r="T285" s="417" t="n">
        <f aca="false">m*g</f>
        <v>73.296867746308</v>
      </c>
      <c r="U285" s="421" t="n">
        <f aca="false">IF(pos_xz&lt;L_rampe,Poids*COS(Beta),0)</f>
        <v>0</v>
      </c>
      <c r="V285" s="418" t="n">
        <f aca="false">Rho_moyen*(20000-Alt_rampe-pos_z)/(20000+Alt_rampe+pos_z)</f>
        <v>1.18921627470657</v>
      </c>
      <c r="W285" s="417" t="n">
        <f aca="false">1/2*Rho*Sref*Cx*vit_xz^2</f>
        <v>130.725618403805</v>
      </c>
      <c r="X285" s="401"/>
      <c r="Y285" s="422" t="str">
        <f aca="false">IF(AND(pos_z&lt;=0,K284&gt;0),"Impact balistique","") &amp; IF(AND(H286&lt;0,vit_z&gt;=0),"Apogée","") &amp; IF(AND(Poussee=0,Q284&gt;0),"Fin de propulsion","") &amp; IF(AND(L286&gt;L_rampe,pos_xz&lt;=L_rampe),"Sortie de rampe","")</f>
        <v/>
      </c>
      <c r="Z285" s="423" t="str">
        <f aca="false">IF(ABS(t-T_para)&lt;pas/2,"Para","")</f>
        <v/>
      </c>
      <c r="AA285" s="424" t="str">
        <f aca="false">IF(ABS(t-T_satellite)&lt;pas/2,"Satellite","")</f>
        <v/>
      </c>
      <c r="AB285" s="412"/>
      <c r="AC285" s="420" t="e">
        <f aca="false">IF(ABS(t-ROUND(t,0))&lt;0.001,t,NA())</f>
        <v>#N/A</v>
      </c>
      <c r="AD285" s="425" t="e">
        <f aca="false">IF(ABS(t-ROUND(t,0))&lt;0.001,pos_x,NA())</f>
        <v>#N/A</v>
      </c>
      <c r="AE285" s="426" t="n">
        <f aca="false">IF(t&lt;T_para, pos_z, NA())</f>
        <v>296.441753527518</v>
      </c>
      <c r="AF285" s="412"/>
      <c r="AG285" s="418" t="n">
        <f aca="false">IF(AND(L284&lt;L_rampe,Poussee&lt;Poids*SIN(M284)),0,(-W284+Poussee)/m-Poids*SIN(M284)/m)</f>
        <v>33.3215944520011</v>
      </c>
      <c r="AH285" s="417" t="n">
        <f aca="false">IF(AND(L284&lt;L_rampe,Poussee&lt;Poids*SIN(M284)), g*SIN(M284), (-W284+Poussee)/m)</f>
        <v>42.8838293394841</v>
      </c>
    </row>
    <row r="286" customFormat="false" ht="12" hidden="false" customHeight="false" outlineLevel="0" collapsed="false">
      <c r="A286" s="416" t="n">
        <f aca="false">IF(B285+0.01&lt;=T_ini+ROUNDUP(Temps_fin_propu,0), 0.01, IF(K285&gt;0, 0.1, 0.0001))</f>
        <v>0.01</v>
      </c>
      <c r="B286" s="417" t="n">
        <f aca="false">B285+pas</f>
        <v>2.81999999999998</v>
      </c>
      <c r="C286" s="401"/>
      <c r="D286" s="418" t="n">
        <f aca="false">IF(AND(L285&lt;L_rampe,Poussee&lt;Poids*SIN(M285)),0,(-W285+Poussee)/m*COS(M285)-U285/m*SIN(M285))</f>
        <v>9.51068758855584</v>
      </c>
      <c r="E286" s="419" t="n">
        <f aca="false">IF(AND(L285&lt;L_rampe,Poussee&lt;Poids*SIN(M285)),0,(-W285+Poussee)/m*SIN(M285)+U285/m*COS(M285)-Poids/m)</f>
        <v>31.6787422489686</v>
      </c>
      <c r="F286" s="417" t="n">
        <f aca="false">SQRT(acc_x^2+acc_z^2)</f>
        <v>33.07560866989</v>
      </c>
      <c r="G286" s="418" t="n">
        <f aca="false">G285+acc_x*pas</f>
        <v>42.3417872269239</v>
      </c>
      <c r="H286" s="419" t="n">
        <f aca="false">H285+acc_z*pas</f>
        <v>184.6106794927</v>
      </c>
      <c r="I286" s="417" t="n">
        <f aca="false">SQRT(vit_x^2+vit_z^2)</f>
        <v>189.404144432815</v>
      </c>
      <c r="J286" s="418" t="n">
        <f aca="false">J285+0.5*(vit_x+G285)*pas*(K285&gt;=0)</f>
        <v>63.9679598133372</v>
      </c>
      <c r="K286" s="419" t="n">
        <f aca="false">K285+0.5*(vit_z+H285)*pas</f>
        <v>298.286276385332</v>
      </c>
      <c r="L286" s="417" t="n">
        <f aca="false">SQRT(pos_x^2+pos_z^2)</f>
        <v>305.068193298658</v>
      </c>
      <c r="M286" s="418" t="n">
        <f aca="false">IF(AND(L285&gt;L_rampe,G286&gt;0),ATAN2(G286,H286),$M$4)</f>
        <v>1.34533853553286</v>
      </c>
      <c r="N286" s="417" t="n">
        <f aca="false">DEGREES(Beta)</f>
        <v>77.0822201023437</v>
      </c>
      <c r="O286" s="401"/>
      <c r="P286" s="420" t="n">
        <f aca="false">MATCH(t-pas/2-T_ini,CdP_t)</f>
        <v>7</v>
      </c>
      <c r="Q286" s="417" t="n">
        <f aca="false">(INDEX(CdP,2,i_P+1)-INDEX(CdP,2,i_P+0))/(INDEX(CdP,1,i_P+1)-INDEX(CdP,1,i_P+0))*(t-pas/2-T_ini-INDEX(CdP,1,i_P+0))+INDEX(CdP,2,i_P+0)</f>
        <v>448.659574468088</v>
      </c>
      <c r="R286" s="418" t="n">
        <f aca="false">Poussee/(g*ISP)</f>
        <v>0.225161336603981</v>
      </c>
      <c r="S286" s="419" t="n">
        <f aca="false">S285-Débit*pas</f>
        <v>7.46939647494262</v>
      </c>
      <c r="T286" s="417" t="n">
        <f aca="false">m*g</f>
        <v>73.2747794191871</v>
      </c>
      <c r="U286" s="421" t="n">
        <f aca="false">IF(pos_xz&lt;L_rampe,Poids*COS(Beta),0)</f>
        <v>0</v>
      </c>
      <c r="V286" s="418" t="n">
        <f aca="false">Rho_moyen*(20000-Alt_rampe-pos_z)/(20000+Alt_rampe+pos_z)</f>
        <v>1.18899689278231</v>
      </c>
      <c r="W286" s="417" t="n">
        <f aca="false">1/2*Rho*Sref*Cx*vit_xz^2</f>
        <v>131.158181733444</v>
      </c>
      <c r="X286" s="401"/>
      <c r="Y286" s="422" t="str">
        <f aca="false">IF(AND(pos_z&lt;=0,K285&gt;0),"Impact balistique","") &amp; IF(AND(H287&lt;0,vit_z&gt;=0),"Apogée","") &amp; IF(AND(Poussee=0,Q285&gt;0),"Fin de propulsion","") &amp; IF(AND(L287&gt;L_rampe,pos_xz&lt;=L_rampe),"Sortie de rampe","")</f>
        <v/>
      </c>
      <c r="Z286" s="423" t="str">
        <f aca="false">IF(ABS(t-T_para)&lt;pas/2,"Para","")</f>
        <v/>
      </c>
      <c r="AA286" s="424" t="str">
        <f aca="false">IF(ABS(t-T_satellite)&lt;pas/2,"Satellite","")</f>
        <v/>
      </c>
      <c r="AB286" s="412"/>
      <c r="AC286" s="420" t="e">
        <f aca="false">IF(ABS(t-ROUND(t,0))&lt;0.001,t,NA())</f>
        <v>#N/A</v>
      </c>
      <c r="AD286" s="425" t="e">
        <f aca="false">IF(ABS(t-ROUND(t,0))&lt;0.001,pos_x,NA())</f>
        <v>#N/A</v>
      </c>
      <c r="AE286" s="426" t="n">
        <f aca="false">IF(t&lt;T_para, pos_z, NA())</f>
        <v>298.286276385332</v>
      </c>
      <c r="AF286" s="412"/>
      <c r="AG286" s="418" t="n">
        <f aca="false">IF(AND(L285&lt;L_rampe,Poussee&lt;Poids*SIN(M285)),0,(-W285+Poussee)/m-Poids*SIN(M285)/m)</f>
        <v>33.0028978863729</v>
      </c>
      <c r="AH286" s="417" t="n">
        <f aca="false">IF(AND(L285&lt;L_rampe,Poussee&lt;Poids*SIN(M285)), g*SIN(M285), (-W285+Poussee)/m)</f>
        <v>42.5648788534452</v>
      </c>
    </row>
    <row r="287" customFormat="false" ht="12" hidden="false" customHeight="false" outlineLevel="0" collapsed="false">
      <c r="A287" s="416" t="n">
        <f aca="false">IF(B286+0.01&lt;=T_ini+ROUNDUP(Temps_fin_propu,0), 0.01, IF(K286&gt;0, 0.1, 0.0001))</f>
        <v>0.01</v>
      </c>
      <c r="B287" s="417" t="n">
        <f aca="false">B286+pas</f>
        <v>2.82999999999998</v>
      </c>
      <c r="C287" s="401"/>
      <c r="D287" s="418" t="n">
        <f aca="false">IF(AND(L286&lt;L_rampe,Poussee&lt;Poids*SIN(M286)),0,(-W286+Poussee)/m*COS(M286)-U286/m*SIN(M286))</f>
        <v>9.44424481106192</v>
      </c>
      <c r="E287" s="419" t="n">
        <f aca="false">IF(AND(L286&lt;L_rampe,Poussee&lt;Poids*SIN(M286)),0,(-W286+Poussee)/m*SIN(M286)+U286/m*COS(M286)-Poids/m)</f>
        <v>31.3670160414226</v>
      </c>
      <c r="F287" s="417" t="n">
        <f aca="false">SQRT(acc_x^2+acc_z^2)</f>
        <v>32.7579525519245</v>
      </c>
      <c r="G287" s="418" t="n">
        <f aca="false">G286+acc_x*pas</f>
        <v>42.4362296750345</v>
      </c>
      <c r="H287" s="419" t="n">
        <f aca="false">H286+acc_z*pas</f>
        <v>184.924349653114</v>
      </c>
      <c r="I287" s="417" t="n">
        <f aca="false">SQRT(vit_x^2+vit_z^2)</f>
        <v>189.730990309068</v>
      </c>
      <c r="J287" s="418" t="n">
        <f aca="false">J286+0.5*(vit_x+G286)*pas*(K286&gt;=0)</f>
        <v>64.391849897847</v>
      </c>
      <c r="K287" s="419" t="n">
        <f aca="false">K286+0.5*(vit_z+H286)*pas</f>
        <v>300.133951531061</v>
      </c>
      <c r="L287" s="417" t="n">
        <f aca="false">SQRT(pos_x^2+pos_z^2)</f>
        <v>306.96367732179</v>
      </c>
      <c r="M287" s="418" t="n">
        <f aca="false">IF(AND(L286&gt;L_rampe,G287&gt;0),ATAN2(G287,H287),$M$4)</f>
        <v>1.34522294814681</v>
      </c>
      <c r="N287" s="417" t="n">
        <f aca="false">DEGREES(Beta)</f>
        <v>77.0755974329582</v>
      </c>
      <c r="O287" s="401"/>
      <c r="P287" s="420" t="n">
        <f aca="false">MATCH(t-pas/2-T_ini,CdP_t)</f>
        <v>7</v>
      </c>
      <c r="Q287" s="417" t="n">
        <f aca="false">(INDEX(CdP,2,i_P+1)-INDEX(CdP,2,i_P+0))/(INDEX(CdP,1,i_P+1)-INDEX(CdP,1,i_P+0))*(t-pas/2-T_ini-INDEX(CdP,1,i_P+0))+INDEX(CdP,2,i_P+0)</f>
        <v>446.617021276599</v>
      </c>
      <c r="R287" s="418" t="n">
        <f aca="false">Poussee/(g*ISP)</f>
        <v>0.22413627432324</v>
      </c>
      <c r="S287" s="419" t="n">
        <f aca="false">S286-Débit*pas</f>
        <v>7.46715511219939</v>
      </c>
      <c r="T287" s="417" t="n">
        <f aca="false">m*g</f>
        <v>73.252791650676</v>
      </c>
      <c r="U287" s="421" t="n">
        <f aca="false">IF(pos_xz&lt;L_rampe,Poids*COS(Beta),0)</f>
        <v>0</v>
      </c>
      <c r="V287" s="418" t="n">
        <f aca="false">Rho_moyen*(20000-Alt_rampe-pos_z)/(20000+Alt_rampe+pos_z)</f>
        <v>1.18877717590402</v>
      </c>
      <c r="W287" s="417" t="n">
        <f aca="false">1/2*Rho*Sref*Cx*vit_xz^2</f>
        <v>131.586918712126</v>
      </c>
      <c r="X287" s="401"/>
      <c r="Y287" s="422" t="str">
        <f aca="false">IF(AND(pos_z&lt;=0,K286&gt;0),"Impact balistique","") &amp; IF(AND(H288&lt;0,vit_z&gt;=0),"Apogée","") &amp; IF(AND(Poussee=0,Q286&gt;0),"Fin de propulsion","") &amp; IF(AND(L288&gt;L_rampe,pos_xz&lt;=L_rampe),"Sortie de rampe","")</f>
        <v/>
      </c>
      <c r="Z287" s="423" t="str">
        <f aca="false">IF(ABS(t-T_para)&lt;pas/2,"Para","")</f>
        <v/>
      </c>
      <c r="AA287" s="424" t="str">
        <f aca="false">IF(ABS(t-T_satellite)&lt;pas/2,"Satellite","")</f>
        <v/>
      </c>
      <c r="AB287" s="412"/>
      <c r="AC287" s="420" t="e">
        <f aca="false">IF(ABS(t-ROUND(t,0))&lt;0.001,t,NA())</f>
        <v>#N/A</v>
      </c>
      <c r="AD287" s="425" t="e">
        <f aca="false">IF(ABS(t-ROUND(t,0))&lt;0.001,pos_x,NA())</f>
        <v>#N/A</v>
      </c>
      <c r="AE287" s="426" t="n">
        <f aca="false">IF(t&lt;T_para, pos_z, NA())</f>
        <v>300.133951531061</v>
      </c>
      <c r="AF287" s="412"/>
      <c r="AG287" s="418" t="n">
        <f aca="false">IF(AND(L286&lt;L_rampe,Poussee&lt;Poids*SIN(M286)),0,(-W286+Poussee)/m-Poids*SIN(M286)/m)</f>
        <v>32.6844608807931</v>
      </c>
      <c r="AH287" s="417" t="n">
        <f aca="false">IF(AND(L286&lt;L_rampe,Poussee&lt;Poids*SIN(M286)), g*SIN(M286), (-W286+Poussee)/m)</f>
        <v>42.2461881135665</v>
      </c>
    </row>
    <row r="288" customFormat="false" ht="12" hidden="false" customHeight="false" outlineLevel="0" collapsed="false">
      <c r="A288" s="416" t="n">
        <f aca="false">IF(B287+0.01&lt;=T_ini+ROUNDUP(Temps_fin_propu,0), 0.01, IF(K287&gt;0, 0.1, 0.0001))</f>
        <v>0.01</v>
      </c>
      <c r="B288" s="417" t="n">
        <f aca="false">B287+pas</f>
        <v>2.83999999999998</v>
      </c>
      <c r="C288" s="401"/>
      <c r="D288" s="418" t="n">
        <f aca="false">IF(AND(L287&lt;L_rampe,Poussee&lt;Poids*SIN(M287)),0,(-W287+Poussee)/m*COS(M287)-U287/m*SIN(M287))</f>
        <v>9.37778321158848</v>
      </c>
      <c r="E288" s="419" t="n">
        <f aca="false">IF(AND(L287&lt;L_rampe,Poussee&lt;Poids*SIN(M287)),0,(-W287+Poussee)/m*SIN(M287)+U287/m*COS(M287)-Poids/m)</f>
        <v>31.0555640444684</v>
      </c>
      <c r="F288" s="417" t="n">
        <f aca="false">SQRT(acc_x^2+acc_z^2)</f>
        <v>32.4405745338092</v>
      </c>
      <c r="G288" s="418" t="n">
        <f aca="false">G287+acc_x*pas</f>
        <v>42.5300075071504</v>
      </c>
      <c r="H288" s="419" t="n">
        <f aca="false">H287+acc_z*pas</f>
        <v>185.234905293559</v>
      </c>
      <c r="I288" s="417" t="n">
        <f aca="false">SQRT(vit_x^2+vit_z^2)</f>
        <v>190.054654448851</v>
      </c>
      <c r="J288" s="418" t="n">
        <f aca="false">J287+0.5*(vit_x+G287)*pas*(K287&gt;=0)</f>
        <v>64.8166810837579</v>
      </c>
      <c r="K288" s="419" t="n">
        <f aca="false">K287+0.5*(vit_z+H287)*pas</f>
        <v>301.984747805795</v>
      </c>
      <c r="L288" s="417" t="n">
        <f aca="false">SQRT(pos_x^2+pos_z^2)</f>
        <v>308.862412821701</v>
      </c>
      <c r="M288" s="418" t="n">
        <f aca="false">IF(AND(L287&gt;L_rampe,G288&gt;0),ATAN2(G288,H288),$M$4)</f>
        <v>1.34510749945501</v>
      </c>
      <c r="N288" s="417" t="n">
        <f aca="false">DEGREES(Beta)</f>
        <v>77.0689827101679</v>
      </c>
      <c r="O288" s="401"/>
      <c r="P288" s="420" t="n">
        <f aca="false">MATCH(t-pas/2-T_ini,CdP_t)</f>
        <v>7</v>
      </c>
      <c r="Q288" s="417" t="n">
        <f aca="false">(INDEX(CdP,2,i_P+1)-INDEX(CdP,2,i_P+0))/(INDEX(CdP,1,i_P+1)-INDEX(CdP,1,i_P+0))*(t-pas/2-T_ini-INDEX(CdP,1,i_P+0))+INDEX(CdP,2,i_P+0)</f>
        <v>444.57446808511</v>
      </c>
      <c r="R288" s="418" t="n">
        <f aca="false">Poussee/(g*ISP)</f>
        <v>0.223111212042499</v>
      </c>
      <c r="S288" s="419" t="n">
        <f aca="false">S287-Débit*pas</f>
        <v>7.46492400007897</v>
      </c>
      <c r="T288" s="417" t="n">
        <f aca="false">m*g</f>
        <v>73.2309044407747</v>
      </c>
      <c r="U288" s="421" t="n">
        <f aca="false">IF(pos_xz&lt;L_rampe,Poids*COS(Beta),0)</f>
        <v>0</v>
      </c>
      <c r="V288" s="418" t="n">
        <f aca="false">Rho_moyen*(20000-Alt_rampe-pos_z)/(20000+Alt_rampe+pos_z)</f>
        <v>1.18855712796976</v>
      </c>
      <c r="W288" s="417" t="n">
        <f aca="false">1/2*Rho*Sref*Cx*vit_xz^2</f>
        <v>132.011812234318</v>
      </c>
      <c r="X288" s="401"/>
      <c r="Y288" s="422" t="str">
        <f aca="false">IF(AND(pos_z&lt;=0,K287&gt;0),"Impact balistique","") &amp; IF(AND(H289&lt;0,vit_z&gt;=0),"Apogée","") &amp; IF(AND(Poussee=0,Q287&gt;0),"Fin de propulsion","") &amp; IF(AND(L289&gt;L_rampe,pos_xz&lt;=L_rampe),"Sortie de rampe","")</f>
        <v/>
      </c>
      <c r="Z288" s="423" t="str">
        <f aca="false">IF(ABS(t-T_para)&lt;pas/2,"Para","")</f>
        <v/>
      </c>
      <c r="AA288" s="424" t="str">
        <f aca="false">IF(ABS(t-T_satellite)&lt;pas/2,"Satellite","")</f>
        <v/>
      </c>
      <c r="AB288" s="412"/>
      <c r="AC288" s="420" t="e">
        <f aca="false">IF(ABS(t-ROUND(t,0))&lt;0.001,t,NA())</f>
        <v>#N/A</v>
      </c>
      <c r="AD288" s="425" t="e">
        <f aca="false">IF(ABS(t-ROUND(t,0))&lt;0.001,pos_x,NA())</f>
        <v>#N/A</v>
      </c>
      <c r="AE288" s="426" t="n">
        <f aca="false">IF(t&lt;T_para, pos_z, NA())</f>
        <v>301.984747805795</v>
      </c>
      <c r="AF288" s="412"/>
      <c r="AG288" s="418" t="n">
        <f aca="false">IF(AND(L287&lt;L_rampe,Poussee&lt;Poids*SIN(M287)),0,(-W287+Poussee)/m-Poids*SIN(M287)/m)</f>
        <v>32.3662873220671</v>
      </c>
      <c r="AH288" s="417" t="n">
        <f aca="false">IF(AND(L287&lt;L_rampe,Poussee&lt;Poids*SIN(M287)), g*SIN(M287), (-W287+Poussee)/m)</f>
        <v>41.9277610019435</v>
      </c>
    </row>
    <row r="289" customFormat="false" ht="12" hidden="false" customHeight="false" outlineLevel="0" collapsed="false">
      <c r="A289" s="416" t="n">
        <f aca="false">IF(B288+0.01&lt;=T_ini+ROUNDUP(Temps_fin_propu,0), 0.01, IF(K288&gt;0, 0.1, 0.0001))</f>
        <v>0.01</v>
      </c>
      <c r="B289" s="417" t="n">
        <f aca="false">B288+pas</f>
        <v>2.84999999999998</v>
      </c>
      <c r="C289" s="401"/>
      <c r="D289" s="418" t="n">
        <f aca="false">IF(AND(L288&lt;L_rampe,Poussee&lt;Poids*SIN(M288)),0,(-W288+Poussee)/m*COS(M288)-U288/m*SIN(M288))</f>
        <v>9.31130396839403</v>
      </c>
      <c r="E289" s="419" t="n">
        <f aca="false">IF(AND(L288&lt;L_rampe,Poussee&lt;Poids*SIN(M288)),0,(-W288+Poussee)/m*SIN(M288)+U288/m*COS(M288)-Poids/m)</f>
        <v>30.7443899435011</v>
      </c>
      <c r="F289" s="417" t="n">
        <f aca="false">SQRT(acc_x^2+acc_z^2)</f>
        <v>32.1234788681096</v>
      </c>
      <c r="G289" s="418" t="n">
        <f aca="false">G288+acc_x*pas</f>
        <v>42.6231205468343</v>
      </c>
      <c r="H289" s="419" t="n">
        <f aca="false">H288+acc_z*pas</f>
        <v>185.542349192994</v>
      </c>
      <c r="I289" s="417" t="n">
        <f aca="false">SQRT(vit_x^2+vit_z^2)</f>
        <v>190.375139525109</v>
      </c>
      <c r="J289" s="418" t="n">
        <f aca="false">J288+0.5*(vit_x+G288)*pas*(K288&gt;=0)</f>
        <v>65.2424467240279</v>
      </c>
      <c r="K289" s="419" t="n">
        <f aca="false">K288+0.5*(vit_z+H288)*pas</f>
        <v>303.838634078227</v>
      </c>
      <c r="L289" s="417" t="n">
        <f aca="false">SQRT(pos_x^2+pos_z^2)</f>
        <v>310.764367991346</v>
      </c>
      <c r="M289" s="418" t="n">
        <f aca="false">IF(AND(L288&gt;L_rampe,G289&gt;0),ATAN2(G289,H289),$M$4)</f>
        <v>1.34499218713151</v>
      </c>
      <c r="N289" s="417" t="n">
        <f aca="false">DEGREES(Beta)</f>
        <v>77.0623758007052</v>
      </c>
      <c r="O289" s="401"/>
      <c r="P289" s="420" t="n">
        <f aca="false">MATCH(t-pas/2-T_ini,CdP_t)</f>
        <v>7</v>
      </c>
      <c r="Q289" s="417" t="n">
        <f aca="false">(INDEX(CdP,2,i_P+1)-INDEX(CdP,2,i_P+0))/(INDEX(CdP,1,i_P+1)-INDEX(CdP,1,i_P+0))*(t-pas/2-T_ini-INDEX(CdP,1,i_P+0))+INDEX(CdP,2,i_P+0)</f>
        <v>442.53191489362</v>
      </c>
      <c r="R289" s="418" t="n">
        <f aca="false">Poussee/(g*ISP)</f>
        <v>0.222086149761758</v>
      </c>
      <c r="S289" s="419" t="n">
        <f aca="false">S288-Débit*pas</f>
        <v>7.46270313858135</v>
      </c>
      <c r="T289" s="417" t="n">
        <f aca="false">m*g</f>
        <v>73.209117789483</v>
      </c>
      <c r="U289" s="421" t="n">
        <f aca="false">IF(pos_xz&lt;L_rampe,Poids*COS(Beta),0)</f>
        <v>0</v>
      </c>
      <c r="V289" s="418" t="n">
        <f aca="false">Rho_moyen*(20000-Alt_rampe-pos_z)/(20000+Alt_rampe+pos_z)</f>
        <v>1.18833675287183</v>
      </c>
      <c r="W289" s="417" t="n">
        <f aca="false">1/2*Rho*Sref*Cx*vit_xz^2</f>
        <v>132.432845520523</v>
      </c>
      <c r="X289" s="401"/>
      <c r="Y289" s="422" t="str">
        <f aca="false">IF(AND(pos_z&lt;=0,K288&gt;0),"Impact balistique","") &amp; IF(AND(H290&lt;0,vit_z&gt;=0),"Apogée","") &amp; IF(AND(Poussee=0,Q288&gt;0),"Fin de propulsion","") &amp; IF(AND(L290&gt;L_rampe,pos_xz&lt;=L_rampe),"Sortie de rampe","")</f>
        <v/>
      </c>
      <c r="Z289" s="423" t="str">
        <f aca="false">IF(ABS(t-T_para)&lt;pas/2,"Para","")</f>
        <v/>
      </c>
      <c r="AA289" s="424" t="str">
        <f aca="false">IF(ABS(t-T_satellite)&lt;pas/2,"Satellite","")</f>
        <v/>
      </c>
      <c r="AB289" s="412"/>
      <c r="AC289" s="420" t="e">
        <f aca="false">IF(ABS(t-ROUND(t,0))&lt;0.001,t,NA())</f>
        <v>#N/A</v>
      </c>
      <c r="AD289" s="425" t="e">
        <f aca="false">IF(ABS(t-ROUND(t,0))&lt;0.001,pos_x,NA())</f>
        <v>#N/A</v>
      </c>
      <c r="AE289" s="426" t="n">
        <f aca="false">IF(t&lt;T_para, pos_z, NA())</f>
        <v>303.838634078227</v>
      </c>
      <c r="AF289" s="412"/>
      <c r="AG289" s="418" t="n">
        <f aca="false">IF(AND(L288&lt;L_rampe,Poussee&lt;Poids*SIN(M288)),0,(-W288+Poussee)/m-Poids*SIN(M288)/m)</f>
        <v>32.0483810556141</v>
      </c>
      <c r="AH289" s="417" t="n">
        <f aca="false">IF(AND(L288&lt;L_rampe,Poussee&lt;Poids*SIN(M288)), g*SIN(M288), (-W288+Poussee)/m)</f>
        <v>41.6096013593182</v>
      </c>
    </row>
    <row r="290" customFormat="false" ht="12" hidden="false" customHeight="false" outlineLevel="0" collapsed="false">
      <c r="A290" s="416" t="n">
        <f aca="false">IF(B289+0.01&lt;=T_ini+ROUNDUP(Temps_fin_propu,0), 0.01, IF(K289&gt;0, 0.1, 0.0001))</f>
        <v>0.01</v>
      </c>
      <c r="B290" s="417" t="n">
        <f aca="false">B289+pas</f>
        <v>2.85999999999998</v>
      </c>
      <c r="C290" s="401"/>
      <c r="D290" s="418" t="n">
        <f aca="false">IF(AND(L289&lt;L_rampe,Poussee&lt;Poids*SIN(M289)),0,(-W289+Poussee)/m*COS(M289)-U289/m*SIN(M289))</f>
        <v>9.24480824828209</v>
      </c>
      <c r="E290" s="419" t="n">
        <f aca="false">IF(AND(L289&lt;L_rampe,Poussee&lt;Poids*SIN(M289)),0,(-W289+Poussee)/m*SIN(M289)+U289/m*COS(M289)-Poids/m)</f>
        <v>30.4334973840136</v>
      </c>
      <c r="F290" s="417" t="n">
        <f aca="false">SQRT(acc_x^2+acc_z^2)</f>
        <v>31.8066697811995</v>
      </c>
      <c r="G290" s="418" t="n">
        <f aca="false">G289+acc_x*pas</f>
        <v>42.7155686293172</v>
      </c>
      <c r="H290" s="419" t="n">
        <f aca="false">H289+acc_z*pas</f>
        <v>185.846684166834</v>
      </c>
      <c r="I290" s="417" t="n">
        <f aca="false">SQRT(vit_x^2+vit_z^2)</f>
        <v>190.692448248831</v>
      </c>
      <c r="J290" s="418" t="n">
        <f aca="false">J289+0.5*(vit_x+G289)*pas*(K289&gt;=0)</f>
        <v>65.6691401699086</v>
      </c>
      <c r="K290" s="419" t="n">
        <f aca="false">K289+0.5*(vit_z+H289)*pas</f>
        <v>305.695579245027</v>
      </c>
      <c r="L290" s="417" t="n">
        <f aca="false">SQRT(pos_x^2+pos_z^2)</f>
        <v>312.669511050578</v>
      </c>
      <c r="M290" s="418" t="n">
        <f aca="false">IF(AND(L289&gt;L_rampe,G290&gt;0),ATAN2(G290,H290),$M$4)</f>
        <v>1.34487700886935</v>
      </c>
      <c r="N290" s="417" t="n">
        <f aca="false">DEGREES(Beta)</f>
        <v>77.0557765723921</v>
      </c>
      <c r="O290" s="401"/>
      <c r="P290" s="420" t="n">
        <f aca="false">MATCH(t-pas/2-T_ini,CdP_t)</f>
        <v>7</v>
      </c>
      <c r="Q290" s="417" t="n">
        <f aca="false">(INDEX(CdP,2,i_P+1)-INDEX(CdP,2,i_P+0))/(INDEX(CdP,1,i_P+1)-INDEX(CdP,1,i_P+0))*(t-pas/2-T_ini-INDEX(CdP,1,i_P+0))+INDEX(CdP,2,i_P+0)</f>
        <v>440.489361702131</v>
      </c>
      <c r="R290" s="418" t="n">
        <f aca="false">Poussee/(g*ISP)</f>
        <v>0.221061087481018</v>
      </c>
      <c r="S290" s="419" t="n">
        <f aca="false">S289-Débit*pas</f>
        <v>7.46049252770654</v>
      </c>
      <c r="T290" s="417" t="n">
        <f aca="false">m*g</f>
        <v>73.1874316968011</v>
      </c>
      <c r="U290" s="421" t="n">
        <f aca="false">IF(pos_xz&lt;L_rampe,Poids*COS(Beta),0)</f>
        <v>0</v>
      </c>
      <c r="V290" s="418" t="n">
        <f aca="false">Rho_moyen*(20000-Alt_rampe-pos_z)/(20000+Alt_rampe+pos_z)</f>
        <v>1.18811605449676</v>
      </c>
      <c r="W290" s="417" t="n">
        <f aca="false">1/2*Rho*Sref*Cx*vit_xz^2</f>
        <v>132.85000211618</v>
      </c>
      <c r="X290" s="401"/>
      <c r="Y290" s="422" t="str">
        <f aca="false">IF(AND(pos_z&lt;=0,K289&gt;0),"Impact balistique","") &amp; IF(AND(H291&lt;0,vit_z&gt;=0),"Apogée","") &amp; IF(AND(Poussee=0,Q289&gt;0),"Fin de propulsion","") &amp; IF(AND(L291&gt;L_rampe,pos_xz&lt;=L_rampe),"Sortie de rampe","")</f>
        <v/>
      </c>
      <c r="Z290" s="423" t="str">
        <f aca="false">IF(ABS(t-T_para)&lt;pas/2,"Para","")</f>
        <v/>
      </c>
      <c r="AA290" s="424" t="str">
        <f aca="false">IF(ABS(t-T_satellite)&lt;pas/2,"Satellite","")</f>
        <v/>
      </c>
      <c r="AB290" s="412"/>
      <c r="AC290" s="420" t="e">
        <f aca="false">IF(ABS(t-ROUND(t,0))&lt;0.001,t,NA())</f>
        <v>#N/A</v>
      </c>
      <c r="AD290" s="425" t="e">
        <f aca="false">IF(ABS(t-ROUND(t,0))&lt;0.001,pos_x,NA())</f>
        <v>#N/A</v>
      </c>
      <c r="AE290" s="426" t="n">
        <f aca="false">IF(t&lt;T_para, pos_z, NA())</f>
        <v>305.695579245027</v>
      </c>
      <c r="AF290" s="412"/>
      <c r="AG290" s="418" t="n">
        <f aca="false">IF(AND(L289&lt;L_rampe,Poussee&lt;Poids*SIN(M289)),0,(-W289+Poussee)/m-Poids*SIN(M289)/m)</f>
        <v>31.7307458854988</v>
      </c>
      <c r="AH290" s="417" t="n">
        <f aca="false">IF(AND(L289&lt;L_rampe,Poussee&lt;Poids*SIN(M289)), g*SIN(M289), (-W289+Poussee)/m)</f>
        <v>41.291712985109</v>
      </c>
    </row>
    <row r="291" customFormat="false" ht="12" hidden="false" customHeight="false" outlineLevel="0" collapsed="false">
      <c r="A291" s="416" t="n">
        <f aca="false">IF(B290+0.01&lt;=T_ini+ROUNDUP(Temps_fin_propu,0), 0.01, IF(K290&gt;0, 0.1, 0.0001))</f>
        <v>0.01</v>
      </c>
      <c r="B291" s="417" t="n">
        <f aca="false">B290+pas</f>
        <v>2.86999999999998</v>
      </c>
      <c r="C291" s="401"/>
      <c r="D291" s="418" t="n">
        <f aca="false">IF(AND(L290&lt;L_rampe,Poussee&lt;Poids*SIN(M290)),0,(-W290+Poussee)/m*COS(M290)-U290/m*SIN(M290))</f>
        <v>9.17829720663056</v>
      </c>
      <c r="E291" s="419" t="n">
        <f aca="false">IF(AND(L290&lt;L_rampe,Poussee&lt;Poids*SIN(M290)),0,(-W290+Poussee)/m*SIN(M290)+U290/m*COS(M290)-Poids/m)</f>
        <v>30.1228899716271</v>
      </c>
      <c r="F291" s="417" t="n">
        <f aca="false">SQRT(acc_x^2+acc_z^2)</f>
        <v>31.4901514740084</v>
      </c>
      <c r="G291" s="418" t="n">
        <f aca="false">G290+acc_x*pas</f>
        <v>42.8073516013835</v>
      </c>
      <c r="H291" s="419" t="n">
        <f aca="false">H290+acc_z*pas</f>
        <v>186.14791306655</v>
      </c>
      <c r="I291" s="417" t="n">
        <f aca="false">SQRT(vit_x^2+vit_z^2)</f>
        <v>191.006583368628</v>
      </c>
      <c r="J291" s="418" t="n">
        <f aca="false">J290+0.5*(vit_x+G290)*pas*(K290&gt;=0)</f>
        <v>66.0967547710621</v>
      </c>
      <c r="K291" s="419" t="n">
        <f aca="false">K290+0.5*(vit_z+H290)*pas</f>
        <v>307.555552231193</v>
      </c>
      <c r="L291" s="417" t="n">
        <f aca="false">SQRT(pos_x^2+pos_z^2)</f>
        <v>314.577810246528</v>
      </c>
      <c r="M291" s="418" t="n">
        <f aca="false">IF(AND(L290&gt;L_rampe,G291&gt;0),ATAN2(G291,H291),$M$4)</f>
        <v>1.34476196238029</v>
      </c>
      <c r="N291" s="417" t="n">
        <f aca="false">DEGREES(Beta)</f>
        <v>77.0491848941208</v>
      </c>
      <c r="O291" s="401"/>
      <c r="P291" s="420" t="n">
        <f aca="false">MATCH(t-pas/2-T_ini,CdP_t)</f>
        <v>7</v>
      </c>
      <c r="Q291" s="417" t="n">
        <f aca="false">(INDEX(CdP,2,i_P+1)-INDEX(CdP,2,i_P+0))/(INDEX(CdP,1,i_P+1)-INDEX(CdP,1,i_P+0))*(t-pas/2-T_ini-INDEX(CdP,1,i_P+0))+INDEX(CdP,2,i_P+0)</f>
        <v>438.446808510642</v>
      </c>
      <c r="R291" s="418" t="n">
        <f aca="false">Poussee/(g*ISP)</f>
        <v>0.220036025200277</v>
      </c>
      <c r="S291" s="419" t="n">
        <f aca="false">S290-Débit*pas</f>
        <v>7.45829216745454</v>
      </c>
      <c r="T291" s="417" t="n">
        <f aca="false">m*g</f>
        <v>73.165846162729</v>
      </c>
      <c r="U291" s="421" t="n">
        <f aca="false">IF(pos_xz&lt;L_rampe,Poids*COS(Beta),0)</f>
        <v>0</v>
      </c>
      <c r="V291" s="418" t="n">
        <f aca="false">Rho_moyen*(20000-Alt_rampe-pos_z)/(20000+Alt_rampe+pos_z)</f>
        <v>1.1878950367252</v>
      </c>
      <c r="W291" s="417" t="n">
        <f aca="false">1/2*Rho*Sref*Cx*vit_xz^2</f>
        <v>133.263265890539</v>
      </c>
      <c r="X291" s="401"/>
      <c r="Y291" s="422" t="str">
        <f aca="false">IF(AND(pos_z&lt;=0,K290&gt;0),"Impact balistique","") &amp; IF(AND(H292&lt;0,vit_z&gt;=0),"Apogée","") &amp; IF(AND(Poussee=0,Q290&gt;0),"Fin de propulsion","") &amp; IF(AND(L292&gt;L_rampe,pos_xz&lt;=L_rampe),"Sortie de rampe","")</f>
        <v/>
      </c>
      <c r="Z291" s="423" t="str">
        <f aca="false">IF(ABS(t-T_para)&lt;pas/2,"Para","")</f>
        <v/>
      </c>
      <c r="AA291" s="424" t="str">
        <f aca="false">IF(ABS(t-T_satellite)&lt;pas/2,"Satellite","")</f>
        <v/>
      </c>
      <c r="AB291" s="412"/>
      <c r="AC291" s="420" t="e">
        <f aca="false">IF(ABS(t-ROUND(t,0))&lt;0.001,t,NA())</f>
        <v>#N/A</v>
      </c>
      <c r="AD291" s="425" t="e">
        <f aca="false">IF(ABS(t-ROUND(t,0))&lt;0.001,pos_x,NA())</f>
        <v>#N/A</v>
      </c>
      <c r="AE291" s="426" t="n">
        <f aca="false">IF(t&lt;T_para, pos_z, NA())</f>
        <v>307.555552231193</v>
      </c>
      <c r="AF291" s="412"/>
      <c r="AG291" s="418" t="n">
        <f aca="false">IF(AND(L290&lt;L_rampe,Poussee&lt;Poids*SIN(M290)),0,(-W290+Poussee)/m-Poids*SIN(M290)/m)</f>
        <v>31.4133855744657</v>
      </c>
      <c r="AH291" s="417" t="n">
        <f aca="false">IF(AND(L290&lt;L_rampe,Poussee&lt;Poids*SIN(M290)), g*SIN(M290), (-W290+Poussee)/m)</f>
        <v>40.9740996374455</v>
      </c>
    </row>
    <row r="292" customFormat="false" ht="12" hidden="false" customHeight="false" outlineLevel="0" collapsed="false">
      <c r="A292" s="416" t="n">
        <f aca="false">IF(B291+0.01&lt;=T_ini+ROUNDUP(Temps_fin_propu,0), 0.01, IF(K291&gt;0, 0.1, 0.0001))</f>
        <v>0.01</v>
      </c>
      <c r="B292" s="417" t="n">
        <f aca="false">B291+pas</f>
        <v>2.87999999999998</v>
      </c>
      <c r="C292" s="401"/>
      <c r="D292" s="418" t="n">
        <f aca="false">IF(AND(L291&lt;L_rampe,Poussee&lt;Poids*SIN(M291)),0,(-W291+Poussee)/m*COS(M291)-U291/m*SIN(M291))</f>
        <v>9.1117719874213</v>
      </c>
      <c r="E292" s="419" t="n">
        <f aca="false">IF(AND(L291&lt;L_rampe,Poussee&lt;Poids*SIN(M291)),0,(-W291+Poussee)/m*SIN(M291)+U291/m*COS(M291)-Poids/m)</f>
        <v>29.812571272125</v>
      </c>
      <c r="F292" s="417" t="n">
        <f aca="false">SQRT(acc_x^2+acc_z^2)</f>
        <v>31.1739281228126</v>
      </c>
      <c r="G292" s="418" t="n">
        <f aca="false">G291+acc_x*pas</f>
        <v>42.8984693212577</v>
      </c>
      <c r="H292" s="419" t="n">
        <f aca="false">H291+acc_z*pas</f>
        <v>186.446038779272</v>
      </c>
      <c r="I292" s="417" t="n">
        <f aca="false">SQRT(vit_x^2+vit_z^2)</f>
        <v>191.317547670329</v>
      </c>
      <c r="J292" s="418" t="n">
        <f aca="false">J291+0.5*(vit_x+G291)*pas*(K291&gt;=0)</f>
        <v>66.5252838756753</v>
      </c>
      <c r="K292" s="419" t="n">
        <f aca="false">K291+0.5*(vit_z+H291)*pas</f>
        <v>309.418521990423</v>
      </c>
      <c r="L292" s="417" t="n">
        <f aca="false">SQRT(pos_x^2+pos_z^2)</f>
        <v>316.489233853976</v>
      </c>
      <c r="M292" s="418" t="n">
        <f aca="false">IF(AND(L291&gt;L_rampe,G292&gt;0),ATAN2(G292,H292),$M$4)</f>
        <v>1.3446470453944</v>
      </c>
      <c r="N292" s="417" t="n">
        <f aca="false">DEGREES(Beta)</f>
        <v>77.0426006358351</v>
      </c>
      <c r="O292" s="401"/>
      <c r="P292" s="420" t="n">
        <f aca="false">MATCH(t-pas/2-T_ini,CdP_t)</f>
        <v>7</v>
      </c>
      <c r="Q292" s="417" t="n">
        <f aca="false">(INDEX(CdP,2,i_P+1)-INDEX(CdP,2,i_P+0))/(INDEX(CdP,1,i_P+1)-INDEX(CdP,1,i_P+0))*(t-pas/2-T_ini-INDEX(CdP,1,i_P+0))+INDEX(CdP,2,i_P+0)</f>
        <v>436.404255319153</v>
      </c>
      <c r="R292" s="418" t="n">
        <f aca="false">Poussee/(g*ISP)</f>
        <v>0.219010962919536</v>
      </c>
      <c r="S292" s="419" t="n">
        <f aca="false">S291-Débit*pas</f>
        <v>7.45610205782534</v>
      </c>
      <c r="T292" s="417" t="n">
        <f aca="false">m*g</f>
        <v>73.1443611872666</v>
      </c>
      <c r="U292" s="421" t="n">
        <f aca="false">IF(pos_xz&lt;L_rampe,Poids*COS(Beta),0)</f>
        <v>0</v>
      </c>
      <c r="V292" s="418" t="n">
        <f aca="false">Rho_moyen*(20000-Alt_rampe-pos_z)/(20000+Alt_rampe+pos_z)</f>
        <v>1.18767370343195</v>
      </c>
      <c r="W292" s="417" t="n">
        <f aca="false">1/2*Rho*Sref*Cx*vit_xz^2</f>
        <v>133.672621035515</v>
      </c>
      <c r="X292" s="401"/>
      <c r="Y292" s="422" t="str">
        <f aca="false">IF(AND(pos_z&lt;=0,K291&gt;0),"Impact balistique","") &amp; IF(AND(H293&lt;0,vit_z&gt;=0),"Apogée","") &amp; IF(AND(Poussee=0,Q291&gt;0),"Fin de propulsion","") &amp; IF(AND(L293&gt;L_rampe,pos_xz&lt;=L_rampe),"Sortie de rampe","")</f>
        <v/>
      </c>
      <c r="Z292" s="423" t="str">
        <f aca="false">IF(ABS(t-T_para)&lt;pas/2,"Para","")</f>
        <v/>
      </c>
      <c r="AA292" s="424" t="str">
        <f aca="false">IF(ABS(t-T_satellite)&lt;pas/2,"Satellite","")</f>
        <v/>
      </c>
      <c r="AB292" s="412"/>
      <c r="AC292" s="420" t="e">
        <f aca="false">IF(ABS(t-ROUND(t,0))&lt;0.001,t,NA())</f>
        <v>#N/A</v>
      </c>
      <c r="AD292" s="425" t="e">
        <f aca="false">IF(ABS(t-ROUND(t,0))&lt;0.001,pos_x,NA())</f>
        <v>#N/A</v>
      </c>
      <c r="AE292" s="426" t="n">
        <f aca="false">IF(t&lt;T_para, pos_z, NA())</f>
        <v>309.418521990423</v>
      </c>
      <c r="AF292" s="412"/>
      <c r="AG292" s="418" t="n">
        <f aca="false">IF(AND(L291&lt;L_rampe,Poussee&lt;Poids*SIN(M291)),0,(-W291+Poussee)/m-Poids*SIN(M291)/m)</f>
        <v>31.0963038439784</v>
      </c>
      <c r="AH292" s="417" t="n">
        <f aca="false">IF(AND(L291&lt;L_rampe,Poussee&lt;Poids*SIN(M291)), g*SIN(M291), (-W291+Poussee)/m)</f>
        <v>40.6567650332067</v>
      </c>
    </row>
    <row r="293" customFormat="false" ht="12" hidden="false" customHeight="false" outlineLevel="0" collapsed="false">
      <c r="A293" s="416" t="n">
        <f aca="false">IF(B292+0.01&lt;=T_ini+ROUNDUP(Temps_fin_propu,0), 0.01, IF(K292&gt;0, 0.1, 0.0001))</f>
        <v>0.01</v>
      </c>
      <c r="B293" s="417" t="n">
        <f aca="false">B292+pas</f>
        <v>2.88999999999998</v>
      </c>
      <c r="C293" s="401"/>
      <c r="D293" s="418" t="n">
        <f aca="false">IF(AND(L292&lt;L_rampe,Poussee&lt;Poids*SIN(M292)),0,(-W292+Poussee)/m*COS(M292)-U292/m*SIN(M292))</f>
        <v>9.04523372326968</v>
      </c>
      <c r="E293" s="419" t="n">
        <f aca="false">IF(AND(L292&lt;L_rampe,Poussee&lt;Poids*SIN(M292)),0,(-W292+Poussee)/m*SIN(M292)+U292/m*COS(M292)-Poids/m)</f>
        <v>29.502544811491</v>
      </c>
      <c r="F293" s="417" t="n">
        <f aca="false">SQRT(acc_x^2+acc_z^2)</f>
        <v>30.8580038800731</v>
      </c>
      <c r="G293" s="418" t="n">
        <f aca="false">G292+acc_x*pas</f>
        <v>42.9889216584904</v>
      </c>
      <c r="H293" s="419" t="n">
        <f aca="false">H292+acc_z*pas</f>
        <v>186.741064227387</v>
      </c>
      <c r="I293" s="417" t="n">
        <f aca="false">SQRT(vit_x^2+vit_z^2)</f>
        <v>191.625343976565</v>
      </c>
      <c r="J293" s="418" t="n">
        <f aca="false">J292+0.5*(vit_x+G292)*pas*(K292&gt;=0)</f>
        <v>66.9547208305741</v>
      </c>
      <c r="K293" s="419" t="n">
        <f aca="false">K292+0.5*(vit_z+H292)*pas</f>
        <v>311.284457505456</v>
      </c>
      <c r="L293" s="417" t="n">
        <f aca="false">SQRT(pos_x^2+pos_z^2)</f>
        <v>318.403750175726</v>
      </c>
      <c r="M293" s="418" t="n">
        <f aca="false">IF(AND(L292&gt;L_rampe,G293&gt;0),ATAN2(G293,H293),$M$4)</f>
        <v>1.34453225565982</v>
      </c>
      <c r="N293" s="417" t="n">
        <f aca="false">DEGREES(Beta)</f>
        <v>77.0360236685121</v>
      </c>
      <c r="O293" s="401"/>
      <c r="P293" s="420" t="n">
        <f aca="false">MATCH(t-pas/2-T_ini,CdP_t)</f>
        <v>7</v>
      </c>
      <c r="Q293" s="417" t="n">
        <f aca="false">(INDEX(CdP,2,i_P+1)-INDEX(CdP,2,i_P+0))/(INDEX(CdP,1,i_P+1)-INDEX(CdP,1,i_P+0))*(t-pas/2-T_ini-INDEX(CdP,1,i_P+0))+INDEX(CdP,2,i_P+0)</f>
        <v>434.361702127663</v>
      </c>
      <c r="R293" s="418" t="n">
        <f aca="false">Poussee/(g*ISP)</f>
        <v>0.217985900638795</v>
      </c>
      <c r="S293" s="419" t="n">
        <f aca="false">S292-Débit*pas</f>
        <v>7.45392219881895</v>
      </c>
      <c r="T293" s="417" t="n">
        <f aca="false">m*g</f>
        <v>73.1229767704139</v>
      </c>
      <c r="U293" s="421" t="n">
        <f aca="false">IF(pos_xz&lt;L_rampe,Poids*COS(Beta),0)</f>
        <v>0</v>
      </c>
      <c r="V293" s="418" t="n">
        <f aca="false">Rho_moyen*(20000-Alt_rampe-pos_z)/(20000+Alt_rampe+pos_z)</f>
        <v>1.18745205848582</v>
      </c>
      <c r="W293" s="417" t="n">
        <f aca="false">1/2*Rho*Sref*Cx*vit_xz^2</f>
        <v>134.078052064529</v>
      </c>
      <c r="X293" s="401"/>
      <c r="Y293" s="422" t="str">
        <f aca="false">IF(AND(pos_z&lt;=0,K292&gt;0),"Impact balistique","") &amp; IF(AND(H294&lt;0,vit_z&gt;=0),"Apogée","") &amp; IF(AND(Poussee=0,Q292&gt;0),"Fin de propulsion","") &amp; IF(AND(L294&gt;L_rampe,pos_xz&lt;=L_rampe),"Sortie de rampe","")</f>
        <v/>
      </c>
      <c r="Z293" s="423" t="str">
        <f aca="false">IF(ABS(t-T_para)&lt;pas/2,"Para","")</f>
        <v/>
      </c>
      <c r="AA293" s="424" t="str">
        <f aca="false">IF(ABS(t-T_satellite)&lt;pas/2,"Satellite","")</f>
        <v/>
      </c>
      <c r="AB293" s="412"/>
      <c r="AC293" s="420" t="e">
        <f aca="false">IF(ABS(t-ROUND(t,0))&lt;0.001,t,NA())</f>
        <v>#N/A</v>
      </c>
      <c r="AD293" s="425" t="e">
        <f aca="false">IF(ABS(t-ROUND(t,0))&lt;0.001,pos_x,NA())</f>
        <v>#N/A</v>
      </c>
      <c r="AE293" s="426" t="n">
        <f aca="false">IF(t&lt;T_para, pos_z, NA())</f>
        <v>311.284457505456</v>
      </c>
      <c r="AF293" s="412"/>
      <c r="AG293" s="418" t="n">
        <f aca="false">IF(AND(L292&lt;L_rampe,Poussee&lt;Poids*SIN(M292)),0,(-W292+Poussee)/m-Poids*SIN(M292)/m)</f>
        <v>30.7795043742608</v>
      </c>
      <c r="AH293" s="417" t="n">
        <f aca="false">IF(AND(L292&lt;L_rampe,Poussee&lt;Poids*SIN(M292)), g*SIN(M292), (-W292+Poussee)/m)</f>
        <v>40.3397128480615</v>
      </c>
    </row>
    <row r="294" customFormat="false" ht="12" hidden="false" customHeight="false" outlineLevel="0" collapsed="false">
      <c r="A294" s="416" t="n">
        <f aca="false">IF(B293+0.01&lt;=T_ini+ROUNDUP(Temps_fin_propu,0), 0.01, IF(K293&gt;0, 0.1, 0.0001))</f>
        <v>0.01</v>
      </c>
      <c r="B294" s="417" t="n">
        <f aca="false">B293+pas</f>
        <v>2.89999999999998</v>
      </c>
      <c r="C294" s="401"/>
      <c r="D294" s="418" t="n">
        <f aca="false">IF(AND(L293&lt;L_rampe,Poussee&lt;Poids*SIN(M293)),0,(-W293+Poussee)/m*COS(M293)-U293/m*SIN(M293))</f>
        <v>8.97868353545448</v>
      </c>
      <c r="E294" s="419" t="n">
        <f aca="false">IF(AND(L293&lt;L_rampe,Poussee&lt;Poids*SIN(M293)),0,(-W293+Poussee)/m*SIN(M293)+U293/m*COS(M293)-Poids/m)</f>
        <v>29.1928140759501</v>
      </c>
      <c r="F294" s="417" t="n">
        <f aca="false">SQRT(acc_x^2+acc_z^2)</f>
        <v>30.5423828753231</v>
      </c>
      <c r="G294" s="418" t="n">
        <f aca="false">G293+acc_x*pas</f>
        <v>43.0787084938449</v>
      </c>
      <c r="H294" s="419" t="n">
        <f aca="false">H293+acc_z*pas</f>
        <v>187.032992368146</v>
      </c>
      <c r="I294" s="417" t="n">
        <f aca="false">SQRT(vit_x^2+vit_z^2)</f>
        <v>191.929975146356</v>
      </c>
      <c r="J294" s="418" t="n">
        <f aca="false">J293+0.5*(vit_x+G293)*pas*(K293&gt;=0)</f>
        <v>67.3850589813357</v>
      </c>
      <c r="K294" s="419" t="n">
        <f aca="false">K293+0.5*(vit_z+H293)*pas</f>
        <v>313.153327788433</v>
      </c>
      <c r="L294" s="417" t="n">
        <f aca="false">SQRT(pos_x^2+pos_z^2)</f>
        <v>320.321327542966</v>
      </c>
      <c r="M294" s="418" t="n">
        <f aca="false">IF(AND(L293&gt;L_rampe,G294&gt;0),ATAN2(G294,H294),$M$4)</f>
        <v>1.34441759094238</v>
      </c>
      <c r="N294" s="417" t="n">
        <f aca="false">DEGREES(Beta)</f>
        <v>77.0294538641442</v>
      </c>
      <c r="O294" s="401"/>
      <c r="P294" s="420" t="n">
        <f aca="false">MATCH(t-pas/2-T_ini,CdP_t)</f>
        <v>7</v>
      </c>
      <c r="Q294" s="417" t="n">
        <f aca="false">(INDEX(CdP,2,i_P+1)-INDEX(CdP,2,i_P+0))/(INDEX(CdP,1,i_P+1)-INDEX(CdP,1,i_P+0))*(t-pas/2-T_ini-INDEX(CdP,1,i_P+0))+INDEX(CdP,2,i_P+0)</f>
        <v>432.319148936174</v>
      </c>
      <c r="R294" s="418" t="n">
        <f aca="false">Poussee/(g*ISP)</f>
        <v>0.216960838358054</v>
      </c>
      <c r="S294" s="419" t="n">
        <f aca="false">S293-Débit*pas</f>
        <v>7.45175259043537</v>
      </c>
      <c r="T294" s="417" t="n">
        <f aca="false">m*g</f>
        <v>73.101692912171</v>
      </c>
      <c r="U294" s="421" t="n">
        <f aca="false">IF(pos_xz&lt;L_rampe,Poids*COS(Beta),0)</f>
        <v>0</v>
      </c>
      <c r="V294" s="418" t="n">
        <f aca="false">Rho_moyen*(20000-Alt_rampe-pos_z)/(20000+Alt_rampe+pos_z)</f>
        <v>1.18723010574965</v>
      </c>
      <c r="W294" s="417" t="n">
        <f aca="false">1/2*Rho*Sref*Cx*vit_xz^2</f>
        <v>134.479543811326</v>
      </c>
      <c r="X294" s="401"/>
      <c r="Y294" s="422" t="str">
        <f aca="false">IF(AND(pos_z&lt;=0,K293&gt;0),"Impact balistique","") &amp; IF(AND(H295&lt;0,vit_z&gt;=0),"Apogée","") &amp; IF(AND(Poussee=0,Q293&gt;0),"Fin de propulsion","") &amp; IF(AND(L295&gt;L_rampe,pos_xz&lt;=L_rampe),"Sortie de rampe","")</f>
        <v/>
      </c>
      <c r="Z294" s="423" t="str">
        <f aca="false">IF(ABS(t-T_para)&lt;pas/2,"Para","")</f>
        <v/>
      </c>
      <c r="AA294" s="424" t="str">
        <f aca="false">IF(ABS(t-T_satellite)&lt;pas/2,"Satellite","")</f>
        <v/>
      </c>
      <c r="AB294" s="412"/>
      <c r="AC294" s="420" t="e">
        <f aca="false">IF(ABS(t-ROUND(t,0))&lt;0.001,t,NA())</f>
        <v>#N/A</v>
      </c>
      <c r="AD294" s="425" t="e">
        <f aca="false">IF(ABS(t-ROUND(t,0))&lt;0.001,pos_x,NA())</f>
        <v>#N/A</v>
      </c>
      <c r="AE294" s="426" t="n">
        <f aca="false">IF(t&lt;T_para, pos_z, NA())</f>
        <v>313.153327788433</v>
      </c>
      <c r="AF294" s="412"/>
      <c r="AG294" s="418" t="n">
        <f aca="false">IF(AND(L293&lt;L_rampe,Poussee&lt;Poids*SIN(M293)),0,(-W293+Poussee)/m-Poids*SIN(M293)/m)</f>
        <v>30.4629908043431</v>
      </c>
      <c r="AH294" s="417" t="n">
        <f aca="false">IF(AND(L293&lt;L_rampe,Poussee&lt;Poids*SIN(M293)), g*SIN(M293), (-W293+Poussee)/m)</f>
        <v>40.0229467165146</v>
      </c>
    </row>
    <row r="295" customFormat="false" ht="12" hidden="false" customHeight="false" outlineLevel="0" collapsed="false">
      <c r="A295" s="416" t="n">
        <f aca="false">IF(B294+0.01&lt;=T_ini+ROUNDUP(Temps_fin_propu,0), 0.01, IF(K294&gt;0, 0.1, 0.0001))</f>
        <v>0.01</v>
      </c>
      <c r="B295" s="417" t="n">
        <f aca="false">B294+pas</f>
        <v>2.90999999999998</v>
      </c>
      <c r="C295" s="401"/>
      <c r="D295" s="418" t="n">
        <f aca="false">IF(AND(L294&lt;L_rampe,Poussee&lt;Poids*SIN(M294)),0,(-W294+Poussee)/m*COS(M294)-U294/m*SIN(M294))</f>
        <v>8.91212253394777</v>
      </c>
      <c r="E295" s="419" t="n">
        <f aca="false">IF(AND(L294&lt;L_rampe,Poussee&lt;Poids*SIN(M294)),0,(-W294+Poussee)/m*SIN(M294)+U294/m*COS(M294)-Poids/m)</f>
        <v>28.8833825120128</v>
      </c>
      <c r="F295" s="417" t="n">
        <f aca="false">SQRT(acc_x^2+acc_z^2)</f>
        <v>30.2270692161074</v>
      </c>
      <c r="G295" s="418" t="n">
        <f aca="false">G294+acc_x*pas</f>
        <v>43.1678297191844</v>
      </c>
      <c r="H295" s="419" t="n">
        <f aca="false">H294+acc_z*pas</f>
        <v>187.321826193266</v>
      </c>
      <c r="I295" s="417" t="n">
        <f aca="false">SQRT(vit_x^2+vit_z^2)</f>
        <v>192.231444074701</v>
      </c>
      <c r="J295" s="418" t="n">
        <f aca="false">J294+0.5*(vit_x+G294)*pas*(K294&gt;=0)</f>
        <v>67.8162916724009</v>
      </c>
      <c r="K295" s="419" t="n">
        <f aca="false">K294+0.5*(vit_z+H294)*pas</f>
        <v>315.025101881241</v>
      </c>
      <c r="L295" s="417" t="n">
        <f aca="false">SQRT(pos_x^2+pos_z^2)</f>
        <v>322.241934315635</v>
      </c>
      <c r="M295" s="418" t="n">
        <f aca="false">IF(AND(L294&gt;L_rampe,G295&gt;0),ATAN2(G295,H295),$M$4)</f>
        <v>1.34430304902535</v>
      </c>
      <c r="N295" s="417" t="n">
        <f aca="false">DEGREES(Beta)</f>
        <v>77.0228910957207</v>
      </c>
      <c r="O295" s="401"/>
      <c r="P295" s="420" t="n">
        <f aca="false">MATCH(t-pas/2-T_ini,CdP_t)</f>
        <v>7</v>
      </c>
      <c r="Q295" s="417" t="n">
        <f aca="false">(INDEX(CdP,2,i_P+1)-INDEX(CdP,2,i_P+0))/(INDEX(CdP,1,i_P+1)-INDEX(CdP,1,i_P+0))*(t-pas/2-T_ini-INDEX(CdP,1,i_P+0))+INDEX(CdP,2,i_P+0)</f>
        <v>430.276595744685</v>
      </c>
      <c r="R295" s="418" t="n">
        <f aca="false">Poussee/(g*ISP)</f>
        <v>0.215935776077314</v>
      </c>
      <c r="S295" s="419" t="n">
        <f aca="false">S294-Débit*pas</f>
        <v>7.4495932326746</v>
      </c>
      <c r="T295" s="417" t="n">
        <f aca="false">m*g</f>
        <v>73.0805096125378</v>
      </c>
      <c r="U295" s="421" t="n">
        <f aca="false">IF(pos_xz&lt;L_rampe,Poids*COS(Beta),0)</f>
        <v>0</v>
      </c>
      <c r="V295" s="418" t="n">
        <f aca="false">Rho_moyen*(20000-Alt_rampe-pos_z)/(20000+Alt_rampe+pos_z)</f>
        <v>1.18700784908026</v>
      </c>
      <c r="W295" s="417" t="n">
        <f aca="false">1/2*Rho*Sref*Cx*vit_xz^2</f>
        <v>134.877081428776</v>
      </c>
      <c r="X295" s="401"/>
      <c r="Y295" s="422" t="str">
        <f aca="false">IF(AND(pos_z&lt;=0,K294&gt;0),"Impact balistique","") &amp; IF(AND(H296&lt;0,vit_z&gt;=0),"Apogée","") &amp; IF(AND(Poussee=0,Q294&gt;0),"Fin de propulsion","") &amp; IF(AND(L296&gt;L_rampe,pos_xz&lt;=L_rampe),"Sortie de rampe","")</f>
        <v/>
      </c>
      <c r="Z295" s="423" t="str">
        <f aca="false">IF(ABS(t-T_para)&lt;pas/2,"Para","")</f>
        <v/>
      </c>
      <c r="AA295" s="424" t="str">
        <f aca="false">IF(ABS(t-T_satellite)&lt;pas/2,"Satellite","")</f>
        <v/>
      </c>
      <c r="AB295" s="412"/>
      <c r="AC295" s="420" t="e">
        <f aca="false">IF(ABS(t-ROUND(t,0))&lt;0.001,t,NA())</f>
        <v>#N/A</v>
      </c>
      <c r="AD295" s="425" t="e">
        <f aca="false">IF(ABS(t-ROUND(t,0))&lt;0.001,pos_x,NA())</f>
        <v>#N/A</v>
      </c>
      <c r="AE295" s="426" t="n">
        <f aca="false">IF(t&lt;T_para, pos_z, NA())</f>
        <v>315.025101881241</v>
      </c>
      <c r="AF295" s="412"/>
      <c r="AG295" s="418" t="n">
        <f aca="false">IF(AND(L294&lt;L_rampe,Poussee&lt;Poids*SIN(M294)),0,(-W294+Poussee)/m-Poids*SIN(M294)/m)</f>
        <v>30.1467667321102</v>
      </c>
      <c r="AH295" s="417" t="n">
        <f aca="false">IF(AND(L294&lt;L_rampe,Poussee&lt;Poids*SIN(M294)), g*SIN(M294), (-W294+Poussee)/m)</f>
        <v>39.7064702319539</v>
      </c>
    </row>
    <row r="296" customFormat="false" ht="12" hidden="false" customHeight="false" outlineLevel="0" collapsed="false">
      <c r="A296" s="416" t="n">
        <f aca="false">IF(B295+0.01&lt;=T_ini+ROUNDUP(Temps_fin_propu,0), 0.01, IF(K295&gt;0, 0.1, 0.0001))</f>
        <v>0.01</v>
      </c>
      <c r="B296" s="417" t="n">
        <f aca="false">B295+pas</f>
        <v>2.91999999999998</v>
      </c>
      <c r="C296" s="401"/>
      <c r="D296" s="418" t="n">
        <f aca="false">IF(AND(L295&lt;L_rampe,Poussee&lt;Poids*SIN(M295)),0,(-W295+Poussee)/m*COS(M295)-U295/m*SIN(M295))</f>
        <v>8.84555181744503</v>
      </c>
      <c r="E296" s="419" t="n">
        <f aca="false">IF(AND(L295&lt;L_rampe,Poussee&lt;Poids*SIN(M295)),0,(-W295+Poussee)/m*SIN(M295)+U295/m*COS(M295)-Poids/m)</f>
        <v>28.5742535265235</v>
      </c>
      <c r="F296" s="417" t="n">
        <f aca="false">SQRT(acc_x^2+acc_z^2)</f>
        <v>29.9120669889786</v>
      </c>
      <c r="G296" s="418" t="n">
        <f aca="false">G295+acc_x*pas</f>
        <v>43.2562852373588</v>
      </c>
      <c r="H296" s="419" t="n">
        <f aca="false">H295+acc_z*pas</f>
        <v>187.607568728531</v>
      </c>
      <c r="I296" s="417" t="n">
        <f aca="false">SQRT(vit_x^2+vit_z^2)</f>
        <v>192.529753692167</v>
      </c>
      <c r="J296" s="418" t="n">
        <f aca="false">J295+0.5*(vit_x+G295)*pas*(K295&gt;=0)</f>
        <v>68.2484122471836</v>
      </c>
      <c r="K296" s="419" t="n">
        <f aca="false">K295+0.5*(vit_z+H295)*pas</f>
        <v>316.89974885585</v>
      </c>
      <c r="L296" s="417" t="n">
        <f aca="false">SQRT(pos_x^2+pos_z^2)</f>
        <v>324.165538882778</v>
      </c>
      <c r="M296" s="418" t="n">
        <f aca="false">IF(AND(L295&gt;L_rampe,G296&gt;0),ATAN2(G296,H296),$M$4)</f>
        <v>1.34418862770906</v>
      </c>
      <c r="N296" s="417" t="n">
        <f aca="false">DEGREES(Beta)</f>
        <v>77.0163352372111</v>
      </c>
      <c r="O296" s="401"/>
      <c r="P296" s="420" t="n">
        <f aca="false">MATCH(t-pas/2-T_ini,CdP_t)</f>
        <v>7</v>
      </c>
      <c r="Q296" s="417" t="n">
        <f aca="false">(INDEX(CdP,2,i_P+1)-INDEX(CdP,2,i_P+0))/(INDEX(CdP,1,i_P+1)-INDEX(CdP,1,i_P+0))*(t-pas/2-T_ini-INDEX(CdP,1,i_P+0))+INDEX(CdP,2,i_P+0)</f>
        <v>428.234042553195</v>
      </c>
      <c r="R296" s="418" t="n">
        <f aca="false">Poussee/(g*ISP)</f>
        <v>0.214910713796573</v>
      </c>
      <c r="S296" s="419" t="n">
        <f aca="false">S295-Débit*pas</f>
        <v>7.44744412553663</v>
      </c>
      <c r="T296" s="417" t="n">
        <f aca="false">m*g</f>
        <v>73.0594268715144</v>
      </c>
      <c r="U296" s="421" t="n">
        <f aca="false">IF(pos_xz&lt;L_rampe,Poids*COS(Beta),0)</f>
        <v>0</v>
      </c>
      <c r="V296" s="418" t="n">
        <f aca="false">Rho_moyen*(20000-Alt_rampe-pos_z)/(20000+Alt_rampe+pos_z)</f>
        <v>1.18678529232835</v>
      </c>
      <c r="W296" s="417" t="n">
        <f aca="false">1/2*Rho*Sref*Cx*vit_xz^2</f>
        <v>135.270650387661</v>
      </c>
      <c r="X296" s="401"/>
      <c r="Y296" s="422" t="str">
        <f aca="false">IF(AND(pos_z&lt;=0,K295&gt;0),"Impact balistique","") &amp; IF(AND(H297&lt;0,vit_z&gt;=0),"Apogée","") &amp; IF(AND(Poussee=0,Q295&gt;0),"Fin de propulsion","") &amp; IF(AND(L297&gt;L_rampe,pos_xz&lt;=L_rampe),"Sortie de rampe","")</f>
        <v/>
      </c>
      <c r="Z296" s="423" t="str">
        <f aca="false">IF(ABS(t-T_para)&lt;pas/2,"Para","")</f>
        <v/>
      </c>
      <c r="AA296" s="424" t="str">
        <f aca="false">IF(ABS(t-T_satellite)&lt;pas/2,"Satellite","")</f>
        <v/>
      </c>
      <c r="AB296" s="412"/>
      <c r="AC296" s="420" t="e">
        <f aca="false">IF(ABS(t-ROUND(t,0))&lt;0.001,t,NA())</f>
        <v>#N/A</v>
      </c>
      <c r="AD296" s="425" t="e">
        <f aca="false">IF(ABS(t-ROUND(t,0))&lt;0.001,pos_x,NA())</f>
        <v>#N/A</v>
      </c>
      <c r="AE296" s="426" t="n">
        <f aca="false">IF(t&lt;T_para, pos_z, NA())</f>
        <v>316.89974885585</v>
      </c>
      <c r="AF296" s="412"/>
      <c r="AG296" s="418" t="n">
        <f aca="false">IF(AND(L295&lt;L_rampe,Poussee&lt;Poids*SIN(M295)),0,(-W295+Poussee)/m-Poids*SIN(M295)/m)</f>
        <v>29.8308357143541</v>
      </c>
      <c r="AH296" s="417" t="n">
        <f aca="false">IF(AND(L295&lt;L_rampe,Poussee&lt;Poids*SIN(M295)), g*SIN(M295), (-W295+Poussee)/m)</f>
        <v>39.3902869467021</v>
      </c>
    </row>
    <row r="297" customFormat="false" ht="12" hidden="false" customHeight="false" outlineLevel="0" collapsed="false">
      <c r="A297" s="416" t="n">
        <f aca="false">IF(B296+0.01&lt;=T_ini+ROUNDUP(Temps_fin_propu,0), 0.01, IF(K296&gt;0, 0.1, 0.0001))</f>
        <v>0.01</v>
      </c>
      <c r="B297" s="417" t="n">
        <f aca="false">B296+pas</f>
        <v>2.92999999999998</v>
      </c>
      <c r="C297" s="401"/>
      <c r="D297" s="418" t="n">
        <f aca="false">IF(AND(L296&lt;L_rampe,Poussee&lt;Poids*SIN(M296)),0,(-W296+Poussee)/m*COS(M296)-U296/m*SIN(M296))</f>
        <v>8.77897247339537</v>
      </c>
      <c r="E297" s="419" t="n">
        <f aca="false">IF(AND(L296&lt;L_rampe,Poussee&lt;Poids*SIN(M296)),0,(-W296+Poussee)/m*SIN(M296)+U296/m*COS(M296)-Poids/m)</f>
        <v>28.2654304867112</v>
      </c>
      <c r="F297" s="417" t="n">
        <f aca="false">SQRT(acc_x^2+acc_z^2)</f>
        <v>29.5973802605524</v>
      </c>
      <c r="G297" s="418" t="n">
        <f aca="false">G296+acc_x*pas</f>
        <v>43.3440749620928</v>
      </c>
      <c r="H297" s="419" t="n">
        <f aca="false">H296+acc_z*pas</f>
        <v>187.890223033399</v>
      </c>
      <c r="I297" s="417" t="n">
        <f aca="false">SQRT(vit_x^2+vit_z^2)</f>
        <v>192.824906964478</v>
      </c>
      <c r="J297" s="418" t="n">
        <f aca="false">J296+0.5*(vit_x+G296)*pas*(K296&gt;=0)</f>
        <v>68.6814140481809</v>
      </c>
      <c r="K297" s="419" t="n">
        <f aca="false">K296+0.5*(vit_z+H296)*pas</f>
        <v>318.777237814659</v>
      </c>
      <c r="L297" s="417" t="n">
        <f aca="false">SQRT(pos_x^2+pos_z^2)</f>
        <v>326.092109662901</v>
      </c>
      <c r="M297" s="418" t="n">
        <f aca="false">IF(AND(L296&gt;L_rampe,G297&gt;0),ATAN2(G297,H297),$M$4)</f>
        <v>1.34407432481067</v>
      </c>
      <c r="N297" s="417" t="n">
        <f aca="false">DEGREES(Beta)</f>
        <v>77.0097861635474</v>
      </c>
      <c r="O297" s="401"/>
      <c r="P297" s="420" t="n">
        <f aca="false">MATCH(t-pas/2-T_ini,CdP_t)</f>
        <v>7</v>
      </c>
      <c r="Q297" s="417" t="n">
        <f aca="false">(INDEX(CdP,2,i_P+1)-INDEX(CdP,2,i_P+0))/(INDEX(CdP,1,i_P+1)-INDEX(CdP,1,i_P+0))*(t-pas/2-T_ini-INDEX(CdP,1,i_P+0))+INDEX(CdP,2,i_P+0)</f>
        <v>426.191489361706</v>
      </c>
      <c r="R297" s="418" t="n">
        <f aca="false">Poussee/(g*ISP)</f>
        <v>0.213885651515832</v>
      </c>
      <c r="S297" s="419" t="n">
        <f aca="false">S296-Débit*pas</f>
        <v>7.44530526902148</v>
      </c>
      <c r="T297" s="417" t="n">
        <f aca="false">m*g</f>
        <v>73.0384446891007</v>
      </c>
      <c r="U297" s="421" t="n">
        <f aca="false">IF(pos_xz&lt;L_rampe,Poids*COS(Beta),0)</f>
        <v>0</v>
      </c>
      <c r="V297" s="418" t="n">
        <f aca="false">Rho_moyen*(20000-Alt_rampe-pos_z)/(20000+Alt_rampe+pos_z)</f>
        <v>1.1865624393385</v>
      </c>
      <c r="W297" s="417" t="n">
        <f aca="false">1/2*Rho*Sref*Cx*vit_xz^2</f>
        <v>135.660236475436</v>
      </c>
      <c r="X297" s="401"/>
      <c r="Y297" s="422" t="str">
        <f aca="false">IF(AND(pos_z&lt;=0,K296&gt;0),"Impact balistique","") &amp; IF(AND(H298&lt;0,vit_z&gt;=0),"Apogée","") &amp; IF(AND(Poussee=0,Q296&gt;0),"Fin de propulsion","") &amp; IF(AND(L298&gt;L_rampe,pos_xz&lt;=L_rampe),"Sortie de rampe","")</f>
        <v/>
      </c>
      <c r="Z297" s="423" t="str">
        <f aca="false">IF(ABS(t-T_para)&lt;pas/2,"Para","")</f>
        <v/>
      </c>
      <c r="AA297" s="424" t="str">
        <f aca="false">IF(ABS(t-T_satellite)&lt;pas/2,"Satellite","")</f>
        <v/>
      </c>
      <c r="AB297" s="412"/>
      <c r="AC297" s="420" t="e">
        <f aca="false">IF(ABS(t-ROUND(t,0))&lt;0.001,t,NA())</f>
        <v>#N/A</v>
      </c>
      <c r="AD297" s="425" t="e">
        <f aca="false">IF(ABS(t-ROUND(t,0))&lt;0.001,pos_x,NA())</f>
        <v>#N/A</v>
      </c>
      <c r="AE297" s="426" t="n">
        <f aca="false">IF(t&lt;T_para, pos_z, NA())</f>
        <v>318.777237814659</v>
      </c>
      <c r="AF297" s="412"/>
      <c r="AG297" s="418" t="n">
        <f aca="false">IF(AND(L296&lt;L_rampe,Poussee&lt;Poids*SIN(M296)),0,(-W296+Poussee)/m-Poids*SIN(M296)/m)</f>
        <v>29.515201266829</v>
      </c>
      <c r="AH297" s="417" t="n">
        <f aca="false">IF(AND(L296&lt;L_rampe,Poussee&lt;Poids*SIN(M296)), g*SIN(M296), (-W296+Poussee)/m)</f>
        <v>39.0744003720724</v>
      </c>
    </row>
    <row r="298" customFormat="false" ht="12" hidden="false" customHeight="false" outlineLevel="0" collapsed="false">
      <c r="A298" s="416" t="n">
        <f aca="false">IF(B297+0.01&lt;=T_ini+ROUNDUP(Temps_fin_propu,0), 0.01, IF(K297&gt;0, 0.1, 0.0001))</f>
        <v>0.01</v>
      </c>
      <c r="B298" s="417" t="n">
        <f aca="false">B297+pas</f>
        <v>2.93999999999998</v>
      </c>
      <c r="C298" s="401"/>
      <c r="D298" s="418" t="n">
        <f aca="false">IF(AND(L297&lt;L_rampe,Poussee&lt;Poids*SIN(M297)),0,(-W297+Poussee)/m*COS(M297)-U297/m*SIN(M297))</f>
        <v>8.71238557803204</v>
      </c>
      <c r="E298" s="419" t="n">
        <f aca="false">IF(AND(L297&lt;L_rampe,Poussee&lt;Poids*SIN(M297)),0,(-W297+Poussee)/m*SIN(M297)+U297/m*COS(M297)-Poids/m)</f>
        <v>27.9569167202448</v>
      </c>
      <c r="F298" s="417" t="n">
        <f aca="false">SQRT(acc_x^2+acc_z^2)</f>
        <v>29.2830130786263</v>
      </c>
      <c r="G298" s="418" t="n">
        <f aca="false">G297+acc_x*pas</f>
        <v>43.4311988178731</v>
      </c>
      <c r="H298" s="419" t="n">
        <f aca="false">H297+acc_z*pas</f>
        <v>188.169792200601</v>
      </c>
      <c r="I298" s="417" t="n">
        <f aca="false">SQRT(vit_x^2+vit_z^2)</f>
        <v>193.116906892108</v>
      </c>
      <c r="J298" s="418" t="n">
        <f aca="false">J297+0.5*(vit_x+G297)*pas*(K297&gt;=0)</f>
        <v>69.1152904170807</v>
      </c>
      <c r="K298" s="419" t="n">
        <f aca="false">K297+0.5*(vit_z+H297)*pas</f>
        <v>320.657537890829</v>
      </c>
      <c r="L298" s="417" t="n">
        <f aca="false">SQRT(pos_x^2+pos_z^2)</f>
        <v>328.021615104319</v>
      </c>
      <c r="M298" s="418" t="n">
        <f aca="false">IF(AND(L297&gt;L_rampe,G298&gt;0),ATAN2(G298,H298),$M$4)</f>
        <v>1.34396013816384</v>
      </c>
      <c r="N298" s="417" t="n">
        <f aca="false">DEGREES(Beta)</f>
        <v>77.003243750607</v>
      </c>
      <c r="O298" s="401"/>
      <c r="P298" s="420" t="n">
        <f aca="false">MATCH(t-pas/2-T_ini,CdP_t)</f>
        <v>7</v>
      </c>
      <c r="Q298" s="417" t="n">
        <f aca="false">(INDEX(CdP,2,i_P+1)-INDEX(CdP,2,i_P+0))/(INDEX(CdP,1,i_P+1)-INDEX(CdP,1,i_P+0))*(t-pas/2-T_ini-INDEX(CdP,1,i_P+0))+INDEX(CdP,2,i_P+0)</f>
        <v>424.148936170217</v>
      </c>
      <c r="R298" s="418" t="n">
        <f aca="false">Poussee/(g*ISP)</f>
        <v>0.212860589235091</v>
      </c>
      <c r="S298" s="419" t="n">
        <f aca="false">S297-Débit*pas</f>
        <v>7.44317666312912</v>
      </c>
      <c r="T298" s="417" t="n">
        <f aca="false">m*g</f>
        <v>73.0175630652967</v>
      </c>
      <c r="U298" s="421" t="n">
        <f aca="false">IF(pos_xz&lt;L_rampe,Poids*COS(Beta),0)</f>
        <v>0</v>
      </c>
      <c r="V298" s="418" t="n">
        <f aca="false">Rho_moyen*(20000-Alt_rampe-pos_z)/(20000+Alt_rampe+pos_z)</f>
        <v>1.18633929394914</v>
      </c>
      <c r="W298" s="417" t="n">
        <f aca="false">1/2*Rho*Sref*Cx*vit_xz^2</f>
        <v>136.045825794984</v>
      </c>
      <c r="X298" s="401"/>
      <c r="Y298" s="422" t="str">
        <f aca="false">IF(AND(pos_z&lt;=0,K297&gt;0),"Impact balistique","") &amp; IF(AND(H299&lt;0,vit_z&gt;=0),"Apogée","") &amp; IF(AND(Poussee=0,Q297&gt;0),"Fin de propulsion","") &amp; IF(AND(L299&gt;L_rampe,pos_xz&lt;=L_rampe),"Sortie de rampe","")</f>
        <v/>
      </c>
      <c r="Z298" s="423" t="str">
        <f aca="false">IF(ABS(t-T_para)&lt;pas/2,"Para","")</f>
        <v/>
      </c>
      <c r="AA298" s="424" t="str">
        <f aca="false">IF(ABS(t-T_satellite)&lt;pas/2,"Satellite","")</f>
        <v/>
      </c>
      <c r="AB298" s="412"/>
      <c r="AC298" s="420" t="e">
        <f aca="false">IF(ABS(t-ROUND(t,0))&lt;0.001,t,NA())</f>
        <v>#N/A</v>
      </c>
      <c r="AD298" s="425" t="e">
        <f aca="false">IF(ABS(t-ROUND(t,0))&lt;0.001,pos_x,NA())</f>
        <v>#N/A</v>
      </c>
      <c r="AE298" s="426" t="n">
        <f aca="false">IF(t&lt;T_para, pos_z, NA())</f>
        <v>320.657537890829</v>
      </c>
      <c r="AF298" s="412"/>
      <c r="AG298" s="418" t="n">
        <f aca="false">IF(AND(L297&lt;L_rampe,Poussee&lt;Poids*SIN(M297)),0,(-W297+Poussee)/m-Poids*SIN(M297)/m)</f>
        <v>29.1998668643104</v>
      </c>
      <c r="AH298" s="417" t="n">
        <f aca="false">IF(AND(L297&lt;L_rampe,Poussee&lt;Poids*SIN(M297)), g*SIN(M297), (-W297+Poussee)/m)</f>
        <v>38.7588139784256</v>
      </c>
    </row>
    <row r="299" customFormat="false" ht="12" hidden="false" customHeight="false" outlineLevel="0" collapsed="false">
      <c r="A299" s="416" t="n">
        <f aca="false">IF(B298+0.01&lt;=T_ini+ROUNDUP(Temps_fin_propu,0), 0.01, IF(K298&gt;0, 0.1, 0.0001))</f>
        <v>0.01</v>
      </c>
      <c r="B299" s="417" t="n">
        <f aca="false">B298+pas</f>
        <v>2.94999999999998</v>
      </c>
      <c r="C299" s="401"/>
      <c r="D299" s="418" t="n">
        <f aca="false">IF(AND(L298&lt;L_rampe,Poussee&lt;Poids*SIN(M298)),0,(-W298+Poussee)/m*COS(M298)-U298/m*SIN(M298))</f>
        <v>8.64579219640289</v>
      </c>
      <c r="E299" s="419" t="n">
        <f aca="false">IF(AND(L298&lt;L_rampe,Poussee&lt;Poids*SIN(M298)),0,(-W298+Poussee)/m*SIN(M298)+U298/m*COS(M298)-Poids/m)</f>
        <v>27.64871551529</v>
      </c>
      <c r="F299" s="417" t="n">
        <f aca="false">SQRT(acc_x^2+acc_z^2)</f>
        <v>28.9689694733662</v>
      </c>
      <c r="G299" s="418" t="n">
        <f aca="false">G298+acc_x*pas</f>
        <v>43.5176567398371</v>
      </c>
      <c r="H299" s="419" t="n">
        <f aca="false">H298+acc_z*pas</f>
        <v>188.446279355754</v>
      </c>
      <c r="I299" s="417" t="n">
        <f aca="false">SQRT(vit_x^2+vit_z^2)</f>
        <v>193.405756509865</v>
      </c>
      <c r="J299" s="418" t="n">
        <f aca="false">J298+0.5*(vit_x+G298)*pas*(K298&gt;=0)</f>
        <v>69.5500346948692</v>
      </c>
      <c r="K299" s="419" t="n">
        <f aca="false">K298+0.5*(vit_z+H298)*pas</f>
        <v>322.540618248611</v>
      </c>
      <c r="L299" s="417" t="n">
        <f aca="false">SQRT(pos_x^2+pos_z^2)</f>
        <v>329.954023685503</v>
      </c>
      <c r="M299" s="418" t="n">
        <f aca="false">IF(AND(L298&gt;L_rampe,G299&gt;0),ATAN2(G299,H299),$M$4)</f>
        <v>1.34384606561843</v>
      </c>
      <c r="N299" s="417" t="n">
        <f aca="false">DEGREES(Beta)</f>
        <v>76.9967078751966</v>
      </c>
      <c r="O299" s="401"/>
      <c r="P299" s="420" t="n">
        <f aca="false">MATCH(t-pas/2-T_ini,CdP_t)</f>
        <v>7</v>
      </c>
      <c r="Q299" s="417" t="n">
        <f aca="false">(INDEX(CdP,2,i_P+1)-INDEX(CdP,2,i_P+0))/(INDEX(CdP,1,i_P+1)-INDEX(CdP,1,i_P+0))*(t-pas/2-T_ini-INDEX(CdP,1,i_P+0))+INDEX(CdP,2,i_P+0)</f>
        <v>422.106382978727</v>
      </c>
      <c r="R299" s="418" t="n">
        <f aca="false">Poussee/(g*ISP)</f>
        <v>0.21183552695435</v>
      </c>
      <c r="S299" s="419" t="n">
        <f aca="false">S298-Débit*pas</f>
        <v>7.44105830785958</v>
      </c>
      <c r="T299" s="417" t="n">
        <f aca="false">m*g</f>
        <v>72.9967820001025</v>
      </c>
      <c r="U299" s="421" t="n">
        <f aca="false">IF(pos_xz&lt;L_rampe,Poids*COS(Beta),0)</f>
        <v>0</v>
      </c>
      <c r="V299" s="418" t="n">
        <f aca="false">Rho_moyen*(20000-Alt_rampe-pos_z)/(20000+Alt_rampe+pos_z)</f>
        <v>1.18611585999245</v>
      </c>
      <c r="W299" s="417" t="n">
        <f aca="false">1/2*Rho*Sref*Cx*vit_xz^2</f>
        <v>136.427404763344</v>
      </c>
      <c r="X299" s="401"/>
      <c r="Y299" s="422" t="str">
        <f aca="false">IF(AND(pos_z&lt;=0,K298&gt;0),"Impact balistique","") &amp; IF(AND(H300&lt;0,vit_z&gt;=0),"Apogée","") &amp; IF(AND(Poussee=0,Q298&gt;0),"Fin de propulsion","") &amp; IF(AND(L300&gt;L_rampe,pos_xz&lt;=L_rampe),"Sortie de rampe","")</f>
        <v/>
      </c>
      <c r="Z299" s="423" t="str">
        <f aca="false">IF(ABS(t-T_para)&lt;pas/2,"Para","")</f>
        <v/>
      </c>
      <c r="AA299" s="424" t="str">
        <f aca="false">IF(ABS(t-T_satellite)&lt;pas/2,"Satellite","")</f>
        <v/>
      </c>
      <c r="AB299" s="412"/>
      <c r="AC299" s="420" t="e">
        <f aca="false">IF(ABS(t-ROUND(t,0))&lt;0.001,t,NA())</f>
        <v>#N/A</v>
      </c>
      <c r="AD299" s="425" t="e">
        <f aca="false">IF(ABS(t-ROUND(t,0))&lt;0.001,pos_x,NA())</f>
        <v>#N/A</v>
      </c>
      <c r="AE299" s="426" t="n">
        <f aca="false">IF(t&lt;T_para, pos_z, NA())</f>
        <v>322.540618248611</v>
      </c>
      <c r="AF299" s="412"/>
      <c r="AG299" s="418" t="n">
        <f aca="false">IF(AND(L298&lt;L_rampe,Poussee&lt;Poids*SIN(M298)),0,(-W298+Poussee)/m-Poids*SIN(M298)/m)</f>
        <v>28.8848359406569</v>
      </c>
      <c r="AH299" s="417" t="n">
        <f aca="false">IF(AND(L298&lt;L_rampe,Poussee&lt;Poids*SIN(M298)), g*SIN(M298), (-W298+Poussee)/m)</f>
        <v>38.4435311952325</v>
      </c>
    </row>
    <row r="300" customFormat="false" ht="12" hidden="false" customHeight="false" outlineLevel="0" collapsed="false">
      <c r="A300" s="416" t="n">
        <f aca="false">IF(B299+0.01&lt;=T_ini+ROUNDUP(Temps_fin_propu,0), 0.01, IF(K299&gt;0, 0.1, 0.0001))</f>
        <v>0.01</v>
      </c>
      <c r="B300" s="417" t="n">
        <f aca="false">B299+pas</f>
        <v>2.95999999999998</v>
      </c>
      <c r="C300" s="401"/>
      <c r="D300" s="418" t="n">
        <f aca="false">IF(AND(L299&lt;L_rampe,Poussee&lt;Poids*SIN(M299)),0,(-W299+Poussee)/m*COS(M299)-U299/m*SIN(M299))</f>
        <v>8.57919338240127</v>
      </c>
      <c r="E300" s="419" t="n">
        <f aca="false">IF(AND(L299&lt;L_rampe,Poussee&lt;Poids*SIN(M299)),0,(-W299+Poussee)/m*SIN(M299)+U299/m*COS(M299)-Poids/m)</f>
        <v>27.3408301205713</v>
      </c>
      <c r="F300" s="417" t="n">
        <f aca="false">SQRT(acc_x^2+acc_z^2)</f>
        <v>28.6552534585646</v>
      </c>
      <c r="G300" s="418" t="n">
        <f aca="false">G299+acc_x*pas</f>
        <v>43.6034486736612</v>
      </c>
      <c r="H300" s="419" t="n">
        <f aca="false">H299+acc_z*pas</f>
        <v>188.71968765696</v>
      </c>
      <c r="I300" s="417" t="n">
        <f aca="false">SQRT(vit_x^2+vit_z^2)</f>
        <v>193.69145888649</v>
      </c>
      <c r="J300" s="418" t="n">
        <f aca="false">J299+0.5*(vit_x+G299)*pas*(K299&gt;=0)</f>
        <v>69.9856402219367</v>
      </c>
      <c r="K300" s="419" t="n">
        <f aca="false">K299+0.5*(vit_z+H299)*pas</f>
        <v>324.426448083675</v>
      </c>
      <c r="L300" s="417" t="n">
        <f aca="false">SQRT(pos_x^2+pos_z^2)</f>
        <v>331.889303915422</v>
      </c>
      <c r="M300" s="418" t="n">
        <f aca="false">IF(AND(L299&gt;L_rampe,G300&gt;0),ATAN2(G300,H300),$M$4)</f>
        <v>1.34373210504024</v>
      </c>
      <c r="N300" s="417" t="n">
        <f aca="false">DEGREES(Beta)</f>
        <v>76.9901784150353</v>
      </c>
      <c r="O300" s="401"/>
      <c r="P300" s="420" t="n">
        <f aca="false">MATCH(t-pas/2-T_ini,CdP_t)</f>
        <v>7</v>
      </c>
      <c r="Q300" s="417" t="n">
        <f aca="false">(INDEX(CdP,2,i_P+1)-INDEX(CdP,2,i_P+0))/(INDEX(CdP,1,i_P+1)-INDEX(CdP,1,i_P+0))*(t-pas/2-T_ini-INDEX(CdP,1,i_P+0))+INDEX(CdP,2,i_P+0)</f>
        <v>420.063829787238</v>
      </c>
      <c r="R300" s="418" t="n">
        <f aca="false">Poussee/(g*ISP)</f>
        <v>0.210810464673609</v>
      </c>
      <c r="S300" s="419" t="n">
        <f aca="false">S299-Débit*pas</f>
        <v>7.43895020321284</v>
      </c>
      <c r="T300" s="417" t="n">
        <f aca="false">m*g</f>
        <v>72.976101493518</v>
      </c>
      <c r="U300" s="421" t="n">
        <f aca="false">IF(pos_xz&lt;L_rampe,Poids*COS(Beta),0)</f>
        <v>0</v>
      </c>
      <c r="V300" s="418" t="n">
        <f aca="false">Rho_moyen*(20000-Alt_rampe-pos_z)/(20000+Alt_rampe+pos_z)</f>
        <v>1.18589214129435</v>
      </c>
      <c r="W300" s="417" t="n">
        <f aca="false">1/2*Rho*Sref*Cx*vit_xz^2</f>
        <v>136.804960110431</v>
      </c>
      <c r="X300" s="401"/>
      <c r="Y300" s="422" t="str">
        <f aca="false">IF(AND(pos_z&lt;=0,K299&gt;0),"Impact balistique","") &amp; IF(AND(H301&lt;0,vit_z&gt;=0),"Apogée","") &amp; IF(AND(Poussee=0,Q299&gt;0),"Fin de propulsion","") &amp; IF(AND(L301&gt;L_rampe,pos_xz&lt;=L_rampe),"Sortie de rampe","")</f>
        <v/>
      </c>
      <c r="Z300" s="423" t="str">
        <f aca="false">IF(ABS(t-T_para)&lt;pas/2,"Para","")</f>
        <v/>
      </c>
      <c r="AA300" s="424" t="str">
        <f aca="false">IF(ABS(t-T_satellite)&lt;pas/2,"Satellite","")</f>
        <v/>
      </c>
      <c r="AB300" s="412"/>
      <c r="AC300" s="420" t="e">
        <f aca="false">IF(ABS(t-ROUND(t,0))&lt;0.001,t,NA())</f>
        <v>#N/A</v>
      </c>
      <c r="AD300" s="425" t="e">
        <f aca="false">IF(ABS(t-ROUND(t,0))&lt;0.001,pos_x,NA())</f>
        <v>#N/A</v>
      </c>
      <c r="AE300" s="426" t="n">
        <f aca="false">IF(t&lt;T_para, pos_z, NA())</f>
        <v>324.426448083675</v>
      </c>
      <c r="AF300" s="412"/>
      <c r="AG300" s="418" t="n">
        <f aca="false">IF(AND(L299&lt;L_rampe,Poussee&lt;Poids*SIN(M299)),0,(-W299+Poussee)/m-Poids*SIN(M299)/m)</f>
        <v>28.5701118888753</v>
      </c>
      <c r="AH300" s="417" t="n">
        <f aca="false">IF(AND(L299&lt;L_rampe,Poussee&lt;Poids*SIN(M299)), g*SIN(M299), (-W299+Poussee)/m)</f>
        <v>38.1285554111375</v>
      </c>
    </row>
    <row r="301" customFormat="false" ht="12" hidden="false" customHeight="false" outlineLevel="0" collapsed="false">
      <c r="A301" s="416" t="n">
        <f aca="false">IF(B300+0.01&lt;=T_ini+ROUNDUP(Temps_fin_propu,0), 0.01, IF(K300&gt;0, 0.1, 0.0001))</f>
        <v>0.01</v>
      </c>
      <c r="B301" s="417" t="n">
        <f aca="false">B300+pas</f>
        <v>2.96999999999998</v>
      </c>
      <c r="C301" s="401"/>
      <c r="D301" s="418" t="n">
        <f aca="false">IF(AND(L300&lt;L_rampe,Poussee&lt;Poids*SIN(M300)),0,(-W300+Poussee)/m*COS(M300)-U300/m*SIN(M300))</f>
        <v>8.51259017879687</v>
      </c>
      <c r="E301" s="419" t="n">
        <f aca="false">IF(AND(L300&lt;L_rampe,Poussee&lt;Poids*SIN(M300)),0,(-W300+Poussee)/m*SIN(M300)+U300/m*COS(M300)-Poids/m)</f>
        <v>27.0332637454353</v>
      </c>
      <c r="F301" s="417" t="n">
        <f aca="false">SQRT(acc_x^2+acc_z^2)</f>
        <v>28.3418690329769</v>
      </c>
      <c r="G301" s="418" t="n">
        <f aca="false">G300+acc_x*pas</f>
        <v>43.6885745754491</v>
      </c>
      <c r="H301" s="419" t="n">
        <f aca="false">H300+acc_z*pas</f>
        <v>188.990020294414</v>
      </c>
      <c r="I301" s="417" t="n">
        <f aca="false">SQRT(vit_x^2+vit_z^2)</f>
        <v>193.974017124247</v>
      </c>
      <c r="J301" s="418" t="n">
        <f aca="false">J300+0.5*(vit_x+G300)*pas*(K300&gt;=0)</f>
        <v>70.4221003381823</v>
      </c>
      <c r="K301" s="419" t="n">
        <f aca="false">K300+0.5*(vit_z+H300)*pas</f>
        <v>326.314996623431</v>
      </c>
      <c r="L301" s="417" t="n">
        <f aca="false">SQRT(pos_x^2+pos_z^2)</f>
        <v>333.827424333878</v>
      </c>
      <c r="M301" s="418" t="n">
        <f aca="false">IF(AND(L300&gt;L_rampe,G301&gt;0),ATAN2(G301,H301),$M$4)</f>
        <v>1.3436182543107</v>
      </c>
      <c r="N301" s="417" t="n">
        <f aca="false">DEGREES(Beta)</f>
        <v>76.9836552487387</v>
      </c>
      <c r="O301" s="401"/>
      <c r="P301" s="420" t="n">
        <f aca="false">MATCH(t-pas/2-T_ini,CdP_t)</f>
        <v>7</v>
      </c>
      <c r="Q301" s="417" t="n">
        <f aca="false">(INDEX(CdP,2,i_P+1)-INDEX(CdP,2,i_P+0))/(INDEX(CdP,1,i_P+1)-INDEX(CdP,1,i_P+0))*(t-pas/2-T_ini-INDEX(CdP,1,i_P+0))+INDEX(CdP,2,i_P+0)</f>
        <v>418.021276595749</v>
      </c>
      <c r="R301" s="418" t="n">
        <f aca="false">Poussee/(g*ISP)</f>
        <v>0.209785402392869</v>
      </c>
      <c r="S301" s="419" t="n">
        <f aca="false">S300-Débit*pas</f>
        <v>7.43685234918892</v>
      </c>
      <c r="T301" s="417" t="n">
        <f aca="false">m*g</f>
        <v>72.9555215455433</v>
      </c>
      <c r="U301" s="421" t="n">
        <f aca="false">IF(pos_xz&lt;L_rampe,Poids*COS(Beta),0)</f>
        <v>0</v>
      </c>
      <c r="V301" s="418" t="n">
        <f aca="false">Rho_moyen*(20000-Alt_rampe-pos_z)/(20000+Alt_rampe+pos_z)</f>
        <v>1.18566814167446</v>
      </c>
      <c r="W301" s="417" t="n">
        <f aca="false">1/2*Rho*Sref*Cx*vit_xz^2</f>
        <v>137.178478877735</v>
      </c>
      <c r="X301" s="401"/>
      <c r="Y301" s="422" t="str">
        <f aca="false">IF(AND(pos_z&lt;=0,K300&gt;0),"Impact balistique","") &amp; IF(AND(H302&lt;0,vit_z&gt;=0),"Apogée","") &amp; IF(AND(Poussee=0,Q300&gt;0),"Fin de propulsion","") &amp; IF(AND(L302&gt;L_rampe,pos_xz&lt;=L_rampe),"Sortie de rampe","")</f>
        <v/>
      </c>
      <c r="Z301" s="423" t="str">
        <f aca="false">IF(ABS(t-T_para)&lt;pas/2,"Para","")</f>
        <v/>
      </c>
      <c r="AA301" s="424" t="str">
        <f aca="false">IF(ABS(t-T_satellite)&lt;pas/2,"Satellite","")</f>
        <v/>
      </c>
      <c r="AB301" s="412"/>
      <c r="AC301" s="420" t="e">
        <f aca="false">IF(ABS(t-ROUND(t,0))&lt;0.001,t,NA())</f>
        <v>#N/A</v>
      </c>
      <c r="AD301" s="425" t="e">
        <f aca="false">IF(ABS(t-ROUND(t,0))&lt;0.001,pos_x,NA())</f>
        <v>#N/A</v>
      </c>
      <c r="AE301" s="426" t="n">
        <f aca="false">IF(t&lt;T_para, pos_z, NA())</f>
        <v>326.314996623431</v>
      </c>
      <c r="AF301" s="412"/>
      <c r="AG301" s="418" t="n">
        <f aca="false">IF(AND(L300&lt;L_rampe,Poussee&lt;Poids*SIN(M300)),0,(-W300+Poussee)/m-Poids*SIN(M300)/m)</f>
        <v>28.2556980611888</v>
      </c>
      <c r="AH301" s="417" t="n">
        <f aca="false">IF(AND(L300&lt;L_rampe,Poussee&lt;Poids*SIN(M300)), g*SIN(M300), (-W300+Poussee)/m)</f>
        <v>37.8138899740275</v>
      </c>
    </row>
    <row r="302" customFormat="false" ht="12" hidden="false" customHeight="false" outlineLevel="0" collapsed="false">
      <c r="A302" s="416" t="n">
        <f aca="false">IF(B301+0.01&lt;=T_ini+ROUNDUP(Temps_fin_propu,0), 0.01, IF(K301&gt;0, 0.1, 0.0001))</f>
        <v>0.01</v>
      </c>
      <c r="B302" s="417" t="n">
        <f aca="false">B301+pas</f>
        <v>2.97999999999998</v>
      </c>
      <c r="C302" s="401"/>
      <c r="D302" s="418" t="n">
        <f aca="false">IF(AND(L301&lt;L_rampe,Poussee&lt;Poids*SIN(M301)),0,(-W301+Poussee)/m*COS(M301)-U301/m*SIN(M301))</f>
        <v>8.35045977657456</v>
      </c>
      <c r="E302" s="419" t="n">
        <f aca="false">IF(AND(L301&lt;L_rampe,Poussee&lt;Poids*SIN(M301)),0,(-W301+Poussee)/m*SIN(M301)+U301/m*COS(M301)-Poids/m)</f>
        <v>26.3127981910254</v>
      </c>
      <c r="F302" s="417" t="n">
        <f aca="false">SQRT(acc_x^2+acc_z^2)</f>
        <v>27.6060414967779</v>
      </c>
      <c r="G302" s="418" t="n">
        <f aca="false">G301+acc_x*pas</f>
        <v>43.7720791732149</v>
      </c>
      <c r="H302" s="419" t="n">
        <f aca="false">H301+acc_z*pas</f>
        <v>189.253148276324</v>
      </c>
      <c r="I302" s="417" t="n">
        <f aca="false">SQRT(vit_x^2+vit_z^2)</f>
        <v>194.24919317116</v>
      </c>
      <c r="J302" s="418" t="n">
        <f aca="false">J301+0.5*(vit_x+G301)*pas*(K301&gt;=0)</f>
        <v>70.8594036069256</v>
      </c>
      <c r="K302" s="419" t="n">
        <f aca="false">K301+0.5*(vit_z+H301)*pas</f>
        <v>328.206212466285</v>
      </c>
      <c r="L302" s="417" t="n">
        <f aca="false">SQRT(pos_x^2+pos_z^2)</f>
        <v>335.768332308146</v>
      </c>
      <c r="M302" s="418" t="n">
        <f aca="false">IF(AND(L301&gt;L_rampe,G302&gt;0),ATAN2(G302,H302),$M$4)</f>
        <v>1.34350450884321</v>
      </c>
      <c r="N302" s="417" t="n">
        <f aca="false">DEGREES(Beta)</f>
        <v>76.9771381135124</v>
      </c>
      <c r="O302" s="401"/>
      <c r="P302" s="420" t="n">
        <f aca="false">MATCH(t-pas/2-T_ini,CdP_t)</f>
        <v>8</v>
      </c>
      <c r="Q302" s="417" t="n">
        <f aca="false">(INDEX(CdP,2,i_P+1)-INDEX(CdP,2,i_P+0))/(INDEX(CdP,1,i_P+1)-INDEX(CdP,1,i_P+0))*(t-pas/2-T_ini-INDEX(CdP,1,i_P+0))+INDEX(CdP,2,i_P+0)</f>
        <v>412.826086956538</v>
      </c>
      <c r="R302" s="418" t="n">
        <f aca="false">Poussee/(g*ISP)</f>
        <v>0.207178178765773</v>
      </c>
      <c r="S302" s="419" t="n">
        <f aca="false">S301-Débit*pas</f>
        <v>7.43478056740126</v>
      </c>
      <c r="T302" s="417" t="n">
        <f aca="false">m*g</f>
        <v>72.9351973662063</v>
      </c>
      <c r="U302" s="421" t="n">
        <f aca="false">IF(pos_xz&lt;L_rampe,Poids*COS(Beta),0)</f>
        <v>0</v>
      </c>
      <c r="V302" s="418" t="n">
        <f aca="false">Rho_moyen*(20000-Alt_rampe-pos_z)/(20000+Alt_rampe+pos_z)</f>
        <v>1.18544386739597</v>
      </c>
      <c r="W302" s="417" t="n">
        <f aca="false">1/2*Rho*Sref*Cx*vit_xz^2</f>
        <v>137.541942524297</v>
      </c>
      <c r="X302" s="401"/>
      <c r="Y302" s="422" t="str">
        <f aca="false">IF(AND(pos_z&lt;=0,K301&gt;0),"Impact balistique","") &amp; IF(AND(H303&lt;0,vit_z&gt;=0),"Apogée","") &amp; IF(AND(Poussee=0,Q301&gt;0),"Fin de propulsion","") &amp; IF(AND(L303&gt;L_rampe,pos_xz&lt;=L_rampe),"Sortie de rampe","")</f>
        <v/>
      </c>
      <c r="Z302" s="423" t="str">
        <f aca="false">IF(ABS(t-T_para)&lt;pas/2,"Para","")</f>
        <v/>
      </c>
      <c r="AA302" s="424" t="str">
        <f aca="false">IF(ABS(t-T_satellite)&lt;pas/2,"Satellite","")</f>
        <v/>
      </c>
      <c r="AB302" s="412"/>
      <c r="AC302" s="420" t="e">
        <f aca="false">IF(ABS(t-ROUND(t,0))&lt;0.001,t,NA())</f>
        <v>#N/A</v>
      </c>
      <c r="AD302" s="425" t="e">
        <f aca="false">IF(ABS(t-ROUND(t,0))&lt;0.001,pos_x,NA())</f>
        <v>#N/A</v>
      </c>
      <c r="AE302" s="426" t="n">
        <f aca="false">IF(t&lt;T_para, pos_z, NA())</f>
        <v>328.206212466285</v>
      </c>
      <c r="AF302" s="412"/>
      <c r="AG302" s="418" t="n">
        <f aca="false">IF(AND(L301&lt;L_rampe,Poussee&lt;Poids*SIN(M301)),0,(-W301+Poussee)/m-Poids*SIN(M301)/m)</f>
        <v>27.5174790311938</v>
      </c>
      <c r="AH302" s="417" t="n">
        <f aca="false">IF(AND(L301&lt;L_rampe,Poussee&lt;Poids*SIN(M301)), g*SIN(M301), (-W301+Poussee)/m)</f>
        <v>37.0754194531868</v>
      </c>
    </row>
    <row r="303" customFormat="false" ht="12" hidden="false" customHeight="false" outlineLevel="0" collapsed="false">
      <c r="A303" s="416" t="n">
        <f aca="false">IF(B302+0.01&lt;=T_ini+ROUNDUP(Temps_fin_propu,0), 0.01, IF(K302&gt;0, 0.1, 0.0001))</f>
        <v>0.01</v>
      </c>
      <c r="B303" s="417" t="n">
        <f aca="false">B302+pas</f>
        <v>2.98999999999998</v>
      </c>
      <c r="C303" s="401"/>
      <c r="D303" s="418" t="n">
        <f aca="false">IF(AND(L302&lt;L_rampe,Poussee&lt;Poids*SIN(M302)),0,(-W302+Poussee)/m*COS(M302)-U302/m*SIN(M302))</f>
        <v>8.09274867748952</v>
      </c>
      <c r="E303" s="419" t="n">
        <f aca="false">IF(AND(L302&lt;L_rampe,Poussee&lt;Poids*SIN(M302)),0,(-W302+Poussee)/m*SIN(M302)+U302/m*COS(M302)-Poids/m)</f>
        <v>25.1798427114506</v>
      </c>
      <c r="F303" s="417" t="n">
        <f aca="false">SQRT(acc_x^2+acc_z^2)</f>
        <v>26.4483848302765</v>
      </c>
      <c r="G303" s="418" t="n">
        <f aca="false">G302+acc_x*pas</f>
        <v>43.8530066599898</v>
      </c>
      <c r="H303" s="419" t="n">
        <f aca="false">H302+acc_z*pas</f>
        <v>189.504946703439</v>
      </c>
      <c r="I303" s="417" t="n">
        <f aca="false">SQRT(vit_x^2+vit_z^2)</f>
        <v>194.512752842055</v>
      </c>
      <c r="J303" s="418" t="n">
        <f aca="false">J302+0.5*(vit_x+G302)*pas*(K302&gt;=0)</f>
        <v>71.2975290360916</v>
      </c>
      <c r="K303" s="419" t="n">
        <f aca="false">K302+0.5*(vit_z+H302)*pas</f>
        <v>330.100002941184</v>
      </c>
      <c r="L303" s="417" t="n">
        <f aca="false">SQRT(pos_x^2+pos_z^2)</f>
        <v>337.711932848725</v>
      </c>
      <c r="M303" s="418" t="n">
        <f aca="false">IF(AND(L302&gt;L_rampe,G303&gt;0),ATAN2(G303,H303),$M$4)</f>
        <v>1.34339086160648</v>
      </c>
      <c r="N303" s="417" t="n">
        <f aca="false">DEGREES(Beta)</f>
        <v>76.9706266064946</v>
      </c>
      <c r="O303" s="401"/>
      <c r="P303" s="420" t="n">
        <f aca="false">MATCH(t-pas/2-T_ini,CdP_t)</f>
        <v>8</v>
      </c>
      <c r="Q303" s="417" t="n">
        <f aca="false">(INDEX(CdP,2,i_P+1)-INDEX(CdP,2,i_P+0))/(INDEX(CdP,1,i_P+1)-INDEX(CdP,1,i_P+0))*(t-pas/2-T_ini-INDEX(CdP,1,i_P+0))+INDEX(CdP,2,i_P+0)</f>
        <v>404.478260869582</v>
      </c>
      <c r="R303" s="418" t="n">
        <f aca="false">Poussee/(g*ISP)</f>
        <v>0.202988793792311</v>
      </c>
      <c r="S303" s="419" t="n">
        <f aca="false">S302-Débit*pas</f>
        <v>7.43275067946333</v>
      </c>
      <c r="T303" s="417" t="n">
        <f aca="false">m*g</f>
        <v>72.9152841655353</v>
      </c>
      <c r="U303" s="421" t="n">
        <f aca="false">IF(pos_xz&lt;L_rampe,Poids*COS(Beta),0)</f>
        <v>0</v>
      </c>
      <c r="V303" s="418" t="n">
        <f aca="false">Rho_moyen*(20000-Alt_rampe-pos_z)/(20000+Alt_rampe+pos_z)</f>
        <v>1.18521932961034</v>
      </c>
      <c r="W303" s="417" t="n">
        <f aca="false">1/2*Rho*Sref*Cx*vit_xz^2</f>
        <v>137.889310000721</v>
      </c>
      <c r="X303" s="401"/>
      <c r="Y303" s="422" t="str">
        <f aca="false">IF(AND(pos_z&lt;=0,K302&gt;0),"Impact balistique","") &amp; IF(AND(H304&lt;0,vit_z&gt;=0),"Apogée","") &amp; IF(AND(Poussee=0,Q302&gt;0),"Fin de propulsion","") &amp; IF(AND(L304&gt;L_rampe,pos_xz&lt;=L_rampe),"Sortie de rampe","")</f>
        <v/>
      </c>
      <c r="Z303" s="423" t="str">
        <f aca="false">IF(ABS(t-T_para)&lt;pas/2,"Para","")</f>
        <v/>
      </c>
      <c r="AA303" s="424" t="str">
        <f aca="false">IF(ABS(t-T_satellite)&lt;pas/2,"Satellite","")</f>
        <v/>
      </c>
      <c r="AB303" s="412"/>
      <c r="AC303" s="420" t="e">
        <f aca="false">IF(ABS(t-ROUND(t,0))&lt;0.001,t,NA())</f>
        <v>#N/A</v>
      </c>
      <c r="AD303" s="425" t="e">
        <f aca="false">IF(ABS(t-ROUND(t,0))&lt;0.001,pos_x,NA())</f>
        <v>#N/A</v>
      </c>
      <c r="AE303" s="426" t="n">
        <f aca="false">IF(t&lt;T_para, pos_z, NA())</f>
        <v>330.100002941184</v>
      </c>
      <c r="AF303" s="412"/>
      <c r="AG303" s="418" t="n">
        <f aca="false">IF(AND(L302&lt;L_rampe,Poussee&lt;Poids*SIN(M302)),0,(-W302+Poussee)/m-Poids*SIN(M302)/m)</f>
        <v>26.3558414761271</v>
      </c>
      <c r="AH303" s="417" t="n">
        <f aca="false">IF(AND(L302&lt;L_rampe,Poussee&lt;Poids*SIN(M302)), g*SIN(M302), (-W302+Poussee)/m)</f>
        <v>35.9135305160751</v>
      </c>
    </row>
    <row r="304" customFormat="false" ht="12" hidden="false" customHeight="false" outlineLevel="0" collapsed="false">
      <c r="A304" s="416" t="n">
        <f aca="false">IF(B303+0.01&lt;=T_ini+ROUNDUP(Temps_fin_propu,0), 0.01, IF(K303&gt;0, 0.1, 0.0001))</f>
        <v>0.01</v>
      </c>
      <c r="B304" s="417" t="n">
        <f aca="false">B303+pas</f>
        <v>2.99999999999998</v>
      </c>
      <c r="C304" s="401"/>
      <c r="D304" s="418" t="n">
        <f aca="false">IF(AND(L303&lt;L_rampe,Poussee&lt;Poids*SIN(M303)),0,(-W303+Poussee)/m*COS(M303)-U303/m*SIN(M303))</f>
        <v>7.83507770090672</v>
      </c>
      <c r="E304" s="419" t="n">
        <f aca="false">IF(AND(L303&lt;L_rampe,Poussee&lt;Poids*SIN(M303)),0,(-W303+Poussee)/m*SIN(M303)+U303/m*COS(M303)-Poids/m)</f>
        <v>24.0482481616319</v>
      </c>
      <c r="F304" s="417" t="n">
        <f aca="false">SQRT(acc_x^2+acc_z^2)</f>
        <v>25.2924234153763</v>
      </c>
      <c r="G304" s="418" t="n">
        <f aca="false">G303+acc_x*pas</f>
        <v>43.9313574369988</v>
      </c>
      <c r="H304" s="419" t="n">
        <f aca="false">H303+acc_z*pas</f>
        <v>189.745429185055</v>
      </c>
      <c r="I304" s="417" t="n">
        <f aca="false">SQRT(vit_x^2+vit_z^2)</f>
        <v>194.764709490395</v>
      </c>
      <c r="J304" s="418" t="n">
        <f aca="false">J303+0.5*(vit_x+G303)*pas*(K303&gt;=0)</f>
        <v>71.7364508565766</v>
      </c>
      <c r="K304" s="419" t="n">
        <f aca="false">K303+0.5*(vit_z+H303)*pas</f>
        <v>331.996254820626</v>
      </c>
      <c r="L304" s="417" t="n">
        <f aca="false">SQRT(pos_x^2+pos_z^2)</f>
        <v>339.658109864052</v>
      </c>
      <c r="M304" s="418" t="n">
        <f aca="false">IF(AND(L303&gt;L_rampe,G304&gt;0),ATAN2(G304,H304),$M$4)</f>
        <v>1.3432773056197</v>
      </c>
      <c r="N304" s="417" t="n">
        <f aca="false">DEGREES(Beta)</f>
        <v>76.9641203277139</v>
      </c>
      <c r="O304" s="401"/>
      <c r="P304" s="420" t="n">
        <f aca="false">MATCH(t-pas/2-T_ini,CdP_t)</f>
        <v>8</v>
      </c>
      <c r="Q304" s="417" t="n">
        <f aca="false">(INDEX(CdP,2,i_P+1)-INDEX(CdP,2,i_P+0))/(INDEX(CdP,1,i_P+1)-INDEX(CdP,1,i_P+0))*(t-pas/2-T_ini-INDEX(CdP,1,i_P+0))+INDEX(CdP,2,i_P+0)</f>
        <v>396.130434782625</v>
      </c>
      <c r="R304" s="418" t="n">
        <f aca="false">Poussee/(g*ISP)</f>
        <v>0.198799408818848</v>
      </c>
      <c r="S304" s="419" t="n">
        <f aca="false">S303-Débit*pas</f>
        <v>7.43076268537515</v>
      </c>
      <c r="T304" s="417" t="n">
        <f aca="false">m*g</f>
        <v>72.8957819435302</v>
      </c>
      <c r="U304" s="421" t="n">
        <f aca="false">IF(pos_xz&lt;L_rampe,Poids*COS(Beta),0)</f>
        <v>0</v>
      </c>
      <c r="V304" s="418" t="n">
        <f aca="false">Rho_moyen*(20000-Alt_rampe-pos_z)/(20000+Alt_rampe+pos_z)</f>
        <v>1.18499454189759</v>
      </c>
      <c r="W304" s="417" t="n">
        <f aca="false">1/2*Rho*Sref*Cx*vit_xz^2</f>
        <v>138.22054370737</v>
      </c>
      <c r="X304" s="401"/>
      <c r="Y304" s="422" t="str">
        <f aca="false">IF(AND(pos_z&lt;=0,K303&gt;0),"Impact balistique","") &amp; IF(AND(H305&lt;0,vit_z&gt;=0),"Apogée","") &amp; IF(AND(Poussee=0,Q303&gt;0),"Fin de propulsion","") &amp; IF(AND(L305&gt;L_rampe,pos_xz&lt;=L_rampe),"Sortie de rampe","")</f>
        <v/>
      </c>
      <c r="Z304" s="423" t="str">
        <f aca="false">IF(ABS(t-T_para)&lt;pas/2,"Para","")</f>
        <v/>
      </c>
      <c r="AA304" s="424" t="str">
        <f aca="false">IF(ABS(t-T_satellite)&lt;pas/2,"Satellite","")</f>
        <v/>
      </c>
      <c r="AB304" s="412"/>
      <c r="AC304" s="420" t="n">
        <f aca="false">IF(ABS(t-ROUND(t,0))&lt;0.001,t,NA())</f>
        <v>2.99999999999998</v>
      </c>
      <c r="AD304" s="425" t="n">
        <f aca="false">IF(ABS(t-ROUND(t,0))&lt;0.001,pos_x,NA())</f>
        <v>71.7364508565766</v>
      </c>
      <c r="AE304" s="426" t="n">
        <f aca="false">IF(t&lt;T_para, pos_z, NA())</f>
        <v>331.996254820626</v>
      </c>
      <c r="AF304" s="412"/>
      <c r="AG304" s="418" t="n">
        <f aca="false">IF(AND(L303&lt;L_rampe,Poussee&lt;Poids*SIN(M303)),0,(-W303+Poussee)/m-Poids*SIN(M303)/m)</f>
        <v>25.1955392598862</v>
      </c>
      <c r="AH304" s="417" t="n">
        <f aca="false">IF(AND(L303&lt;L_rampe,Poussee&lt;Poids*SIN(M303)), g*SIN(M303), (-W303+Poussee)/m)</f>
        <v>34.7529770113856</v>
      </c>
    </row>
    <row r="305" customFormat="false" ht="12" hidden="false" customHeight="false" outlineLevel="0" collapsed="false">
      <c r="A305" s="416" t="n">
        <f aca="false">IF(B304+0.01&lt;=T_ini+ROUNDUP(Temps_fin_propu,0), 0.01, IF(K304&gt;0, 0.1, 0.0001))</f>
        <v>0.01</v>
      </c>
      <c r="B305" s="417" t="n">
        <f aca="false">B304+pas</f>
        <v>3.00999999999998</v>
      </c>
      <c r="C305" s="401"/>
      <c r="D305" s="418" t="n">
        <f aca="false">IF(AND(L304&lt;L_rampe,Poussee&lt;Poids*SIN(M304)),0,(-W304+Poussee)/m*COS(M304)-U304/m*SIN(M304))</f>
        <v>7.57745367465655</v>
      </c>
      <c r="E305" s="419" t="n">
        <f aca="false">IF(AND(L304&lt;L_rampe,Poussee&lt;Poids*SIN(M304)),0,(-W304+Poussee)/m*SIN(M304)+U304/m*COS(M304)-Poids/m)</f>
        <v>22.9180394576808</v>
      </c>
      <c r="F305" s="417" t="n">
        <f aca="false">SQRT(acc_x^2+acc_z^2)</f>
        <v>24.138233919974</v>
      </c>
      <c r="G305" s="418" t="n">
        <f aca="false">G304+acc_x*pas</f>
        <v>44.0071319737454</v>
      </c>
      <c r="H305" s="419" t="n">
        <f aca="false">H304+acc_z*pas</f>
        <v>189.974609579632</v>
      </c>
      <c r="I305" s="417" t="n">
        <f aca="false">SQRT(vit_x^2+vit_z^2)</f>
        <v>195.005076727474</v>
      </c>
      <c r="J305" s="418" t="n">
        <f aca="false">J304+0.5*(vit_x+G304)*pas*(K304&gt;=0)</f>
        <v>72.1761433036303</v>
      </c>
      <c r="K305" s="419" t="n">
        <f aca="false">K304+0.5*(vit_z+H304)*pas</f>
        <v>333.89485501445</v>
      </c>
      <c r="L305" s="417" t="n">
        <f aca="false">SQRT(pos_x^2+pos_z^2)</f>
        <v>341.606747397218</v>
      </c>
      <c r="M305" s="418" t="n">
        <f aca="false">IF(AND(L304&gt;L_rampe,G305&gt;0),ATAN2(G305,H305),$M$4)</f>
        <v>1.34316383394991</v>
      </c>
      <c r="N305" s="417" t="n">
        <f aca="false">DEGREES(Beta)</f>
        <v>76.9576188799401</v>
      </c>
      <c r="O305" s="401"/>
      <c r="P305" s="420" t="n">
        <f aca="false">MATCH(t-pas/2-T_ini,CdP_t)</f>
        <v>8</v>
      </c>
      <c r="Q305" s="417" t="n">
        <f aca="false">(INDEX(CdP,2,i_P+1)-INDEX(CdP,2,i_P+0))/(INDEX(CdP,1,i_P+1)-INDEX(CdP,1,i_P+0))*(t-pas/2-T_ini-INDEX(CdP,1,i_P+0))+INDEX(CdP,2,i_P+0)</f>
        <v>387.782608695669</v>
      </c>
      <c r="R305" s="418" t="n">
        <f aca="false">Poussee/(g*ISP)</f>
        <v>0.194610023845386</v>
      </c>
      <c r="S305" s="419" t="n">
        <f aca="false">S304-Débit*pas</f>
        <v>7.42881658513669</v>
      </c>
      <c r="T305" s="417" t="n">
        <f aca="false">m*g</f>
        <v>72.876690700191</v>
      </c>
      <c r="U305" s="421" t="n">
        <f aca="false">IF(pos_xz&lt;L_rampe,Poids*COS(Beta),0)</f>
        <v>0</v>
      </c>
      <c r="V305" s="418" t="n">
        <f aca="false">Rho_moyen*(20000-Alt_rampe-pos_z)/(20000+Alt_rampe+pos_z)</f>
        <v>1.1847695178116</v>
      </c>
      <c r="W305" s="417" t="n">
        <f aca="false">1/2*Rho*Sref*Cx*vit_xz^2</f>
        <v>138.535609524348</v>
      </c>
      <c r="X305" s="401"/>
      <c r="Y305" s="422" t="str">
        <f aca="false">IF(AND(pos_z&lt;=0,K304&gt;0),"Impact balistique","") &amp; IF(AND(H306&lt;0,vit_z&gt;=0),"Apogée","") &amp; IF(AND(Poussee=0,Q304&gt;0),"Fin de propulsion","") &amp; IF(AND(L306&gt;L_rampe,pos_xz&lt;=L_rampe),"Sortie de rampe","")</f>
        <v/>
      </c>
      <c r="Z305" s="423" t="str">
        <f aca="false">IF(ABS(t-T_para)&lt;pas/2,"Para","")</f>
        <v/>
      </c>
      <c r="AA305" s="424" t="str">
        <f aca="false">IF(ABS(t-T_satellite)&lt;pas/2,"Satellite","")</f>
        <v/>
      </c>
      <c r="AB305" s="412"/>
      <c r="AC305" s="420" t="e">
        <f aca="false">IF(ABS(t-ROUND(t,0))&lt;0.001,t,NA())</f>
        <v>#N/A</v>
      </c>
      <c r="AD305" s="425" t="e">
        <f aca="false">IF(ABS(t-ROUND(t,0))&lt;0.001,pos_x,NA())</f>
        <v>#N/A</v>
      </c>
      <c r="AE305" s="426" t="n">
        <f aca="false">IF(t&lt;T_para, pos_z, NA())</f>
        <v>333.89485501445</v>
      </c>
      <c r="AF305" s="412"/>
      <c r="AG305" s="418" t="n">
        <f aca="false">IF(AND(L304&lt;L_rampe,Poussee&lt;Poids*SIN(M304)),0,(-W304+Poussee)/m-Poids*SIN(M304)/m)</f>
        <v>24.0365981653991</v>
      </c>
      <c r="AH305" s="417" t="n">
        <f aca="false">IF(AND(L304&lt;L_rampe,Poussee&lt;Poids*SIN(M304)), g*SIN(M304), (-W304+Poussee)/m)</f>
        <v>33.5937847069228</v>
      </c>
    </row>
    <row r="306" customFormat="false" ht="12" hidden="false" customHeight="false" outlineLevel="0" collapsed="false">
      <c r="A306" s="416" t="n">
        <f aca="false">IF(B305+0.01&lt;=T_ini+ROUNDUP(Temps_fin_propu,0), 0.01, IF(K305&gt;0, 0.1, 0.0001))</f>
        <v>0.01</v>
      </c>
      <c r="B306" s="417" t="n">
        <f aca="false">B305+pas</f>
        <v>3.01999999999998</v>
      </c>
      <c r="C306" s="401"/>
      <c r="D306" s="418" t="n">
        <f aca="false">IF(AND(L305&lt;L_rampe,Poussee&lt;Poids*SIN(M305)),0,(-W305+Poussee)/m*COS(M305)-U305/m*SIN(M305))</f>
        <v>7.31988329414098</v>
      </c>
      <c r="E306" s="419" t="n">
        <f aca="false">IF(AND(L305&lt;L_rampe,Poussee&lt;Poids*SIN(M305)),0,(-W305+Poussee)/m*SIN(M305)+U305/m*COS(M305)-Poids/m)</f>
        <v>21.7892410458043</v>
      </c>
      <c r="F306" s="417" t="n">
        <f aca="false">SQRT(acc_x^2+acc_z^2)</f>
        <v>22.9859025663994</v>
      </c>
      <c r="G306" s="418" t="n">
        <f aca="false">G305+acc_x*pas</f>
        <v>44.0803308066868</v>
      </c>
      <c r="H306" s="419" t="n">
        <f aca="false">H305+acc_z*pas</f>
        <v>190.19250199009</v>
      </c>
      <c r="I306" s="417" t="n">
        <f aca="false">SQRT(vit_x^2+vit_z^2)</f>
        <v>195.23386841754</v>
      </c>
      <c r="J306" s="418" t="n">
        <f aca="false">J305+0.5*(vit_x+G305)*pas*(K305&gt;=0)</f>
        <v>72.6165806175325</v>
      </c>
      <c r="K306" s="419" t="n">
        <f aca="false">K305+0.5*(vit_z+H305)*pas</f>
        <v>335.795690572298</v>
      </c>
      <c r="L306" s="417" t="n">
        <f aca="false">SQRT(pos_x^2+pos_z^2)</f>
        <v>343.557729628529</v>
      </c>
      <c r="M306" s="418" t="n">
        <f aca="false">IF(AND(L305&gt;L_rampe,G306&gt;0),ATAN2(G306,H306),$M$4)</f>
        <v>1.34305043970939</v>
      </c>
      <c r="N306" s="417" t="n">
        <f aca="false">DEGREES(Beta)</f>
        <v>76.9511218685375</v>
      </c>
      <c r="O306" s="401"/>
      <c r="P306" s="420" t="n">
        <f aca="false">MATCH(t-pas/2-T_ini,CdP_t)</f>
        <v>8</v>
      </c>
      <c r="Q306" s="417" t="n">
        <f aca="false">(INDEX(CdP,2,i_P+1)-INDEX(CdP,2,i_P+0))/(INDEX(CdP,1,i_P+1)-INDEX(CdP,1,i_P+0))*(t-pas/2-T_ini-INDEX(CdP,1,i_P+0))+INDEX(CdP,2,i_P+0)</f>
        <v>379.434782608713</v>
      </c>
      <c r="R306" s="418" t="n">
        <f aca="false">Poussee/(g*ISP)</f>
        <v>0.190420638871923</v>
      </c>
      <c r="S306" s="419" t="n">
        <f aca="false">S305-Débit*pas</f>
        <v>7.42691237874797</v>
      </c>
      <c r="T306" s="417" t="n">
        <f aca="false">m*g</f>
        <v>72.8580104355176</v>
      </c>
      <c r="U306" s="421" t="n">
        <f aca="false">IF(pos_xz&lt;L_rampe,Poids*COS(Beta),0)</f>
        <v>0</v>
      </c>
      <c r="V306" s="418" t="n">
        <f aca="false">Rho_moyen*(20000-Alt_rampe-pos_z)/(20000+Alt_rampe+pos_z)</f>
        <v>1.18454427087977</v>
      </c>
      <c r="W306" s="417" t="n">
        <f aca="false">1/2*Rho*Sref*Cx*vit_xz^2</f>
        <v>138.834476790394</v>
      </c>
      <c r="X306" s="401"/>
      <c r="Y306" s="422" t="str">
        <f aca="false">IF(AND(pos_z&lt;=0,K305&gt;0),"Impact balistique","") &amp; IF(AND(H307&lt;0,vit_z&gt;=0),"Apogée","") &amp; IF(AND(Poussee=0,Q305&gt;0),"Fin de propulsion","") &amp; IF(AND(L307&gt;L_rampe,pos_xz&lt;=L_rampe),"Sortie de rampe","")</f>
        <v/>
      </c>
      <c r="Z306" s="423" t="str">
        <f aca="false">IF(ABS(t-T_para)&lt;pas/2,"Para","")</f>
        <v/>
      </c>
      <c r="AA306" s="424" t="str">
        <f aca="false">IF(ABS(t-T_satellite)&lt;pas/2,"Satellite","")</f>
        <v/>
      </c>
      <c r="AB306" s="412"/>
      <c r="AC306" s="420" t="e">
        <f aca="false">IF(ABS(t-ROUND(t,0))&lt;0.001,t,NA())</f>
        <v>#N/A</v>
      </c>
      <c r="AD306" s="425" t="e">
        <f aca="false">IF(ABS(t-ROUND(t,0))&lt;0.001,pos_x,NA())</f>
        <v>#N/A</v>
      </c>
      <c r="AE306" s="426" t="n">
        <f aca="false">IF(t&lt;T_para, pos_z, NA())</f>
        <v>335.795690572298</v>
      </c>
      <c r="AF306" s="412"/>
      <c r="AG306" s="418" t="n">
        <f aca="false">IF(AND(L305&lt;L_rampe,Poussee&lt;Poids*SIN(M305)),0,(-W305+Poussee)/m-Poids*SIN(M305)/m)</f>
        <v>22.8790434882162</v>
      </c>
      <c r="AH306" s="417" t="n">
        <f aca="false">IF(AND(L305&lt;L_rampe,Poussee&lt;Poids*SIN(M305)), g*SIN(M305), (-W305+Poussee)/m)</f>
        <v>32.4359788831891</v>
      </c>
    </row>
    <row r="307" customFormat="false" ht="12" hidden="false" customHeight="false" outlineLevel="0" collapsed="false">
      <c r="A307" s="416" t="n">
        <f aca="false">IF(B306+0.01&lt;=T_ini+ROUNDUP(Temps_fin_propu,0), 0.01, IF(K306&gt;0, 0.1, 0.0001))</f>
        <v>0.01</v>
      </c>
      <c r="B307" s="417" t="n">
        <f aca="false">B306+pas</f>
        <v>3.02999999999998</v>
      </c>
      <c r="C307" s="401"/>
      <c r="D307" s="418" t="n">
        <f aca="false">IF(AND(L306&lt;L_rampe,Poussee&lt;Poids*SIN(M306)),0,(-W306+Poussee)/m*COS(M306)-U306/m*SIN(M306))</f>
        <v>7.06237312266288</v>
      </c>
      <c r="E307" s="419" t="n">
        <f aca="false">IF(AND(L306&lt;L_rampe,Poussee&lt;Poids*SIN(M306)),0,(-W306+Poussee)/m*SIN(M306)+U306/m*COS(M306)-Poids/m)</f>
        <v>20.661876903044</v>
      </c>
      <c r="F307" s="417" t="n">
        <f aca="false">SQRT(acc_x^2+acc_z^2)</f>
        <v>21.8355277307477</v>
      </c>
      <c r="G307" s="418" t="n">
        <f aca="false">G306+acc_x*pas</f>
        <v>44.1509545379134</v>
      </c>
      <c r="H307" s="419" t="n">
        <f aca="false">H306+acc_z*pas</f>
        <v>190.39912075912</v>
      </c>
      <c r="I307" s="417" t="n">
        <f aca="false">SQRT(vit_x^2+vit_z^2)</f>
        <v>195.451098672929</v>
      </c>
      <c r="J307" s="418" t="n">
        <f aca="false">J306+0.5*(vit_x+G306)*pas*(K306&gt;=0)</f>
        <v>73.0577370442555</v>
      </c>
      <c r="K307" s="419" t="n">
        <f aca="false">K306+0.5*(vit_z+H306)*pas</f>
        <v>337.698648686044</v>
      </c>
      <c r="L307" s="417" t="n">
        <f aca="false">SQRT(pos_x^2+pos_z^2)</f>
        <v>345.51094087801</v>
      </c>
      <c r="M307" s="418" t="n">
        <f aca="false">IF(AND(L306&gt;L_rampe,G307&gt;0),ATAN2(G307,H307),$M$4)</f>
        <v>1.34293711605322</v>
      </c>
      <c r="N307" s="417" t="n">
        <f aca="false">DEGREES(Beta)</f>
        <v>76.9446289013199</v>
      </c>
      <c r="O307" s="401"/>
      <c r="P307" s="420" t="n">
        <f aca="false">MATCH(t-pas/2-T_ini,CdP_t)</f>
        <v>8</v>
      </c>
      <c r="Q307" s="417" t="n">
        <f aca="false">(INDEX(CdP,2,i_P+1)-INDEX(CdP,2,i_P+0))/(INDEX(CdP,1,i_P+1)-INDEX(CdP,1,i_P+0))*(t-pas/2-T_ini-INDEX(CdP,1,i_P+0))+INDEX(CdP,2,i_P+0)</f>
        <v>371.086956521756</v>
      </c>
      <c r="R307" s="418" t="n">
        <f aca="false">Poussee/(g*ISP)</f>
        <v>0.186231253898461</v>
      </c>
      <c r="S307" s="419" t="n">
        <f aca="false">S306-Débit*pas</f>
        <v>7.42505006620899</v>
      </c>
      <c r="T307" s="417" t="n">
        <f aca="false">m*g</f>
        <v>72.8397411495102</v>
      </c>
      <c r="U307" s="421" t="n">
        <f aca="false">IF(pos_xz&lt;L_rampe,Poids*COS(Beta),0)</f>
        <v>0</v>
      </c>
      <c r="V307" s="418" t="n">
        <f aca="false">Rho_moyen*(20000-Alt_rampe-pos_z)/(20000+Alt_rampe+pos_z)</f>
        <v>1.18431881460274</v>
      </c>
      <c r="W307" s="417" t="n">
        <f aca="false">1/2*Rho*Sref*Cx*vit_xz^2</f>
        <v>139.117118281427</v>
      </c>
      <c r="X307" s="401"/>
      <c r="Y307" s="422" t="str">
        <f aca="false">IF(AND(pos_z&lt;=0,K306&gt;0),"Impact balistique","") &amp; IF(AND(H308&lt;0,vit_z&gt;=0),"Apogée","") &amp; IF(AND(Poussee=0,Q306&gt;0),"Fin de propulsion","") &amp; IF(AND(L308&gt;L_rampe,pos_xz&lt;=L_rampe),"Sortie de rampe","")</f>
        <v/>
      </c>
      <c r="Z307" s="423" t="str">
        <f aca="false">IF(ABS(t-T_para)&lt;pas/2,"Para","")</f>
        <v/>
      </c>
      <c r="AA307" s="424" t="str">
        <f aca="false">IF(ABS(t-T_satellite)&lt;pas/2,"Satellite","")</f>
        <v/>
      </c>
      <c r="AB307" s="412"/>
      <c r="AC307" s="420" t="e">
        <f aca="false">IF(ABS(t-ROUND(t,0))&lt;0.001,t,NA())</f>
        <v>#N/A</v>
      </c>
      <c r="AD307" s="425" t="e">
        <f aca="false">IF(ABS(t-ROUND(t,0))&lt;0.001,pos_x,NA())</f>
        <v>#N/A</v>
      </c>
      <c r="AE307" s="426" t="n">
        <f aca="false">IF(t&lt;T_para, pos_z, NA())</f>
        <v>337.698648686044</v>
      </c>
      <c r="AF307" s="412"/>
      <c r="AG307" s="418" t="n">
        <f aca="false">IF(AND(L306&lt;L_rampe,Poussee&lt;Poids*SIN(M306)),0,(-W306+Poussee)/m-Poids*SIN(M306)/m)</f>
        <v>21.7229000372939</v>
      </c>
      <c r="AH307" s="417" t="n">
        <f aca="false">IF(AND(L306&lt;L_rampe,Poussee&lt;Poids*SIN(M306)), g*SIN(M306), (-W306+Poussee)/m)</f>
        <v>31.2795843341624</v>
      </c>
    </row>
    <row r="308" customFormat="false" ht="12" hidden="false" customHeight="false" outlineLevel="0" collapsed="false">
      <c r="A308" s="416" t="n">
        <f aca="false">IF(B307+0.01&lt;=T_ini+ROUNDUP(Temps_fin_propu,0), 0.01, IF(K307&gt;0, 0.1, 0.0001))</f>
        <v>0.01</v>
      </c>
      <c r="B308" s="417" t="n">
        <f aca="false">B307+pas</f>
        <v>3.03999999999998</v>
      </c>
      <c r="C308" s="401"/>
      <c r="D308" s="418" t="n">
        <f aca="false">IF(AND(L307&lt;L_rampe,Poussee&lt;Poids*SIN(M307)),0,(-W307+Poussee)/m*COS(M307)-U307/m*SIN(M307))</f>
        <v>6.80492959176013</v>
      </c>
      <c r="E308" s="419" t="n">
        <f aca="false">IF(AND(L307&lt;L_rampe,Poussee&lt;Poids*SIN(M307)),0,(-W307+Poussee)/m*SIN(M307)+U307/m*COS(M307)-Poids/m)</f>
        <v>19.5359705381056</v>
      </c>
      <c r="F308" s="417" t="n">
        <f aca="false">SQRT(acc_x^2+acc_z^2)</f>
        <v>20.6872233906473</v>
      </c>
      <c r="G308" s="418" t="n">
        <f aca="false">G307+acc_x*pas</f>
        <v>44.219003833831</v>
      </c>
      <c r="H308" s="419" t="n">
        <f aca="false">H307+acc_z*pas</f>
        <v>190.594480464501</v>
      </c>
      <c r="I308" s="417" t="n">
        <f aca="false">SQRT(vit_x^2+vit_z^2)</f>
        <v>195.65678184921</v>
      </c>
      <c r="J308" s="418" t="n">
        <f aca="false">J307+0.5*(vit_x+G307)*pas*(K307&gt;=0)</f>
        <v>73.4995868361142</v>
      </c>
      <c r="K308" s="419" t="n">
        <f aca="false">K307+0.5*(vit_z+H307)*pas</f>
        <v>339.603616692162</v>
      </c>
      <c r="L308" s="417" t="n">
        <f aca="false">SQRT(pos_x^2+pos_z^2)</f>
        <v>347.466265607867</v>
      </c>
      <c r="M308" s="418" t="n">
        <f aca="false">IF(AND(L307&gt;L_rampe,G308&gt;0),ATAN2(G308,H308),$M$4)</f>
        <v>1.34282385617673</v>
      </c>
      <c r="N308" s="417" t="n">
        <f aca="false">DEGREES(Beta)</f>
        <v>76.9381395884091</v>
      </c>
      <c r="O308" s="401"/>
      <c r="P308" s="420" t="n">
        <f aca="false">MATCH(t-pas/2-T_ini,CdP_t)</f>
        <v>8</v>
      </c>
      <c r="Q308" s="417" t="n">
        <f aca="false">(INDEX(CdP,2,i_P+1)-INDEX(CdP,2,i_P+0))/(INDEX(CdP,1,i_P+1)-INDEX(CdP,1,i_P+0))*(t-pas/2-T_ini-INDEX(CdP,1,i_P+0))+INDEX(CdP,2,i_P+0)</f>
        <v>362.7391304348</v>
      </c>
      <c r="R308" s="418" t="n">
        <f aca="false">Poussee/(g*ISP)</f>
        <v>0.182041868924998</v>
      </c>
      <c r="S308" s="419" t="n">
        <f aca="false">S307-Débit*pas</f>
        <v>7.42322964751974</v>
      </c>
      <c r="T308" s="417" t="n">
        <f aca="false">m*g</f>
        <v>72.8218828421686</v>
      </c>
      <c r="U308" s="421" t="n">
        <f aca="false">IF(pos_xz&lt;L_rampe,Poids*COS(Beta),0)</f>
        <v>0</v>
      </c>
      <c r="V308" s="418" t="n">
        <f aca="false">Rho_moyen*(20000-Alt_rampe-pos_z)/(20000+Alt_rampe+pos_z)</f>
        <v>1.18409316245411</v>
      </c>
      <c r="W308" s="417" t="n">
        <f aca="false">1/2*Rho*Sref*Cx*vit_xz^2</f>
        <v>139.383510188757</v>
      </c>
      <c r="X308" s="401"/>
      <c r="Y308" s="422" t="str">
        <f aca="false">IF(AND(pos_z&lt;=0,K307&gt;0),"Impact balistique","") &amp; IF(AND(H309&lt;0,vit_z&gt;=0),"Apogée","") &amp; IF(AND(Poussee=0,Q307&gt;0),"Fin de propulsion","") &amp; IF(AND(L309&gt;L_rampe,pos_xz&lt;=L_rampe),"Sortie de rampe","")</f>
        <v/>
      </c>
      <c r="Z308" s="423" t="str">
        <f aca="false">IF(ABS(t-T_para)&lt;pas/2,"Para","")</f>
        <v/>
      </c>
      <c r="AA308" s="424" t="str">
        <f aca="false">IF(ABS(t-T_satellite)&lt;pas/2,"Satellite","")</f>
        <v/>
      </c>
      <c r="AB308" s="412"/>
      <c r="AC308" s="420" t="e">
        <f aca="false">IF(ABS(t-ROUND(t,0))&lt;0.001,t,NA())</f>
        <v>#N/A</v>
      </c>
      <c r="AD308" s="425" t="e">
        <f aca="false">IF(ABS(t-ROUND(t,0))&lt;0.001,pos_x,NA())</f>
        <v>#N/A</v>
      </c>
      <c r="AE308" s="426" t="n">
        <f aca="false">IF(t&lt;T_para, pos_z, NA())</f>
        <v>339.603616692162</v>
      </c>
      <c r="AF308" s="412"/>
      <c r="AG308" s="418" t="n">
        <f aca="false">IF(AND(L307&lt;L_rampe,Poussee&lt;Poids*SIN(M307)),0,(-W307+Poussee)/m-Poids*SIN(M307)/m)</f>
        <v>20.5681921358659</v>
      </c>
      <c r="AH308" s="417" t="n">
        <f aca="false">IF(AND(L307&lt;L_rampe,Poussee&lt;Poids*SIN(M307)), g*SIN(M307), (-W307+Poussee)/m)</f>
        <v>30.1246253681631</v>
      </c>
    </row>
    <row r="309" customFormat="false" ht="12" hidden="false" customHeight="false" outlineLevel="0" collapsed="false">
      <c r="A309" s="416" t="n">
        <f aca="false">IF(B308+0.01&lt;=T_ini+ROUNDUP(Temps_fin_propu,0), 0.01, IF(K308&gt;0, 0.1, 0.0001))</f>
        <v>0.01</v>
      </c>
      <c r="B309" s="417" t="n">
        <f aca="false">B308+pas</f>
        <v>3.04999999999998</v>
      </c>
      <c r="C309" s="401"/>
      <c r="D309" s="418" t="n">
        <f aca="false">IF(AND(L308&lt;L_rampe,Poussee&lt;Poids*SIN(M308)),0,(-W308+Poussee)/m*COS(M308)-U308/m*SIN(M308))</f>
        <v>6.54755900154473</v>
      </c>
      <c r="E309" s="419" t="n">
        <f aca="false">IF(AND(L308&lt;L_rampe,Poussee&lt;Poids*SIN(M308)),0,(-W308+Poussee)/m*SIN(M308)+U308/m*COS(M308)-Poids/m)</f>
        <v>18.411544992276</v>
      </c>
      <c r="F309" s="417" t="n">
        <f aca="false">SQRT(acc_x^2+acc_z^2)</f>
        <v>19.5411237619875</v>
      </c>
      <c r="G309" s="418" t="n">
        <f aca="false">G308+acc_x*pas</f>
        <v>44.2844794238465</v>
      </c>
      <c r="H309" s="419" t="n">
        <f aca="false">H308+acc_z*pas</f>
        <v>190.778595914424</v>
      </c>
      <c r="I309" s="417" t="n">
        <f aca="false">SQRT(vit_x^2+vit_z^2)</f>
        <v>195.850932540338</v>
      </c>
      <c r="J309" s="418" t="n">
        <f aca="false">J308+0.5*(vit_x+G308)*pas*(K308&gt;=0)</f>
        <v>73.9421042524026</v>
      </c>
      <c r="K309" s="419" t="n">
        <f aca="false">K308+0.5*(vit_z+H308)*pas</f>
        <v>341.510482074057</v>
      </c>
      <c r="L309" s="417" t="n">
        <f aca="false">SQRT(pos_x^2+pos_z^2)</f>
        <v>349.423588424892</v>
      </c>
      <c r="M309" s="418" t="n">
        <f aca="false">IF(AND(L308&gt;L_rampe,G309&gt;0),ATAN2(G309,H309),$M$4)</f>
        <v>1.3427106533131</v>
      </c>
      <c r="N309" s="417" t="n">
        <f aca="false">DEGREES(Beta)</f>
        <v>76.9316535420943</v>
      </c>
      <c r="O309" s="401"/>
      <c r="P309" s="420" t="n">
        <f aca="false">MATCH(t-pas/2-T_ini,CdP_t)</f>
        <v>8</v>
      </c>
      <c r="Q309" s="417" t="n">
        <f aca="false">(INDEX(CdP,2,i_P+1)-INDEX(CdP,2,i_P+0))/(INDEX(CdP,1,i_P+1)-INDEX(CdP,1,i_P+0))*(t-pas/2-T_ini-INDEX(CdP,1,i_P+0))+INDEX(CdP,2,i_P+0)</f>
        <v>354.391304347844</v>
      </c>
      <c r="R309" s="418" t="n">
        <f aca="false">Poussee/(g*ISP)</f>
        <v>0.177852483951536</v>
      </c>
      <c r="S309" s="419" t="n">
        <f aca="false">S308-Débit*pas</f>
        <v>7.42145112268022</v>
      </c>
      <c r="T309" s="417" t="n">
        <f aca="false">m*g</f>
        <v>72.804435513493</v>
      </c>
      <c r="U309" s="421" t="n">
        <f aca="false">IF(pos_xz&lt;L_rampe,Poids*COS(Beta),0)</f>
        <v>0</v>
      </c>
      <c r="V309" s="418" t="n">
        <f aca="false">Rho_moyen*(20000-Alt_rampe-pos_z)/(20000+Alt_rampe+pos_z)</f>
        <v>1.18386732788016</v>
      </c>
      <c r="W309" s="417" t="n">
        <f aca="false">1/2*Rho*Sref*Cx*vit_xz^2</f>
        <v>139.633632096992</v>
      </c>
      <c r="X309" s="401"/>
      <c r="Y309" s="422" t="str">
        <f aca="false">IF(AND(pos_z&lt;=0,K308&gt;0),"Impact balistique","") &amp; IF(AND(H310&lt;0,vit_z&gt;=0),"Apogée","") &amp; IF(AND(Poussee=0,Q308&gt;0),"Fin de propulsion","") &amp; IF(AND(L310&gt;L_rampe,pos_xz&lt;=L_rampe),"Sortie de rampe","")</f>
        <v/>
      </c>
      <c r="Z309" s="423" t="str">
        <f aca="false">IF(ABS(t-T_para)&lt;pas/2,"Para","")</f>
        <v/>
      </c>
      <c r="AA309" s="424" t="str">
        <f aca="false">IF(ABS(t-T_satellite)&lt;pas/2,"Satellite","")</f>
        <v/>
      </c>
      <c r="AB309" s="412"/>
      <c r="AC309" s="420" t="e">
        <f aca="false">IF(ABS(t-ROUND(t,0))&lt;0.001,t,NA())</f>
        <v>#N/A</v>
      </c>
      <c r="AD309" s="425" t="e">
        <f aca="false">IF(ABS(t-ROUND(t,0))&lt;0.001,pos_x,NA())</f>
        <v>#N/A</v>
      </c>
      <c r="AE309" s="426" t="n">
        <f aca="false">IF(t&lt;T_para, pos_z, NA())</f>
        <v>341.510482074057</v>
      </c>
      <c r="AF309" s="412"/>
      <c r="AG309" s="418" t="n">
        <f aca="false">IF(AND(L308&lt;L_rampe,Poussee&lt;Poids*SIN(M308)),0,(-W308+Poussee)/m-Poids*SIN(M308)/m)</f>
        <v>19.4149436224028</v>
      </c>
      <c r="AH309" s="417" t="n">
        <f aca="false">IF(AND(L308&lt;L_rampe,Poussee&lt;Poids*SIN(M308)), g*SIN(M308), (-W308+Poussee)/m)</f>
        <v>28.9711258088078</v>
      </c>
    </row>
    <row r="310" customFormat="false" ht="12" hidden="false" customHeight="false" outlineLevel="0" collapsed="false">
      <c r="A310" s="416" t="n">
        <f aca="false">IF(B309+0.01&lt;=T_ini+ROUNDUP(Temps_fin_propu,0), 0.01, IF(K309&gt;0, 0.1, 0.0001))</f>
        <v>0.01</v>
      </c>
      <c r="B310" s="417" t="n">
        <f aca="false">B309+pas</f>
        <v>3.05999999999998</v>
      </c>
      <c r="C310" s="401"/>
      <c r="D310" s="418" t="n">
        <f aca="false">IF(AND(L309&lt;L_rampe,Poussee&lt;Poids*SIN(M309)),0,(-W309+Poussee)/m*COS(M309)-U309/m*SIN(M309))</f>
        <v>6.29026752104691</v>
      </c>
      <c r="E310" s="419" t="n">
        <f aca="false">IF(AND(L309&lt;L_rampe,Poussee&lt;Poids*SIN(M309)),0,(-W309+Poussee)/m*SIN(M309)+U309/m*COS(M309)-Poids/m)</f>
        <v>17.2886228404263</v>
      </c>
      <c r="F310" s="417" t="n">
        <f aca="false">SQRT(acc_x^2+acc_z^2)</f>
        <v>18.3973896301853</v>
      </c>
      <c r="G310" s="418" t="n">
        <f aca="false">G309+acc_x*pas</f>
        <v>44.3473820990569</v>
      </c>
      <c r="H310" s="419" t="n">
        <f aca="false">H309+acc_z*pas</f>
        <v>190.951482142828</v>
      </c>
      <c r="I310" s="417" t="n">
        <f aca="false">SQRT(vit_x^2+vit_z^2)</f>
        <v>196.033565573814</v>
      </c>
      <c r="J310" s="418" t="n">
        <f aca="false">J309+0.5*(vit_x+G309)*pas*(K309&gt;=0)</f>
        <v>74.3852635600171</v>
      </c>
      <c r="K310" s="419" t="n">
        <f aca="false">K309+0.5*(vit_z+H309)*pas</f>
        <v>343.419132464343</v>
      </c>
      <c r="L310" s="417" t="n">
        <f aca="false">SQRT(pos_x^2+pos_z^2)</f>
        <v>351.382794082828</v>
      </c>
      <c r="M310" s="418" t="n">
        <f aca="false">IF(AND(L309&gt;L_rampe,G310&gt;0),ATAN2(G310,H310),$M$4)</f>
        <v>1.34259750073093</v>
      </c>
      <c r="N310" s="417" t="n">
        <f aca="false">DEGREES(Beta)</f>
        <v>76.9251703766946</v>
      </c>
      <c r="O310" s="401"/>
      <c r="P310" s="420" t="n">
        <f aca="false">MATCH(t-pas/2-T_ini,CdP_t)</f>
        <v>8</v>
      </c>
      <c r="Q310" s="417" t="n">
        <f aca="false">(INDEX(CdP,2,i_P+1)-INDEX(CdP,2,i_P+0))/(INDEX(CdP,1,i_P+1)-INDEX(CdP,1,i_P+0))*(t-pas/2-T_ini-INDEX(CdP,1,i_P+0))+INDEX(CdP,2,i_P+0)</f>
        <v>346.043478260887</v>
      </c>
      <c r="R310" s="418" t="n">
        <f aca="false">Poussee/(g*ISP)</f>
        <v>0.173663098978074</v>
      </c>
      <c r="S310" s="419" t="n">
        <f aca="false">S309-Débit*pas</f>
        <v>7.41971449169044</v>
      </c>
      <c r="T310" s="417" t="n">
        <f aca="false">m*g</f>
        <v>72.7873991634832</v>
      </c>
      <c r="U310" s="421" t="n">
        <f aca="false">IF(pos_xz&lt;L_rampe,Poids*COS(Beta),0)</f>
        <v>0</v>
      </c>
      <c r="V310" s="418" t="n">
        <f aca="false">Rho_moyen*(20000-Alt_rampe-pos_z)/(20000+Alt_rampe+pos_z)</f>
        <v>1.18364132429956</v>
      </c>
      <c r="W310" s="417" t="n">
        <f aca="false">1/2*Rho*Sref*Cx*vit_xz^2</f>
        <v>139.867466961622</v>
      </c>
      <c r="X310" s="401"/>
      <c r="Y310" s="422" t="str">
        <f aca="false">IF(AND(pos_z&lt;=0,K309&gt;0),"Impact balistique","") &amp; IF(AND(H311&lt;0,vit_z&gt;=0),"Apogée","") &amp; IF(AND(Poussee=0,Q309&gt;0),"Fin de propulsion","") &amp; IF(AND(L311&gt;L_rampe,pos_xz&lt;=L_rampe),"Sortie de rampe","")</f>
        <v/>
      </c>
      <c r="Z310" s="423" t="str">
        <f aca="false">IF(ABS(t-T_para)&lt;pas/2,"Para","")</f>
        <v/>
      </c>
      <c r="AA310" s="424" t="str">
        <f aca="false">IF(ABS(t-T_satellite)&lt;pas/2,"Satellite","")</f>
        <v/>
      </c>
      <c r="AB310" s="412"/>
      <c r="AC310" s="420" t="e">
        <f aca="false">IF(ABS(t-ROUND(t,0))&lt;0.001,t,NA())</f>
        <v>#N/A</v>
      </c>
      <c r="AD310" s="425" t="e">
        <f aca="false">IF(ABS(t-ROUND(t,0))&lt;0.001,pos_x,NA())</f>
        <v>#N/A</v>
      </c>
      <c r="AE310" s="426" t="n">
        <f aca="false">IF(t&lt;T_para, pos_z, NA())</f>
        <v>343.419132464343</v>
      </c>
      <c r="AF310" s="412"/>
      <c r="AG310" s="418" t="n">
        <f aca="false">IF(AND(L309&lt;L_rampe,Poussee&lt;Poids*SIN(M309)),0,(-W309+Poussee)/m-Poids*SIN(M309)/m)</f>
        <v>18.2631778516559</v>
      </c>
      <c r="AH310" s="417" t="n">
        <f aca="false">IF(AND(L309&lt;L_rampe,Poussee&lt;Poids*SIN(M309)), g*SIN(M309), (-W309+Poussee)/m)</f>
        <v>27.8191089960482</v>
      </c>
    </row>
    <row r="311" customFormat="false" ht="12" hidden="false" customHeight="false" outlineLevel="0" collapsed="false">
      <c r="A311" s="416" t="n">
        <f aca="false">IF(B310+0.01&lt;=T_ini+ROUNDUP(Temps_fin_propu,0), 0.01, IF(K310&gt;0, 0.1, 0.0001))</f>
        <v>0.01</v>
      </c>
      <c r="B311" s="417" t="n">
        <f aca="false">B310+pas</f>
        <v>3.06999999999998</v>
      </c>
      <c r="C311" s="401"/>
      <c r="D311" s="418" t="n">
        <f aca="false">IF(AND(L310&lt;L_rampe,Poussee&lt;Poids*SIN(M310)),0,(-W310+Poussee)/m*COS(M310)-U310/m*SIN(M310))</f>
        <v>6.0330611885641</v>
      </c>
      <c r="E311" s="419" t="n">
        <f aca="false">IF(AND(L310&lt;L_rampe,Poussee&lt;Poids*SIN(M310)),0,(-W310+Poussee)/m*SIN(M310)+U310/m*COS(M310)-Poids/m)</f>
        <v>16.1672261921</v>
      </c>
      <c r="F311" s="417" t="n">
        <f aca="false">SQRT(acc_x^2+acc_z^2)</f>
        <v>17.2562171419892</v>
      </c>
      <c r="G311" s="418" t="n">
        <f aca="false">G310+acc_x*pas</f>
        <v>44.4077127109426</v>
      </c>
      <c r="H311" s="419" t="n">
        <f aca="false">H310+acc_z*pas</f>
        <v>191.113154404749</v>
      </c>
      <c r="I311" s="417" t="n">
        <f aca="false">SQRT(vit_x^2+vit_z^2)</f>
        <v>196.204696005858</v>
      </c>
      <c r="J311" s="418" t="n">
        <f aca="false">J310+0.5*(vit_x+G310)*pas*(K310&gt;=0)</f>
        <v>74.8290390340671</v>
      </c>
      <c r="K311" s="419" t="n">
        <f aca="false">K310+0.5*(vit_z+H310)*pas</f>
        <v>345.329455647081</v>
      </c>
      <c r="L311" s="417" t="n">
        <f aca="false">SQRT(pos_x^2+pos_z^2)</f>
        <v>353.343767484685</v>
      </c>
      <c r="M311" s="418" t="n">
        <f aca="false">IF(AND(L310&gt;L_rampe,G311&gt;0),ATAN2(G311,H311),$M$4)</f>
        <v>1.34248439173185</v>
      </c>
      <c r="N311" s="417" t="n">
        <f aca="false">DEGREES(Beta)</f>
        <v>76.9186897084227</v>
      </c>
      <c r="O311" s="401"/>
      <c r="P311" s="420" t="n">
        <f aca="false">MATCH(t-pas/2-T_ini,CdP_t)</f>
        <v>8</v>
      </c>
      <c r="Q311" s="417" t="n">
        <f aca="false">(INDEX(CdP,2,i_P+1)-INDEX(CdP,2,i_P+0))/(INDEX(CdP,1,i_P+1)-INDEX(CdP,1,i_P+0))*(t-pas/2-T_ini-INDEX(CdP,1,i_P+0))+INDEX(CdP,2,i_P+0)</f>
        <v>337.695652173931</v>
      </c>
      <c r="R311" s="418" t="n">
        <f aca="false">Poussee/(g*ISP)</f>
        <v>0.169473714004611</v>
      </c>
      <c r="S311" s="419" t="n">
        <f aca="false">S310-Débit*pas</f>
        <v>7.4180197545504</v>
      </c>
      <c r="T311" s="417" t="n">
        <f aca="false">m*g</f>
        <v>72.7707737921394</v>
      </c>
      <c r="U311" s="421" t="n">
        <f aca="false">IF(pos_xz&lt;L_rampe,Poids*COS(Beta),0)</f>
        <v>0</v>
      </c>
      <c r="V311" s="418" t="n">
        <f aca="false">Rho_moyen*(20000-Alt_rampe-pos_z)/(20000+Alt_rampe+pos_z)</f>
        <v>1.18341516510314</v>
      </c>
      <c r="W311" s="417" t="n">
        <f aca="false">1/2*Rho*Sref*Cx*vit_xz^2</f>
        <v>140.085001086321</v>
      </c>
      <c r="X311" s="401"/>
      <c r="Y311" s="422" t="str">
        <f aca="false">IF(AND(pos_z&lt;=0,K310&gt;0),"Impact balistique","") &amp; IF(AND(H312&lt;0,vit_z&gt;=0),"Apogée","") &amp; IF(AND(Poussee=0,Q310&gt;0),"Fin de propulsion","") &amp; IF(AND(L312&gt;L_rampe,pos_xz&lt;=L_rampe),"Sortie de rampe","")</f>
        <v/>
      </c>
      <c r="Z311" s="423" t="str">
        <f aca="false">IF(ABS(t-T_para)&lt;pas/2,"Para","")</f>
        <v/>
      </c>
      <c r="AA311" s="424" t="str">
        <f aca="false">IF(ABS(t-T_satellite)&lt;pas/2,"Satellite","")</f>
        <v/>
      </c>
      <c r="AB311" s="412"/>
      <c r="AC311" s="420" t="e">
        <f aca="false">IF(ABS(t-ROUND(t,0))&lt;0.001,t,NA())</f>
        <v>#N/A</v>
      </c>
      <c r="AD311" s="425" t="e">
        <f aca="false">IF(ABS(t-ROUND(t,0))&lt;0.001,pos_x,NA())</f>
        <v>#N/A</v>
      </c>
      <c r="AE311" s="426" t="n">
        <f aca="false">IF(t&lt;T_para, pos_z, NA())</f>
        <v>345.329455647081</v>
      </c>
      <c r="AF311" s="412"/>
      <c r="AG311" s="418" t="n">
        <f aca="false">IF(AND(L310&lt;L_rampe,Poussee&lt;Poids*SIN(M310)),0,(-W310+Poussee)/m-Poids*SIN(M310)/m)</f>
        <v>17.1129176957858</v>
      </c>
      <c r="AH311" s="417" t="n">
        <f aca="false">IF(AND(L310&lt;L_rampe,Poussee&lt;Poids*SIN(M310)), g*SIN(M310), (-W310+Poussee)/m)</f>
        <v>26.6685977872944</v>
      </c>
    </row>
    <row r="312" customFormat="false" ht="12" hidden="false" customHeight="false" outlineLevel="0" collapsed="false">
      <c r="A312" s="416" t="n">
        <f aca="false">IF(B311+0.01&lt;=T_ini+ROUNDUP(Temps_fin_propu,0), 0.01, IF(K311&gt;0, 0.1, 0.0001))</f>
        <v>0.01</v>
      </c>
      <c r="B312" s="417" t="n">
        <f aca="false">B311+pas</f>
        <v>3.07999999999998</v>
      </c>
      <c r="C312" s="401"/>
      <c r="D312" s="418" t="n">
        <f aca="false">IF(AND(L311&lt;L_rampe,Poussee&lt;Poids*SIN(M311)),0,(-W311+Poussee)/m*COS(M311)-U311/m*SIN(M311))</f>
        <v>5.7759459120148</v>
      </c>
      <c r="E312" s="419" t="n">
        <f aca="false">IF(AND(L311&lt;L_rampe,Poussee&lt;Poids*SIN(M311)),0,(-W311+Poussee)/m*SIN(M311)+U311/m*COS(M311)-Poids/m)</f>
        <v>15.0473766926834</v>
      </c>
      <c r="F312" s="417" t="n">
        <f aca="false">SQRT(acc_x^2+acc_z^2)</f>
        <v>16.1178502446831</v>
      </c>
      <c r="G312" s="418" t="n">
        <f aca="false">G311+acc_x*pas</f>
        <v>44.4654721700627</v>
      </c>
      <c r="H312" s="419" t="n">
        <f aca="false">H311+acc_z*pas</f>
        <v>191.263628171676</v>
      </c>
      <c r="I312" s="417" t="n">
        <f aca="false">SQRT(vit_x^2+vit_z^2)</f>
        <v>196.364339116602</v>
      </c>
      <c r="J312" s="418" t="n">
        <f aca="false">J311+0.5*(vit_x+G311)*pas*(K311&gt;=0)</f>
        <v>75.2734049584721</v>
      </c>
      <c r="K312" s="419" t="n">
        <f aca="false">K311+0.5*(vit_z+H311)*pas</f>
        <v>347.241339559963</v>
      </c>
      <c r="L312" s="417" t="n">
        <f aca="false">SQRT(pos_x^2+pos_z^2)</f>
        <v>355.306393685</v>
      </c>
      <c r="M312" s="418" t="n">
        <f aca="false">IF(AND(L311&gt;L_rampe,G312&gt;0),ATAN2(G312,H312),$M$4)</f>
        <v>1.34237131964824</v>
      </c>
      <c r="N312" s="417" t="n">
        <f aca="false">DEGREES(Beta)</f>
        <v>76.9122111552511</v>
      </c>
      <c r="O312" s="401"/>
      <c r="P312" s="420" t="n">
        <f aca="false">MATCH(t-pas/2-T_ini,CdP_t)</f>
        <v>8</v>
      </c>
      <c r="Q312" s="417" t="n">
        <f aca="false">(INDEX(CdP,2,i_P+1)-INDEX(CdP,2,i_P+0))/(INDEX(CdP,1,i_P+1)-INDEX(CdP,1,i_P+0))*(t-pas/2-T_ini-INDEX(CdP,1,i_P+0))+INDEX(CdP,2,i_P+0)</f>
        <v>329.347826086975</v>
      </c>
      <c r="R312" s="418" t="n">
        <f aca="false">Poussee/(g*ISP)</f>
        <v>0.165284329031149</v>
      </c>
      <c r="S312" s="419" t="n">
        <f aca="false">S311-Débit*pas</f>
        <v>7.41636691126008</v>
      </c>
      <c r="T312" s="417" t="n">
        <f aca="false">m*g</f>
        <v>72.7545593994614</v>
      </c>
      <c r="U312" s="421" t="n">
        <f aca="false">IF(pos_xz&lt;L_rampe,Poids*COS(Beta),0)</f>
        <v>0</v>
      </c>
      <c r="V312" s="418" t="n">
        <f aca="false">Rho_moyen*(20000-Alt_rampe-pos_z)/(20000+Alt_rampe+pos_z)</f>
        <v>1.18318886365358</v>
      </c>
      <c r="W312" s="417" t="n">
        <f aca="false">1/2*Rho*Sref*Cx*vit_xz^2</f>
        <v>140.286224099969</v>
      </c>
      <c r="X312" s="401"/>
      <c r="Y312" s="422" t="str">
        <f aca="false">IF(AND(pos_z&lt;=0,K311&gt;0),"Impact balistique","") &amp; IF(AND(H313&lt;0,vit_z&gt;=0),"Apogée","") &amp; IF(AND(Poussee=0,Q311&gt;0),"Fin de propulsion","") &amp; IF(AND(L313&gt;L_rampe,pos_xz&lt;=L_rampe),"Sortie de rampe","")</f>
        <v/>
      </c>
      <c r="Z312" s="423" t="str">
        <f aca="false">IF(ABS(t-T_para)&lt;pas/2,"Para","")</f>
        <v/>
      </c>
      <c r="AA312" s="424" t="str">
        <f aca="false">IF(ABS(t-T_satellite)&lt;pas/2,"Satellite","")</f>
        <v/>
      </c>
      <c r="AB312" s="412"/>
      <c r="AC312" s="420" t="e">
        <f aca="false">IF(ABS(t-ROUND(t,0))&lt;0.001,t,NA())</f>
        <v>#N/A</v>
      </c>
      <c r="AD312" s="425" t="e">
        <f aca="false">IF(ABS(t-ROUND(t,0))&lt;0.001,pos_x,NA())</f>
        <v>#N/A</v>
      </c>
      <c r="AE312" s="426" t="n">
        <f aca="false">IF(t&lt;T_para, pos_z, NA())</f>
        <v>347.241339559963</v>
      </c>
      <c r="AF312" s="412"/>
      <c r="AG312" s="418" t="n">
        <f aca="false">IF(AND(L311&lt;L_rampe,Poussee&lt;Poids*SIN(M311)),0,(-W311+Poussee)/m-Poids*SIN(M311)/m)</f>
        <v>15.9641855455713</v>
      </c>
      <c r="AH312" s="417" t="n">
        <f aca="false">IF(AND(L311&lt;L_rampe,Poussee&lt;Poids*SIN(M311)), g*SIN(M311), (-W311+Poussee)/m)</f>
        <v>25.519614558619</v>
      </c>
    </row>
    <row r="313" customFormat="false" ht="12" hidden="false" customHeight="false" outlineLevel="0" collapsed="false">
      <c r="A313" s="416" t="n">
        <f aca="false">IF(B312+0.01&lt;=T_ini+ROUNDUP(Temps_fin_propu,0), 0.01, IF(K312&gt;0, 0.1, 0.0001))</f>
        <v>0.01</v>
      </c>
      <c r="B313" s="417" t="n">
        <f aca="false">B312+pas</f>
        <v>3.08999999999998</v>
      </c>
      <c r="C313" s="401"/>
      <c r="D313" s="418" t="n">
        <f aca="false">IF(AND(L312&lt;L_rampe,Poussee&lt;Poids*SIN(M312)),0,(-W312+Poussee)/m*COS(M312)-U312/m*SIN(M312))</f>
        <v>5.51892746929722</v>
      </c>
      <c r="E313" s="419" t="n">
        <f aca="false">IF(AND(L312&lt;L_rampe,Poussee&lt;Poids*SIN(M312)),0,(-W312+Poussee)/m*SIN(M312)+U312/m*COS(M312)-Poids/m)</f>
        <v>13.9290955246574</v>
      </c>
      <c r="F313" s="417" t="n">
        <f aca="false">SQRT(acc_x^2+acc_z^2)</f>
        <v>14.9825986579897</v>
      </c>
      <c r="G313" s="418" t="n">
        <f aca="false">G312+acc_x*pas</f>
        <v>44.5206614447557</v>
      </c>
      <c r="H313" s="419" t="n">
        <f aca="false">H312+acc_z*pas</f>
        <v>191.402919126923</v>
      </c>
      <c r="I313" s="417" t="n">
        <f aca="false">SQRT(vit_x^2+vit_z^2)</f>
        <v>196.512510405282</v>
      </c>
      <c r="J313" s="418" t="n">
        <f aca="false">J312+0.5*(vit_x+G312)*pas*(K312&gt;=0)</f>
        <v>75.7183356265462</v>
      </c>
      <c r="K313" s="419" t="n">
        <f aca="false">K312+0.5*(vit_z+H312)*pas</f>
        <v>349.154672296456</v>
      </c>
      <c r="L313" s="417" t="n">
        <f aca="false">SQRT(pos_x^2+pos_z^2)</f>
        <v>357.270557892055</v>
      </c>
      <c r="M313" s="418" t="n">
        <f aca="false">IF(AND(L312&gt;L_rampe,G313&gt;0),ATAN2(G313,H313),$M$4)</f>
        <v>1.34225827784085</v>
      </c>
      <c r="N313" s="417" t="n">
        <f aca="false">DEGREES(Beta)</f>
        <v>76.9057343367789</v>
      </c>
      <c r="O313" s="401"/>
      <c r="P313" s="420" t="n">
        <f aca="false">MATCH(t-pas/2-T_ini,CdP_t)</f>
        <v>8</v>
      </c>
      <c r="Q313" s="417" t="n">
        <f aca="false">(INDEX(CdP,2,i_P+1)-INDEX(CdP,2,i_P+0))/(INDEX(CdP,1,i_P+1)-INDEX(CdP,1,i_P+0))*(t-pas/2-T_ini-INDEX(CdP,1,i_P+0))+INDEX(CdP,2,i_P+0)</f>
        <v>321.000000000018</v>
      </c>
      <c r="R313" s="418" t="n">
        <f aca="false">Poussee/(g*ISP)</f>
        <v>0.161094944057686</v>
      </c>
      <c r="S313" s="419" t="n">
        <f aca="false">S312-Débit*pas</f>
        <v>7.41475596181951</v>
      </c>
      <c r="T313" s="417" t="n">
        <f aca="false">m*g</f>
        <v>72.7387559854494</v>
      </c>
      <c r="U313" s="421" t="n">
        <f aca="false">IF(pos_xz&lt;L_rampe,Poids*COS(Beta),0)</f>
        <v>0</v>
      </c>
      <c r="V313" s="418" t="n">
        <f aca="false">Rho_moyen*(20000-Alt_rampe-pos_z)/(20000+Alt_rampe+pos_z)</f>
        <v>1.18296243328521</v>
      </c>
      <c r="W313" s="417" t="n">
        <f aca="false">1/2*Rho*Sref*Cx*vit_xz^2</f>
        <v>140.4711289334</v>
      </c>
      <c r="X313" s="401"/>
      <c r="Y313" s="422" t="str">
        <f aca="false">IF(AND(pos_z&lt;=0,K312&gt;0),"Impact balistique","") &amp; IF(AND(H314&lt;0,vit_z&gt;=0),"Apogée","") &amp; IF(AND(Poussee=0,Q312&gt;0),"Fin de propulsion","") &amp; IF(AND(L314&gt;L_rampe,pos_xz&lt;=L_rampe),"Sortie de rampe","")</f>
        <v/>
      </c>
      <c r="Z313" s="423" t="str">
        <f aca="false">IF(ABS(t-T_para)&lt;pas/2,"Para","")</f>
        <v/>
      </c>
      <c r="AA313" s="424" t="str">
        <f aca="false">IF(ABS(t-T_satellite)&lt;pas/2,"Satellite","")</f>
        <v/>
      </c>
      <c r="AB313" s="412"/>
      <c r="AC313" s="420" t="e">
        <f aca="false">IF(ABS(t-ROUND(t,0))&lt;0.001,t,NA())</f>
        <v>#N/A</v>
      </c>
      <c r="AD313" s="425" t="e">
        <f aca="false">IF(ABS(t-ROUND(t,0))&lt;0.001,pos_x,NA())</f>
        <v>#N/A</v>
      </c>
      <c r="AE313" s="426" t="n">
        <f aca="false">IF(t&lt;T_para, pos_z, NA())</f>
        <v>349.154672296456</v>
      </c>
      <c r="AF313" s="412"/>
      <c r="AG313" s="418" t="n">
        <f aca="false">IF(AND(L312&lt;L_rampe,Poussee&lt;Poids*SIN(M312)),0,(-W312+Poussee)/m-Poids*SIN(M312)/m)</f>
        <v>14.8170033116999</v>
      </c>
      <c r="AH313" s="417" t="n">
        <f aca="false">IF(AND(L312&lt;L_rampe,Poussee&lt;Poids*SIN(M312)), g*SIN(M312), (-W312+Poussee)/m)</f>
        <v>24.3721812060425</v>
      </c>
    </row>
    <row r="314" customFormat="false" ht="12" hidden="false" customHeight="false" outlineLevel="0" collapsed="false">
      <c r="A314" s="416" t="n">
        <f aca="false">IF(B313+0.01&lt;=T_ini+ROUNDUP(Temps_fin_propu,0), 0.01, IF(K313&gt;0, 0.1, 0.0001))</f>
        <v>0.01</v>
      </c>
      <c r="B314" s="417" t="n">
        <f aca="false">B313+pas</f>
        <v>3.09999999999998</v>
      </c>
      <c r="C314" s="401"/>
      <c r="D314" s="418" t="n">
        <f aca="false">IF(AND(L313&lt;L_rampe,Poussee&lt;Poids*SIN(M313)),0,(-W313+Poussee)/m*COS(M313)-U313/m*SIN(M313))</f>
        <v>5.26201150865274</v>
      </c>
      <c r="E314" s="419" t="n">
        <f aca="false">IF(AND(L313&lt;L_rampe,Poussee&lt;Poids*SIN(M313)),0,(-W313+Poussee)/m*SIN(M313)+U313/m*COS(M313)-Poids/m)</f>
        <v>12.8124034089286</v>
      </c>
      <c r="F314" s="417" t="n">
        <f aca="false">SQRT(acc_x^2+acc_z^2)</f>
        <v>13.8508644578712</v>
      </c>
      <c r="G314" s="418" t="n">
        <f aca="false">G313+acc_x*pas</f>
        <v>44.5732815598422</v>
      </c>
      <c r="H314" s="419" t="n">
        <f aca="false">H313+acc_z*pas</f>
        <v>191.531043161012</v>
      </c>
      <c r="I314" s="417" t="n">
        <f aca="false">SQRT(vit_x^2+vit_z^2)</f>
        <v>196.649225585453</v>
      </c>
      <c r="J314" s="418" t="n">
        <f aca="false">J313+0.5*(vit_x+G313)*pas*(K313&gt;=0)</f>
        <v>76.1638053415692</v>
      </c>
      <c r="K314" s="419" t="n">
        <f aca="false">K313+0.5*(vit_z+H313)*pas</f>
        <v>351.069342107896</v>
      </c>
      <c r="L314" s="417" t="n">
        <f aca="false">SQRT(pos_x^2+pos_z^2)</f>
        <v>359.236145470051</v>
      </c>
      <c r="M314" s="418" t="n">
        <f aca="false">IF(AND(L313&gt;L_rampe,G314&gt;0),ATAN2(G314,H314),$M$4)</f>
        <v>1.34214525969654</v>
      </c>
      <c r="N314" s="417" t="n">
        <f aca="false">DEGREES(Beta)</f>
        <v>76.8992588741016</v>
      </c>
      <c r="O314" s="401"/>
      <c r="P314" s="420" t="n">
        <f aca="false">MATCH(t-pas/2-T_ini,CdP_t)</f>
        <v>8</v>
      </c>
      <c r="Q314" s="417" t="n">
        <f aca="false">(INDEX(CdP,2,i_P+1)-INDEX(CdP,2,i_P+0))/(INDEX(CdP,1,i_P+1)-INDEX(CdP,1,i_P+0))*(t-pas/2-T_ini-INDEX(CdP,1,i_P+0))+INDEX(CdP,2,i_P+0)</f>
        <v>312.652173913062</v>
      </c>
      <c r="R314" s="418" t="n">
        <f aca="false">Poussee/(g*ISP)</f>
        <v>0.156905559084224</v>
      </c>
      <c r="S314" s="419" t="n">
        <f aca="false">S313-Débit*pas</f>
        <v>7.41318690622866</v>
      </c>
      <c r="T314" s="417" t="n">
        <f aca="false">m*g</f>
        <v>72.7233635501032</v>
      </c>
      <c r="U314" s="421" t="n">
        <f aca="false">IF(pos_xz&lt;L_rampe,Poids*COS(Beta),0)</f>
        <v>0</v>
      </c>
      <c r="V314" s="418" t="n">
        <f aca="false">Rho_moyen*(20000-Alt_rampe-pos_z)/(20000+Alt_rampe+pos_z)</f>
        <v>1.18273588730374</v>
      </c>
      <c r="W314" s="417" t="n">
        <f aca="false">1/2*Rho*Sref*Cx*vit_xz^2</f>
        <v>140.639711795897</v>
      </c>
      <c r="X314" s="401"/>
      <c r="Y314" s="422" t="str">
        <f aca="false">IF(AND(pos_z&lt;=0,K313&gt;0),"Impact balistique","") &amp; IF(AND(H315&lt;0,vit_z&gt;=0),"Apogée","") &amp; IF(AND(Poussee=0,Q313&gt;0),"Fin de propulsion","") &amp; IF(AND(L315&gt;L_rampe,pos_xz&lt;=L_rampe),"Sortie de rampe","")</f>
        <v/>
      </c>
      <c r="Z314" s="423" t="str">
        <f aca="false">IF(ABS(t-T_para)&lt;pas/2,"Para","")</f>
        <v/>
      </c>
      <c r="AA314" s="424" t="str">
        <f aca="false">IF(ABS(t-T_satellite)&lt;pas/2,"Satellite","")</f>
        <v/>
      </c>
      <c r="AB314" s="412"/>
      <c r="AC314" s="420" t="e">
        <f aca="false">IF(ABS(t-ROUND(t,0))&lt;0.001,t,NA())</f>
        <v>#N/A</v>
      </c>
      <c r="AD314" s="425" t="e">
        <f aca="false">IF(ABS(t-ROUND(t,0))&lt;0.001,pos_x,NA())</f>
        <v>#N/A</v>
      </c>
      <c r="AE314" s="426" t="n">
        <f aca="false">IF(t&lt;T_para, pos_z, NA())</f>
        <v>351.069342107896</v>
      </c>
      <c r="AF314" s="412"/>
      <c r="AG314" s="418" t="n">
        <f aca="false">IF(AND(L313&lt;L_rampe,Poussee&lt;Poids*SIN(M313)),0,(-W313+Poussee)/m-Poids*SIN(M313)/m)</f>
        <v>13.6713924261364</v>
      </c>
      <c r="AH314" s="417" t="n">
        <f aca="false">IF(AND(L313&lt;L_rampe,Poussee&lt;Poids*SIN(M313)), g*SIN(M313), (-W313+Poussee)/m)</f>
        <v>23.2263191468967</v>
      </c>
    </row>
    <row r="315" customFormat="false" ht="12" hidden="false" customHeight="false" outlineLevel="0" collapsed="false">
      <c r="A315" s="416" t="n">
        <f aca="false">IF(B314+0.01&lt;=T_ini+ROUNDUP(Temps_fin_propu,0), 0.01, IF(K314&gt;0, 0.1, 0.0001))</f>
        <v>0.01</v>
      </c>
      <c r="B315" s="417" t="n">
        <f aca="false">B314+pas</f>
        <v>3.10999999999998</v>
      </c>
      <c r="C315" s="401"/>
      <c r="D315" s="418" t="n">
        <f aca="false">IF(AND(L314&lt;L_rampe,Poussee&lt;Poids*SIN(M314)),0,(-W314+Poussee)/m*COS(M314)-U314/m*SIN(M314))</f>
        <v>5.00520354903384</v>
      </c>
      <c r="E315" s="419" t="n">
        <f aca="false">IF(AND(L314&lt;L_rampe,Poussee&lt;Poids*SIN(M314)),0,(-W314+Poussee)/m*SIN(M314)+U314/m*COS(M314)-Poids/m)</f>
        <v>11.6973206062382</v>
      </c>
      <c r="F315" s="417" t="n">
        <f aca="false">SQRT(acc_x^2+acc_z^2)</f>
        <v>12.7231824608619</v>
      </c>
      <c r="G315" s="418" t="n">
        <f aca="false">G314+acc_x*pas</f>
        <v>44.6233335953326</v>
      </c>
      <c r="H315" s="419" t="n">
        <f aca="false">H314+acc_z*pas</f>
        <v>191.648016367074</v>
      </c>
      <c r="I315" s="417" t="n">
        <f aca="false">SQRT(vit_x^2+vit_z^2)</f>
        <v>196.774500580219</v>
      </c>
      <c r="J315" s="418" t="n">
        <f aca="false">J314+0.5*(vit_x+G314)*pas*(K314&gt;=0)</f>
        <v>76.6097884173451</v>
      </c>
      <c r="K315" s="419" t="n">
        <f aca="false">K314+0.5*(vit_z+H314)*pas</f>
        <v>352.985237405536</v>
      </c>
      <c r="L315" s="417" t="n">
        <f aca="false">SQRT(pos_x^2+pos_z^2)</f>
        <v>361.203041941224</v>
      </c>
      <c r="M315" s="418" t="n">
        <f aca="false">IF(AND(L314&gt;L_rampe,G315&gt;0),ATAN2(G315,H315),$M$4)</f>
        <v>1.34203225862603</v>
      </c>
      <c r="N315" s="417" t="n">
        <f aca="false">DEGREES(Beta)</f>
        <v>76.892784389681</v>
      </c>
      <c r="O315" s="401"/>
      <c r="P315" s="420" t="n">
        <f aca="false">MATCH(t-pas/2-T_ini,CdP_t)</f>
        <v>8</v>
      </c>
      <c r="Q315" s="417" t="n">
        <f aca="false">(INDEX(CdP,2,i_P+1)-INDEX(CdP,2,i_P+0))/(INDEX(CdP,1,i_P+1)-INDEX(CdP,1,i_P+0))*(t-pas/2-T_ini-INDEX(CdP,1,i_P+0))+INDEX(CdP,2,i_P+0)</f>
        <v>304.304347826106</v>
      </c>
      <c r="R315" s="418" t="n">
        <f aca="false">Poussee/(g*ISP)</f>
        <v>0.152716174110761</v>
      </c>
      <c r="S315" s="419" t="n">
        <f aca="false">S314-Débit*pas</f>
        <v>7.41165974448756</v>
      </c>
      <c r="T315" s="417" t="n">
        <f aca="false">m*g</f>
        <v>72.7083820934229</v>
      </c>
      <c r="U315" s="421" t="n">
        <f aca="false">IF(pos_xz&lt;L_rampe,Poids*COS(Beta),0)</f>
        <v>0</v>
      </c>
      <c r="V315" s="418" t="n">
        <f aca="false">Rho_moyen*(20000-Alt_rampe-pos_z)/(20000+Alt_rampe+pos_z)</f>
        <v>1.18250923898602</v>
      </c>
      <c r="W315" s="417" t="n">
        <f aca="false">1/2*Rho*Sref*Cx*vit_xz^2</f>
        <v>140.791972151452</v>
      </c>
      <c r="X315" s="401"/>
      <c r="Y315" s="422" t="str">
        <f aca="false">IF(AND(pos_z&lt;=0,K314&gt;0),"Impact balistique","") &amp; IF(AND(H316&lt;0,vit_z&gt;=0),"Apogée","") &amp; IF(AND(Poussee=0,Q314&gt;0),"Fin de propulsion","") &amp; IF(AND(L316&gt;L_rampe,pos_xz&lt;=L_rampe),"Sortie de rampe","")</f>
        <v/>
      </c>
      <c r="Z315" s="423" t="str">
        <f aca="false">IF(ABS(t-T_para)&lt;pas/2,"Para","")</f>
        <v/>
      </c>
      <c r="AA315" s="424" t="str">
        <f aca="false">IF(ABS(t-T_satellite)&lt;pas/2,"Satellite","")</f>
        <v/>
      </c>
      <c r="AB315" s="412"/>
      <c r="AC315" s="420" t="e">
        <f aca="false">IF(ABS(t-ROUND(t,0))&lt;0.001,t,NA())</f>
        <v>#N/A</v>
      </c>
      <c r="AD315" s="425" t="e">
        <f aca="false">IF(ABS(t-ROUND(t,0))&lt;0.001,pos_x,NA())</f>
        <v>#N/A</v>
      </c>
      <c r="AE315" s="426" t="n">
        <f aca="false">IF(t&lt;T_para, pos_z, NA())</f>
        <v>352.985237405536</v>
      </c>
      <c r="AF315" s="412"/>
      <c r="AG315" s="418" t="n">
        <f aca="false">IF(AND(L314&lt;L_rampe,Poussee&lt;Poids*SIN(M314)),0,(-W314+Poussee)/m-Poids*SIN(M314)/m)</f>
        <v>12.5273738435675</v>
      </c>
      <c r="AH315" s="417" t="n">
        <f aca="false">IF(AND(L314&lt;L_rampe,Poussee&lt;Poids*SIN(M314)), g*SIN(M314), (-W314+Poussee)/m)</f>
        <v>22.082049321265</v>
      </c>
    </row>
    <row r="316" customFormat="false" ht="12" hidden="false" customHeight="false" outlineLevel="0" collapsed="false">
      <c r="A316" s="416" t="n">
        <f aca="false">IF(B315+0.01&lt;=T_ini+ROUNDUP(Temps_fin_propu,0), 0.01, IF(K315&gt;0, 0.1, 0.0001))</f>
        <v>0.01</v>
      </c>
      <c r="B316" s="417" t="n">
        <f aca="false">B315+pas</f>
        <v>3.11999999999998</v>
      </c>
      <c r="C316" s="401"/>
      <c r="D316" s="418" t="n">
        <f aca="false">IF(AND(L315&lt;L_rampe,Poussee&lt;Poids*SIN(M315)),0,(-W315+Poussee)/m*COS(M315)-U315/m*SIN(M315))</f>
        <v>4.7485089804766</v>
      </c>
      <c r="E316" s="419" t="n">
        <f aca="false">IF(AND(L315&lt;L_rampe,Poussee&lt;Poids*SIN(M315)),0,(-W315+Poussee)/m*SIN(M315)+U315/m*COS(M315)-Poids/m)</f>
        <v>10.5838669186465</v>
      </c>
      <c r="F316" s="417" t="n">
        <f aca="false">SQRT(acc_x^2+acc_z^2)</f>
        <v>11.6002834659023</v>
      </c>
      <c r="G316" s="418" t="n">
        <f aca="false">G315+acc_x*pas</f>
        <v>44.6708186851373</v>
      </c>
      <c r="H316" s="419" t="n">
        <f aca="false">H315+acc_z*pas</f>
        <v>191.753855036261</v>
      </c>
      <c r="I316" s="417" t="n">
        <f aca="false">SQRT(vit_x^2+vit_z^2)</f>
        <v>196.888351517472</v>
      </c>
      <c r="J316" s="418" t="n">
        <f aca="false">J315+0.5*(vit_x+G315)*pas*(K315&gt;=0)</f>
        <v>77.0562591787474</v>
      </c>
      <c r="K316" s="419" t="n">
        <f aca="false">K315+0.5*(vit_z+H315)*pas</f>
        <v>354.902246762553</v>
      </c>
      <c r="L316" s="417" t="n">
        <f aca="false">SQRT(pos_x^2+pos_z^2)</f>
        <v>363.171132987921</v>
      </c>
      <c r="M316" s="418" t="n">
        <f aca="false">IF(AND(L315&gt;L_rampe,G316&gt;0),ATAN2(G316,H316),$M$4)</f>
        <v>1.34191926806165</v>
      </c>
      <c r="N316" s="417" t="n">
        <f aca="false">DEGREES(Beta)</f>
        <v>76.8863105072172</v>
      </c>
      <c r="O316" s="401"/>
      <c r="P316" s="420" t="n">
        <f aca="false">MATCH(t-pas/2-T_ini,CdP_t)</f>
        <v>8</v>
      </c>
      <c r="Q316" s="417" t="n">
        <f aca="false">(INDEX(CdP,2,i_P+1)-INDEX(CdP,2,i_P+0))/(INDEX(CdP,1,i_P+1)-INDEX(CdP,1,i_P+0))*(t-pas/2-T_ini-INDEX(CdP,1,i_P+0))+INDEX(CdP,2,i_P+0)</f>
        <v>295.956521739149</v>
      </c>
      <c r="R316" s="418" t="n">
        <f aca="false">Poussee/(g*ISP)</f>
        <v>0.148526789137299</v>
      </c>
      <c r="S316" s="419" t="n">
        <f aca="false">S315-Débit*pas</f>
        <v>7.41017447659618</v>
      </c>
      <c r="T316" s="417" t="n">
        <f aca="false">m*g</f>
        <v>72.6938116154086</v>
      </c>
      <c r="U316" s="421" t="n">
        <f aca="false">IF(pos_xz&lt;L_rampe,Poids*COS(Beta),0)</f>
        <v>0</v>
      </c>
      <c r="V316" s="418" t="n">
        <f aca="false">Rho_moyen*(20000-Alt_rampe-pos_z)/(20000+Alt_rampe+pos_z)</f>
        <v>1.18228250157986</v>
      </c>
      <c r="W316" s="417" t="n">
        <f aca="false">1/2*Rho*Sref*Cx*vit_xz^2</f>
        <v>140.927912694779</v>
      </c>
      <c r="X316" s="401"/>
      <c r="Y316" s="422" t="str">
        <f aca="false">IF(AND(pos_z&lt;=0,K315&gt;0),"Impact balistique","") &amp; IF(AND(H317&lt;0,vit_z&gt;=0),"Apogée","") &amp; IF(AND(Poussee=0,Q315&gt;0),"Fin de propulsion","") &amp; IF(AND(L317&gt;L_rampe,pos_xz&lt;=L_rampe),"Sortie de rampe","")</f>
        <v/>
      </c>
      <c r="Z316" s="423" t="str">
        <f aca="false">IF(ABS(t-T_para)&lt;pas/2,"Para","")</f>
        <v/>
      </c>
      <c r="AA316" s="424" t="str">
        <f aca="false">IF(ABS(t-T_satellite)&lt;pas/2,"Satellite","")</f>
        <v/>
      </c>
      <c r="AB316" s="412"/>
      <c r="AC316" s="420" t="e">
        <f aca="false">IF(ABS(t-ROUND(t,0))&lt;0.001,t,NA())</f>
        <v>#N/A</v>
      </c>
      <c r="AD316" s="425" t="e">
        <f aca="false">IF(ABS(t-ROUND(t,0))&lt;0.001,pos_x,NA())</f>
        <v>#N/A</v>
      </c>
      <c r="AE316" s="426" t="n">
        <f aca="false">IF(t&lt;T_para, pos_z, NA())</f>
        <v>354.902246762553</v>
      </c>
      <c r="AF316" s="412"/>
      <c r="AG316" s="418" t="n">
        <f aca="false">IF(AND(L315&lt;L_rampe,Poussee&lt;Poids*SIN(M315)),0,(-W315+Poussee)/m-Poids*SIN(M315)/m)</f>
        <v>11.384968042923</v>
      </c>
      <c r="AH316" s="417" t="n">
        <f aca="false">IF(AND(L315&lt;L_rampe,Poussee&lt;Poids*SIN(M315)), g*SIN(M315), (-W315+Poussee)/m)</f>
        <v>20.9393921934981</v>
      </c>
    </row>
    <row r="317" customFormat="false" ht="12" hidden="false" customHeight="false" outlineLevel="0" collapsed="false">
      <c r="A317" s="416" t="n">
        <f aca="false">IF(B316+0.01&lt;=T_ini+ROUNDUP(Temps_fin_propu,0), 0.01, IF(K316&gt;0, 0.1, 0.0001))</f>
        <v>0.01</v>
      </c>
      <c r="B317" s="417" t="n">
        <f aca="false">B316+pas</f>
        <v>3.12999999999998</v>
      </c>
      <c r="C317" s="401"/>
      <c r="D317" s="418" t="n">
        <f aca="false">IF(AND(L316&lt;L_rampe,Poussee&lt;Poids*SIN(M316)),0,(-W316+Poussee)/m*COS(M316)-U316/m*SIN(M316))</f>
        <v>4.49193306447753</v>
      </c>
      <c r="E317" s="419" t="n">
        <f aca="false">IF(AND(L316&lt;L_rampe,Poussee&lt;Poids*SIN(M316)),0,(-W316+Poussee)/m*SIN(M316)+U316/m*COS(M316)-Poids/m)</f>
        <v>9.47206169109216</v>
      </c>
      <c r="F317" s="417" t="n">
        <f aca="false">SQRT(acc_x^2+acc_z^2)</f>
        <v>10.4831968089702</v>
      </c>
      <c r="G317" s="418" t="n">
        <f aca="false">G316+acc_x*pas</f>
        <v>44.7157380157821</v>
      </c>
      <c r="H317" s="419" t="n">
        <f aca="false">H316+acc_z*pas</f>
        <v>191.848575653172</v>
      </c>
      <c r="I317" s="417" t="n">
        <f aca="false">SQRT(vit_x^2+vit_z^2)</f>
        <v>196.990794725152</v>
      </c>
      <c r="J317" s="418" t="n">
        <f aca="false">J316+0.5*(vit_x+G316)*pas*(K316&gt;=0)</f>
        <v>77.503191962252</v>
      </c>
      <c r="K317" s="419" t="n">
        <f aca="false">K316+0.5*(vit_z+H316)*pas</f>
        <v>356.820258916</v>
      </c>
      <c r="L317" s="417" t="n">
        <f aca="false">SQRT(pos_x^2+pos_z^2)</f>
        <v>365.140304454629</v>
      </c>
      <c r="M317" s="418" t="n">
        <f aca="false">IF(AND(L316&gt;L_rampe,G317&gt;0),ATAN2(G317,H317),$M$4)</f>
        <v>1.34180628145512</v>
      </c>
      <c r="N317" s="417" t="n">
        <f aca="false">DEGREES(Beta)</f>
        <v>76.8798368515215</v>
      </c>
      <c r="O317" s="401"/>
      <c r="P317" s="420" t="n">
        <f aca="false">MATCH(t-pas/2-T_ini,CdP_t)</f>
        <v>8</v>
      </c>
      <c r="Q317" s="417" t="n">
        <f aca="false">(INDEX(CdP,2,i_P+1)-INDEX(CdP,2,i_P+0))/(INDEX(CdP,1,i_P+1)-INDEX(CdP,1,i_P+0))*(t-pas/2-T_ini-INDEX(CdP,1,i_P+0))+INDEX(CdP,2,i_P+0)</f>
        <v>287.608695652193</v>
      </c>
      <c r="R317" s="418" t="n">
        <f aca="false">Poussee/(g*ISP)</f>
        <v>0.144337404163836</v>
      </c>
      <c r="S317" s="419" t="n">
        <f aca="false">S316-Débit*pas</f>
        <v>7.40873110255455</v>
      </c>
      <c r="T317" s="417" t="n">
        <f aca="false">m*g</f>
        <v>72.6796521160601</v>
      </c>
      <c r="U317" s="421" t="n">
        <f aca="false">IF(pos_xz&lt;L_rampe,Poids*COS(Beta),0)</f>
        <v>0</v>
      </c>
      <c r="V317" s="418" t="n">
        <f aca="false">Rho_moyen*(20000-Alt_rampe-pos_z)/(20000+Alt_rampe+pos_z)</f>
        <v>1.18205568830371</v>
      </c>
      <c r="W317" s="417" t="n">
        <f aca="false">1/2*Rho*Sref*Cx*vit_xz^2</f>
        <v>141.047539327122</v>
      </c>
      <c r="X317" s="401"/>
      <c r="Y317" s="422" t="str">
        <f aca="false">IF(AND(pos_z&lt;=0,K316&gt;0),"Impact balistique","") &amp; IF(AND(H318&lt;0,vit_z&gt;=0),"Apogée","") &amp; IF(AND(Poussee=0,Q316&gt;0),"Fin de propulsion","") &amp; IF(AND(L318&gt;L_rampe,pos_xz&lt;=L_rampe),"Sortie de rampe","")</f>
        <v/>
      </c>
      <c r="Z317" s="423" t="str">
        <f aca="false">IF(ABS(t-T_para)&lt;pas/2,"Para","")</f>
        <v/>
      </c>
      <c r="AA317" s="424" t="str">
        <f aca="false">IF(ABS(t-T_satellite)&lt;pas/2,"Satellite","")</f>
        <v/>
      </c>
      <c r="AB317" s="412"/>
      <c r="AC317" s="420" t="e">
        <f aca="false">IF(ABS(t-ROUND(t,0))&lt;0.001,t,NA())</f>
        <v>#N/A</v>
      </c>
      <c r="AD317" s="425" t="e">
        <f aca="false">IF(ABS(t-ROUND(t,0))&lt;0.001,pos_x,NA())</f>
        <v>#N/A</v>
      </c>
      <c r="AE317" s="426" t="n">
        <f aca="false">IF(t&lt;T_para, pos_z, NA())</f>
        <v>356.820258916</v>
      </c>
      <c r="AF317" s="412"/>
      <c r="AG317" s="418" t="n">
        <f aca="false">IF(AND(L316&lt;L_rampe,Poussee&lt;Poids*SIN(M316)),0,(-W316+Poussee)/m-Poids*SIN(M316)/m)</f>
        <v>10.2441950289693</v>
      </c>
      <c r="AH317" s="417" t="n">
        <f aca="false">IF(AND(L316&lt;L_rampe,Poussee&lt;Poids*SIN(M316)), g*SIN(M316), (-W316+Poussee)/m)</f>
        <v>19.7983677538031</v>
      </c>
    </row>
    <row r="318" customFormat="false" ht="12" hidden="false" customHeight="false" outlineLevel="0" collapsed="false">
      <c r="A318" s="416" t="n">
        <f aca="false">IF(B317+0.01&lt;=T_ini+ROUNDUP(Temps_fin_propu,0), 0.01, IF(K317&gt;0, 0.1, 0.0001))</f>
        <v>0.01</v>
      </c>
      <c r="B318" s="417" t="n">
        <f aca="false">B317+pas</f>
        <v>3.13999999999998</v>
      </c>
      <c r="C318" s="401"/>
      <c r="D318" s="418" t="n">
        <f aca="false">IF(AND(L317&lt;L_rampe,Poussee&lt;Poids*SIN(M317)),0,(-W317+Poussee)/m*COS(M317)-U317/m*SIN(M317))</f>
        <v>4.23548093437453</v>
      </c>
      <c r="E318" s="419" t="n">
        <f aca="false">IF(AND(L317&lt;L_rampe,Poussee&lt;Poids*SIN(M317)),0,(-W317+Poussee)/m*SIN(M317)+U317/m*COS(M317)-Poids/m)</f>
        <v>8.36192381302369</v>
      </c>
      <c r="F318" s="417" t="n">
        <f aca="false">SQRT(acc_x^2+acc_z^2)</f>
        <v>9.37342352613296</v>
      </c>
      <c r="G318" s="418" t="n">
        <f aca="false">G317+acc_x*pas</f>
        <v>44.7580928251258</v>
      </c>
      <c r="H318" s="419" t="n">
        <f aca="false">H317+acc_z*pas</f>
        <v>191.932194891302</v>
      </c>
      <c r="I318" s="417" t="n">
        <f aca="false">SQRT(vit_x^2+vit_z^2)</f>
        <v>197.08184672652</v>
      </c>
      <c r="J318" s="418" t="n">
        <f aca="false">J317+0.5*(vit_x+G317)*pas*(K317&gt;=0)</f>
        <v>77.9505611164566</v>
      </c>
      <c r="K318" s="419" t="n">
        <f aca="false">K317+0.5*(vit_z+H317)*pas</f>
        <v>358.739162768723</v>
      </c>
      <c r="L318" s="417" t="n">
        <f aca="false">SQRT(pos_x^2+pos_z^2)</f>
        <v>367.110442349948</v>
      </c>
      <c r="M318" s="418" t="n">
        <f aca="false">IF(AND(L317&gt;L_rampe,G318&gt;0),ATAN2(G318,H318),$M$4)</f>
        <v>1.34169329227536</v>
      </c>
      <c r="N318" s="417" t="n">
        <f aca="false">DEGREES(Beta)</f>
        <v>76.8733630483906</v>
      </c>
      <c r="O318" s="401"/>
      <c r="P318" s="420" t="n">
        <f aca="false">MATCH(t-pas/2-T_ini,CdP_t)</f>
        <v>8</v>
      </c>
      <c r="Q318" s="417" t="n">
        <f aca="false">(INDEX(CdP,2,i_P+1)-INDEX(CdP,2,i_P+0))/(INDEX(CdP,1,i_P+1)-INDEX(CdP,1,i_P+0))*(t-pas/2-T_ini-INDEX(CdP,1,i_P+0))+INDEX(CdP,2,i_P+0)</f>
        <v>279.260869565237</v>
      </c>
      <c r="R318" s="418" t="n">
        <f aca="false">Poussee/(g*ISP)</f>
        <v>0.140148019190374</v>
      </c>
      <c r="S318" s="419" t="n">
        <f aca="false">S317-Débit*pas</f>
        <v>7.40732962236264</v>
      </c>
      <c r="T318" s="417" t="n">
        <f aca="false">m*g</f>
        <v>72.6659035953775</v>
      </c>
      <c r="U318" s="421" t="n">
        <f aca="false">IF(pos_xz&lt;L_rampe,Poids*COS(Beta),0)</f>
        <v>0</v>
      </c>
      <c r="V318" s="418" t="n">
        <f aca="false">Rho_moyen*(20000-Alt_rampe-pos_z)/(20000+Alt_rampe+pos_z)</f>
        <v>1.18182881234656</v>
      </c>
      <c r="W318" s="417" t="n">
        <f aca="false">1/2*Rho*Sref*Cx*vit_xz^2</f>
        <v>141.150861131849</v>
      </c>
      <c r="X318" s="401"/>
      <c r="Y318" s="422" t="str">
        <f aca="false">IF(AND(pos_z&lt;=0,K317&gt;0),"Impact balistique","") &amp; IF(AND(H319&lt;0,vit_z&gt;=0),"Apogée","") &amp; IF(AND(Poussee=0,Q317&gt;0),"Fin de propulsion","") &amp; IF(AND(L319&gt;L_rampe,pos_xz&lt;=L_rampe),"Sortie de rampe","")</f>
        <v/>
      </c>
      <c r="Z318" s="423" t="str">
        <f aca="false">IF(ABS(t-T_para)&lt;pas/2,"Para","")</f>
        <v/>
      </c>
      <c r="AA318" s="424" t="str">
        <f aca="false">IF(ABS(t-T_satellite)&lt;pas/2,"Satellite","")</f>
        <v/>
      </c>
      <c r="AB318" s="412"/>
      <c r="AC318" s="420" t="e">
        <f aca="false">IF(ABS(t-ROUND(t,0))&lt;0.001,t,NA())</f>
        <v>#N/A</v>
      </c>
      <c r="AD318" s="425" t="e">
        <f aca="false">IF(ABS(t-ROUND(t,0))&lt;0.001,pos_x,NA())</f>
        <v>#N/A</v>
      </c>
      <c r="AE318" s="426" t="n">
        <f aca="false">IF(t&lt;T_para, pos_z, NA())</f>
        <v>358.739162768723</v>
      </c>
      <c r="AF318" s="412"/>
      <c r="AG318" s="418" t="n">
        <f aca="false">IF(AND(L317&lt;L_rampe,Poussee&lt;Poids*SIN(M317)),0,(-W317+Poussee)/m-Poids*SIN(M317)/m)</f>
        <v>9.10507433397474</v>
      </c>
      <c r="AH318" s="417" t="n">
        <f aca="false">IF(AND(L317&lt;L_rampe,Poussee&lt;Poids*SIN(M317)), g*SIN(M317), (-W317+Poussee)/m)</f>
        <v>18.6589955199037</v>
      </c>
    </row>
    <row r="319" customFormat="false" ht="12" hidden="false" customHeight="false" outlineLevel="0" collapsed="false">
      <c r="A319" s="416" t="n">
        <f aca="false">IF(B318+0.01&lt;=T_ini+ROUNDUP(Temps_fin_propu,0), 0.01, IF(K318&gt;0, 0.1, 0.0001))</f>
        <v>0.01</v>
      </c>
      <c r="B319" s="417" t="n">
        <f aca="false">B318+pas</f>
        <v>3.14999999999998</v>
      </c>
      <c r="C319" s="401"/>
      <c r="D319" s="418" t="n">
        <f aca="false">IF(AND(L318&lt;L_rampe,Poussee&lt;Poids*SIN(M318)),0,(-W318+Poussee)/m*COS(M318)-U318/m*SIN(M318))</f>
        <v>3.97915759573194</v>
      </c>
      <c r="E319" s="419" t="n">
        <f aca="false">IF(AND(L318&lt;L_rampe,Poussee&lt;Poids*SIN(M318)),0,(-W318+Poussee)/m*SIN(M318)+U318/m*COS(M318)-Poids/m)</f>
        <v>7.25347172010181</v>
      </c>
      <c r="F319" s="417" t="n">
        <f aca="false">SQRT(acc_x^2+acc_z^2)</f>
        <v>8.27324284461588</v>
      </c>
      <c r="G319" s="418" t="n">
        <f aca="false">G318+acc_x*pas</f>
        <v>44.7978844010832</v>
      </c>
      <c r="H319" s="419" t="n">
        <f aca="false">H318+acc_z*pas</f>
        <v>192.004729608503</v>
      </c>
      <c r="I319" s="417" t="n">
        <f aca="false">SQRT(vit_x^2+vit_z^2)</f>
        <v>197.161524235453</v>
      </c>
      <c r="J319" s="418" t="n">
        <f aca="false">J318+0.5*(vit_x+G318)*pas*(K318&gt;=0)</f>
        <v>78.3983410025876</v>
      </c>
      <c r="K319" s="419" t="n">
        <f aca="false">K318+0.5*(vit_z+H318)*pas</f>
        <v>360.658847391222</v>
      </c>
      <c r="L319" s="417" t="n">
        <f aca="false">SQRT(pos_x^2+pos_z^2)</f>
        <v>369.081432848528</v>
      </c>
      <c r="M319" s="418" t="n">
        <f aca="false">IF(AND(L318&gt;L_rampe,G319&gt;0),ATAN2(G319,H319),$M$4)</f>
        <v>1.34158029400631</v>
      </c>
      <c r="N319" s="417" t="n">
        <f aca="false">DEGREES(Beta)</f>
        <v>76.8668887244817</v>
      </c>
      <c r="O319" s="401"/>
      <c r="P319" s="420" t="n">
        <f aca="false">MATCH(t-pas/2-T_ini,CdP_t)</f>
        <v>8</v>
      </c>
      <c r="Q319" s="417" t="n">
        <f aca="false">(INDEX(CdP,2,i_P+1)-INDEX(CdP,2,i_P+0))/(INDEX(CdP,1,i_P+1)-INDEX(CdP,1,i_P+0))*(t-pas/2-T_ini-INDEX(CdP,1,i_P+0))+INDEX(CdP,2,i_P+0)</f>
        <v>270.91304347828</v>
      </c>
      <c r="R319" s="418" t="n">
        <f aca="false">Poussee/(g*ISP)</f>
        <v>0.135958634216911</v>
      </c>
      <c r="S319" s="419" t="n">
        <f aca="false">S318-Débit*pas</f>
        <v>7.40597003602047</v>
      </c>
      <c r="T319" s="417" t="n">
        <f aca="false">m*g</f>
        <v>72.6525660533608</v>
      </c>
      <c r="U319" s="421" t="n">
        <f aca="false">IF(pos_xz&lt;L_rampe,Poids*COS(Beta),0)</f>
        <v>0</v>
      </c>
      <c r="V319" s="418" t="n">
        <f aca="false">Rho_moyen*(20000-Alt_rampe-pos_z)/(20000+Alt_rampe+pos_z)</f>
        <v>1.18160188686764</v>
      </c>
      <c r="W319" s="417" t="n">
        <f aca="false">1/2*Rho*Sref*Cx*vit_xz^2</f>
        <v>141.237890349854</v>
      </c>
      <c r="X319" s="401"/>
      <c r="Y319" s="422" t="str">
        <f aca="false">IF(AND(pos_z&lt;=0,K318&gt;0),"Impact balistique","") &amp; IF(AND(H320&lt;0,vit_z&gt;=0),"Apogée","") &amp; IF(AND(Poussee=0,Q318&gt;0),"Fin de propulsion","") &amp; IF(AND(L320&gt;L_rampe,pos_xz&lt;=L_rampe),"Sortie de rampe","")</f>
        <v/>
      </c>
      <c r="Z319" s="423" t="str">
        <f aca="false">IF(ABS(t-T_para)&lt;pas/2,"Para","")</f>
        <v/>
      </c>
      <c r="AA319" s="424" t="str">
        <f aca="false">IF(ABS(t-T_satellite)&lt;pas/2,"Satellite","")</f>
        <v/>
      </c>
      <c r="AB319" s="412"/>
      <c r="AC319" s="420" t="e">
        <f aca="false">IF(ABS(t-ROUND(t,0))&lt;0.001,t,NA())</f>
        <v>#N/A</v>
      </c>
      <c r="AD319" s="425" t="e">
        <f aca="false">IF(ABS(t-ROUND(t,0))&lt;0.001,pos_x,NA())</f>
        <v>#N/A</v>
      </c>
      <c r="AE319" s="426" t="n">
        <f aca="false">IF(t&lt;T_para, pos_z, NA())</f>
        <v>360.658847391222</v>
      </c>
      <c r="AF319" s="412"/>
      <c r="AG319" s="418" t="n">
        <f aca="false">IF(AND(L318&lt;L_rampe,Poussee&lt;Poids*SIN(M318)),0,(-W318+Poussee)/m-Poids*SIN(M318)/m)</f>
        <v>7.96762501944531</v>
      </c>
      <c r="AH319" s="417" t="n">
        <f aca="false">IF(AND(L318&lt;L_rampe,Poussee&lt;Poids*SIN(M318)), g*SIN(M318), (-W318+Poussee)/m)</f>
        <v>17.5212945387715</v>
      </c>
    </row>
    <row r="320" customFormat="false" ht="12" hidden="false" customHeight="false" outlineLevel="0" collapsed="false">
      <c r="A320" s="416" t="n">
        <f aca="false">IF(B319+0.01&lt;=T_ini+ROUNDUP(Temps_fin_propu,0), 0.01, IF(K319&gt;0, 0.1, 0.0001))</f>
        <v>0.01</v>
      </c>
      <c r="B320" s="417" t="n">
        <f aca="false">B319+pas</f>
        <v>3.15999999999998</v>
      </c>
      <c r="C320" s="401"/>
      <c r="D320" s="418" t="n">
        <f aca="false">IF(AND(L319&lt;L_rampe,Poussee&lt;Poids*SIN(M319)),0,(-W319+Poussee)/m*COS(M319)-U319/m*SIN(M319))</f>
        <v>3.72296792672922</v>
      </c>
      <c r="E320" s="419" t="n">
        <f aca="false">IF(AND(L319&lt;L_rampe,Poussee&lt;Poids*SIN(M319)),0,(-W319+Poussee)/m*SIN(M319)+U319/m*COS(M319)-Poids/m)</f>
        <v>6.14672339597111</v>
      </c>
      <c r="F320" s="417" t="n">
        <f aca="false">SQRT(acc_x^2+acc_z^2)</f>
        <v>7.18628545842935</v>
      </c>
      <c r="G320" s="418" t="n">
        <f aca="false">G319+acc_x*pas</f>
        <v>44.8351140803505</v>
      </c>
      <c r="H320" s="419" t="n">
        <f aca="false">H319+acc_z*pas</f>
        <v>192.066196842463</v>
      </c>
      <c r="I320" s="417" t="n">
        <f aca="false">SQRT(vit_x^2+vit_z^2)</f>
        <v>197.229844151755</v>
      </c>
      <c r="J320" s="418" t="n">
        <f aca="false">J319+0.5*(vit_x+G319)*pas*(K319&gt;=0)</f>
        <v>78.8465059949948</v>
      </c>
      <c r="K320" s="419" t="n">
        <f aca="false">K319+0.5*(vit_z+H319)*pas</f>
        <v>362.579202023477</v>
      </c>
      <c r="L320" s="417" t="n">
        <f aca="false">SQRT(pos_x^2+pos_z^2)</f>
        <v>371.053162292952</v>
      </c>
      <c r="M320" s="418" t="n">
        <f aca="false">IF(AND(L319&gt;L_rampe,G320&gt;0),ATAN2(G320,H320),$M$4)</f>
        <v>1.34146728014476</v>
      </c>
      <c r="N320" s="417" t="n">
        <f aca="false">DEGREES(Beta)</f>
        <v>76.8604135071882</v>
      </c>
      <c r="O320" s="401"/>
      <c r="P320" s="420" t="n">
        <f aca="false">MATCH(t-pas/2-T_ini,CdP_t)</f>
        <v>8</v>
      </c>
      <c r="Q320" s="417" t="n">
        <f aca="false">(INDEX(CdP,2,i_P+1)-INDEX(CdP,2,i_P+0))/(INDEX(CdP,1,i_P+1)-INDEX(CdP,1,i_P+0))*(t-pas/2-T_ini-INDEX(CdP,1,i_P+0))+INDEX(CdP,2,i_P+0)</f>
        <v>262.565217391324</v>
      </c>
      <c r="R320" s="418" t="n">
        <f aca="false">Poussee/(g*ISP)</f>
        <v>0.131769249243449</v>
      </c>
      <c r="S320" s="419" t="n">
        <f aca="false">S319-Débit*pas</f>
        <v>7.40465234352804</v>
      </c>
      <c r="T320" s="417" t="n">
        <f aca="false">m*g</f>
        <v>72.6396394900101</v>
      </c>
      <c r="U320" s="421" t="n">
        <f aca="false">IF(pos_xz&lt;L_rampe,Poids*COS(Beta),0)</f>
        <v>0</v>
      </c>
      <c r="V320" s="418" t="n">
        <f aca="false">Rho_moyen*(20000-Alt_rampe-pos_z)/(20000+Alt_rampe+pos_z)</f>
        <v>1.18137492499628</v>
      </c>
      <c r="W320" s="417" t="n">
        <f aca="false">1/2*Rho*Sref*Cx*vit_xz^2</f>
        <v>141.308642354771</v>
      </c>
      <c r="X320" s="401"/>
      <c r="Y320" s="422" t="str">
        <f aca="false">IF(AND(pos_z&lt;=0,K319&gt;0),"Impact balistique","") &amp; IF(AND(H321&lt;0,vit_z&gt;=0),"Apogée","") &amp; IF(AND(Poussee=0,Q319&gt;0),"Fin de propulsion","") &amp; IF(AND(L321&gt;L_rampe,pos_xz&lt;=L_rampe),"Sortie de rampe","")</f>
        <v/>
      </c>
      <c r="Z320" s="423" t="str">
        <f aca="false">IF(ABS(t-T_para)&lt;pas/2,"Para","")</f>
        <v/>
      </c>
      <c r="AA320" s="424" t="str">
        <f aca="false">IF(ABS(t-T_satellite)&lt;pas/2,"Satellite","")</f>
        <v/>
      </c>
      <c r="AB320" s="412"/>
      <c r="AC320" s="420" t="e">
        <f aca="false">IF(ABS(t-ROUND(t,0))&lt;0.001,t,NA())</f>
        <v>#N/A</v>
      </c>
      <c r="AD320" s="425" t="e">
        <f aca="false">IF(ABS(t-ROUND(t,0))&lt;0.001,pos_x,NA())</f>
        <v>#N/A</v>
      </c>
      <c r="AE320" s="426" t="n">
        <f aca="false">IF(t&lt;T_para, pos_z, NA())</f>
        <v>362.579202023477</v>
      </c>
      <c r="AF320" s="412"/>
      <c r="AG320" s="418" t="n">
        <f aca="false">IF(AND(L319&lt;L_rampe,Poussee&lt;Poids*SIN(M319)),0,(-W319+Poussee)/m-Poids*SIN(M319)/m)</f>
        <v>6.83186567792844</v>
      </c>
      <c r="AH320" s="417" t="n">
        <f aca="false">IF(AND(L319&lt;L_rampe,Poussee&lt;Poids*SIN(M319)), g*SIN(M319), (-W319+Poussee)/m)</f>
        <v>16.3852833884247</v>
      </c>
    </row>
    <row r="321" customFormat="false" ht="12" hidden="false" customHeight="false" outlineLevel="0" collapsed="false">
      <c r="A321" s="416" t="n">
        <f aca="false">IF(B320+0.01&lt;=T_ini+ROUNDUP(Temps_fin_propu,0), 0.01, IF(K320&gt;0, 0.1, 0.0001))</f>
        <v>0.01</v>
      </c>
      <c r="B321" s="417" t="n">
        <f aca="false">B320+pas</f>
        <v>3.16999999999998</v>
      </c>
      <c r="C321" s="401"/>
      <c r="D321" s="418" t="n">
        <f aca="false">IF(AND(L320&lt;L_rampe,Poussee&lt;Poids*SIN(M320)),0,(-W320+Poussee)/m*COS(M320)-U320/m*SIN(M320))</f>
        <v>3.46691667855345</v>
      </c>
      <c r="E321" s="419" t="n">
        <f aca="false">IF(AND(L320&lt;L_rampe,Poussee&lt;Poids*SIN(M320)),0,(-W320+Poussee)/m*SIN(M320)+U320/m*COS(M320)-Poids/m)</f>
        <v>5.04169637409919</v>
      </c>
      <c r="F321" s="417" t="n">
        <f aca="false">SQRT(acc_x^2+acc_z^2)</f>
        <v>6.11867743753804</v>
      </c>
      <c r="G321" s="418" t="n">
        <f aca="false">G320+acc_x*pas</f>
        <v>44.869783247136</v>
      </c>
      <c r="H321" s="419" t="n">
        <f aca="false">H320+acc_z*pas</f>
        <v>192.116613806204</v>
      </c>
      <c r="I321" s="417" t="n">
        <f aca="false">SQRT(vit_x^2+vit_z^2)</f>
        <v>197.286823556483</v>
      </c>
      <c r="J321" s="418" t="n">
        <f aca="false">J320+0.5*(vit_x+G320)*pas*(K320&gt;=0)</f>
        <v>79.2950304816322</v>
      </c>
      <c r="K321" s="419" t="n">
        <f aca="false">K320+0.5*(vit_z+H320)*pas</f>
        <v>364.50011607672</v>
      </c>
      <c r="L321" s="417" t="n">
        <f aca="false">SQRT(pos_x^2+pos_z^2)</f>
        <v>373.025517195574</v>
      </c>
      <c r="M321" s="418" t="n">
        <f aca="false">IF(AND(L320&gt;L_rampe,G321&gt;0),ATAN2(G321,H321),$M$4)</f>
        <v>1.34135424419819</v>
      </c>
      <c r="N321" s="417" t="n">
        <f aca="false">DEGREES(Beta)</f>
        <v>76.8539370245169</v>
      </c>
      <c r="O321" s="401"/>
      <c r="P321" s="420" t="n">
        <f aca="false">MATCH(t-pas/2-T_ini,CdP_t)</f>
        <v>8</v>
      </c>
      <c r="Q321" s="417" t="n">
        <f aca="false">(INDEX(CdP,2,i_P+1)-INDEX(CdP,2,i_P+0))/(INDEX(CdP,1,i_P+1)-INDEX(CdP,1,i_P+0))*(t-pas/2-T_ini-INDEX(CdP,1,i_P+0))+INDEX(CdP,2,i_P+0)</f>
        <v>254.217391304368</v>
      </c>
      <c r="R321" s="418" t="n">
        <f aca="false">Poussee/(g*ISP)</f>
        <v>0.127579864269987</v>
      </c>
      <c r="S321" s="419" t="n">
        <f aca="false">S320-Débit*pas</f>
        <v>7.40337654488534</v>
      </c>
      <c r="T321" s="417" t="n">
        <f aca="false">m*g</f>
        <v>72.6271239053252</v>
      </c>
      <c r="U321" s="421" t="n">
        <f aca="false">IF(pos_xz&lt;L_rampe,Poids*COS(Beta),0)</f>
        <v>0</v>
      </c>
      <c r="V321" s="418" t="n">
        <f aca="false">Rho_moyen*(20000-Alt_rampe-pos_z)/(20000+Alt_rampe+pos_z)</f>
        <v>1.18114793983168</v>
      </c>
      <c r="W321" s="417" t="n">
        <f aca="false">1/2*Rho*Sref*Cx*vit_xz^2</f>
        <v>141.363135628022</v>
      </c>
      <c r="X321" s="401"/>
      <c r="Y321" s="422" t="str">
        <f aca="false">IF(AND(pos_z&lt;=0,K320&gt;0),"Impact balistique","") &amp; IF(AND(H322&lt;0,vit_z&gt;=0),"Apogée","") &amp; IF(AND(Poussee=0,Q320&gt;0),"Fin de propulsion","") &amp; IF(AND(L322&gt;L_rampe,pos_xz&lt;=L_rampe),"Sortie de rampe","")</f>
        <v/>
      </c>
      <c r="Z321" s="423" t="str">
        <f aca="false">IF(ABS(t-T_para)&lt;pas/2,"Para","")</f>
        <v/>
      </c>
      <c r="AA321" s="424" t="str">
        <f aca="false">IF(ABS(t-T_satellite)&lt;pas/2,"Satellite","")</f>
        <v/>
      </c>
      <c r="AB321" s="412"/>
      <c r="AC321" s="420" t="e">
        <f aca="false">IF(ABS(t-ROUND(t,0))&lt;0.001,t,NA())</f>
        <v>#N/A</v>
      </c>
      <c r="AD321" s="425" t="e">
        <f aca="false">IF(ABS(t-ROUND(t,0))&lt;0.001,pos_x,NA())</f>
        <v>#N/A</v>
      </c>
      <c r="AE321" s="426" t="n">
        <f aca="false">IF(t&lt;T_para, pos_z, NA())</f>
        <v>364.50011607672</v>
      </c>
      <c r="AF321" s="412"/>
      <c r="AG321" s="418" t="n">
        <f aca="false">IF(AND(L320&lt;L_rampe,Poussee&lt;Poids*SIN(M320)),0,(-W320+Poussee)/m-Poids*SIN(M320)/m)</f>
        <v>5.69781443488342</v>
      </c>
      <c r="AH321" s="417" t="n">
        <f aca="false">IF(AND(L320&lt;L_rampe,Poussee&lt;Poids*SIN(M320)), g*SIN(M320), (-W320+Poussee)/m)</f>
        <v>15.2509801797938</v>
      </c>
    </row>
    <row r="322" customFormat="false" ht="12" hidden="false" customHeight="false" outlineLevel="0" collapsed="false">
      <c r="A322" s="416" t="n">
        <f aca="false">IF(B321+0.01&lt;=T_ini+ROUNDUP(Temps_fin_propu,0), 0.01, IF(K321&gt;0, 0.1, 0.0001))</f>
        <v>0.01</v>
      </c>
      <c r="B322" s="417" t="n">
        <f aca="false">B321+pas</f>
        <v>3.17999999999998</v>
      </c>
      <c r="C322" s="401"/>
      <c r="D322" s="418" t="n">
        <f aca="false">IF(AND(L321&lt;L_rampe,Poussee&lt;Poids*SIN(M321)),0,(-W321+Poussee)/m*COS(M321)-U321/m*SIN(M321))</f>
        <v>3.211008475795</v>
      </c>
      <c r="E322" s="419" t="n">
        <f aca="false">IF(AND(L321&lt;L_rampe,Poussee&lt;Poids*SIN(M321)),0,(-W321+Poussee)/m*SIN(M321)+U321/m*COS(M321)-Poids/m)</f>
        <v>3.93840773968147</v>
      </c>
      <c r="F322" s="417" t="n">
        <f aca="false">SQRT(acc_x^2+acc_z^2)</f>
        <v>5.08149888867549</v>
      </c>
      <c r="G322" s="418" t="n">
        <f aca="false">G321+acc_x*pas</f>
        <v>44.9018933318939</v>
      </c>
      <c r="H322" s="419" t="n">
        <f aca="false">H321+acc_z*pas</f>
        <v>192.155997883601</v>
      </c>
      <c r="I322" s="417" t="n">
        <f aca="false">SQRT(vit_x^2+vit_z^2)</f>
        <v>197.332479707298</v>
      </c>
      <c r="J322" s="418" t="n">
        <f aca="false">J321+0.5*(vit_x+G321)*pas*(K321&gt;=0)</f>
        <v>79.7438888645274</v>
      </c>
      <c r="K322" s="419" t="n">
        <f aca="false">K321+0.5*(vit_z+H321)*pas</f>
        <v>366.421479135169</v>
      </c>
      <c r="L322" s="417" t="n">
        <f aca="false">SQRT(pos_x^2+pos_z^2)</f>
        <v>374.99838424031</v>
      </c>
      <c r="M322" s="418" t="n">
        <f aca="false">IF(AND(L321&gt;L_rampe,G322&gt;0),ATAN2(G322,H322),$M$4)</f>
        <v>1.34124117968268</v>
      </c>
      <c r="N322" s="417" t="n">
        <f aca="false">DEGREES(Beta)</f>
        <v>76.847458904965</v>
      </c>
      <c r="O322" s="401"/>
      <c r="P322" s="420" t="n">
        <f aca="false">MATCH(t-pas/2-T_ini,CdP_t)</f>
        <v>8</v>
      </c>
      <c r="Q322" s="417" t="n">
        <f aca="false">(INDEX(CdP,2,i_P+1)-INDEX(CdP,2,i_P+0))/(INDEX(CdP,1,i_P+1)-INDEX(CdP,1,i_P+0))*(t-pas/2-T_ini-INDEX(CdP,1,i_P+0))+INDEX(CdP,2,i_P+0)</f>
        <v>245.869565217411</v>
      </c>
      <c r="R322" s="418" t="n">
        <f aca="false">Poussee/(g*ISP)</f>
        <v>0.123390479296524</v>
      </c>
      <c r="S322" s="419" t="n">
        <f aca="false">S321-Débit*pas</f>
        <v>7.40214264009237</v>
      </c>
      <c r="T322" s="417" t="n">
        <f aca="false">m*g</f>
        <v>72.6150192993062</v>
      </c>
      <c r="U322" s="421" t="n">
        <f aca="false">IF(pos_xz&lt;L_rampe,Poids*COS(Beta),0)</f>
        <v>0</v>
      </c>
      <c r="V322" s="418" t="n">
        <f aca="false">Rho_moyen*(20000-Alt_rampe-pos_z)/(20000+Alt_rampe+pos_z)</f>
        <v>1.18092094444275</v>
      </c>
      <c r="W322" s="417" t="n">
        <f aca="false">1/2*Rho*Sref*Cx*vit_xz^2</f>
        <v>141.401391733697</v>
      </c>
      <c r="X322" s="401"/>
      <c r="Y322" s="422" t="str">
        <f aca="false">IF(AND(pos_z&lt;=0,K321&gt;0),"Impact balistique","") &amp; IF(AND(H323&lt;0,vit_z&gt;=0),"Apogée","") &amp; IF(AND(Poussee=0,Q321&gt;0),"Fin de propulsion","") &amp; IF(AND(L323&gt;L_rampe,pos_xz&lt;=L_rampe),"Sortie de rampe","")</f>
        <v/>
      </c>
      <c r="Z322" s="423" t="str">
        <f aca="false">IF(ABS(t-T_para)&lt;pas/2,"Para","")</f>
        <v/>
      </c>
      <c r="AA322" s="424" t="str">
        <f aca="false">IF(ABS(t-T_satellite)&lt;pas/2,"Satellite","")</f>
        <v/>
      </c>
      <c r="AB322" s="412"/>
      <c r="AC322" s="420" t="e">
        <f aca="false">IF(ABS(t-ROUND(t,0))&lt;0.001,t,NA())</f>
        <v>#N/A</v>
      </c>
      <c r="AD322" s="425" t="e">
        <f aca="false">IF(ABS(t-ROUND(t,0))&lt;0.001,pos_x,NA())</f>
        <v>#N/A</v>
      </c>
      <c r="AE322" s="426" t="n">
        <f aca="false">IF(t&lt;T_para, pos_z, NA())</f>
        <v>366.421479135169</v>
      </c>
      <c r="AF322" s="412"/>
      <c r="AG322" s="418" t="n">
        <f aca="false">IF(AND(L321&lt;L_rampe,Poussee&lt;Poids*SIN(M321)),0,(-W321+Poussee)/m-Poids*SIN(M321)/m)</f>
        <v>4.56548895061668</v>
      </c>
      <c r="AH322" s="417" t="n">
        <f aca="false">IF(AND(L321&lt;L_rampe,Poussee&lt;Poids*SIN(M321)), g*SIN(M321), (-W321+Poussee)/m)</f>
        <v>14.1184025586523</v>
      </c>
    </row>
    <row r="323" customFormat="false" ht="12" hidden="false" customHeight="false" outlineLevel="0" collapsed="false">
      <c r="A323" s="416" t="n">
        <f aca="false">IF(B322+0.01&lt;=T_ini+ROUNDUP(Temps_fin_propu,0), 0.01, IF(K322&gt;0, 0.1, 0.0001))</f>
        <v>0.01</v>
      </c>
      <c r="B323" s="417" t="n">
        <f aca="false">B322+pas</f>
        <v>3.18999999999998</v>
      </c>
      <c r="C323" s="401"/>
      <c r="D323" s="418" t="n">
        <f aca="false">IF(AND(L322&lt;L_rampe,Poussee&lt;Poids*SIN(M322)),0,(-W322+Poussee)/m*COS(M322)-U322/m*SIN(M322))</f>
        <v>2.95524781684642</v>
      </c>
      <c r="E323" s="419" t="n">
        <f aca="false">IF(AND(L322&lt;L_rampe,Poussee&lt;Poids*SIN(M322)),0,(-W322+Poussee)/m*SIN(M322)+U322/m*COS(M322)-Poids/m)</f>
        <v>2.83687413161033</v>
      </c>
      <c r="F323" s="417" t="n">
        <f aca="false">SQRT(acc_x^2+acc_z^2)</f>
        <v>4.09650393598924</v>
      </c>
      <c r="G323" s="418" t="n">
        <f aca="false">G322+acc_x*pas</f>
        <v>44.9314458100624</v>
      </c>
      <c r="H323" s="419" t="n">
        <f aca="false">H322+acc_z*pas</f>
        <v>192.184366624917</v>
      </c>
      <c r="I323" s="417" t="n">
        <f aca="false">SQRT(vit_x^2+vit_z^2)</f>
        <v>197.366830033831</v>
      </c>
      <c r="J323" s="418" t="n">
        <f aca="false">J322+0.5*(vit_x+G322)*pas*(K322&gt;=0)</f>
        <v>80.1930555602371</v>
      </c>
      <c r="K323" s="419" t="n">
        <f aca="false">K322+0.5*(vit_z+H322)*pas</f>
        <v>368.343180957711</v>
      </c>
      <c r="L323" s="417" t="n">
        <f aca="false">SQRT(pos_x^2+pos_z^2)</f>
        <v>376.971650284385</v>
      </c>
      <c r="M323" s="418" t="n">
        <f aca="false">IF(AND(L322&gt;L_rampe,G323&gt;0),ATAN2(G323,H323),$M$4)</f>
        <v>1.34112808012069</v>
      </c>
      <c r="N323" s="417" t="n">
        <f aca="false">DEGREES(Beta)</f>
        <v>76.8409787773986</v>
      </c>
      <c r="O323" s="401"/>
      <c r="P323" s="420" t="n">
        <f aca="false">MATCH(t-pas/2-T_ini,CdP_t)</f>
        <v>8</v>
      </c>
      <c r="Q323" s="417" t="n">
        <f aca="false">(INDEX(CdP,2,i_P+1)-INDEX(CdP,2,i_P+0))/(INDEX(CdP,1,i_P+1)-INDEX(CdP,1,i_P+0))*(t-pas/2-T_ini-INDEX(CdP,1,i_P+0))+INDEX(CdP,2,i_P+0)</f>
        <v>237.521739130455</v>
      </c>
      <c r="R323" s="418" t="n">
        <f aca="false">Poussee/(g*ISP)</f>
        <v>0.119201094323062</v>
      </c>
      <c r="S323" s="419" t="n">
        <f aca="false">S322-Débit*pas</f>
        <v>7.40095062914914</v>
      </c>
      <c r="T323" s="417" t="n">
        <f aca="false">m*g</f>
        <v>72.6033256719531</v>
      </c>
      <c r="U323" s="421" t="n">
        <f aca="false">IF(pos_xz&lt;L_rampe,Poids*COS(Beta),0)</f>
        <v>0</v>
      </c>
      <c r="V323" s="418" t="n">
        <f aca="false">Rho_moyen*(20000-Alt_rampe-pos_z)/(20000+Alt_rampe+pos_z)</f>
        <v>1.18069395186791</v>
      </c>
      <c r="W323" s="417" t="n">
        <f aca="false">1/2*Rho*Sref*Cx*vit_xz^2</f>
        <v>141.423435293294</v>
      </c>
      <c r="X323" s="401"/>
      <c r="Y323" s="422" t="str">
        <f aca="false">IF(AND(pos_z&lt;=0,K322&gt;0),"Impact balistique","") &amp; IF(AND(H324&lt;0,vit_z&gt;=0),"Apogée","") &amp; IF(AND(Poussee=0,Q322&gt;0),"Fin de propulsion","") &amp; IF(AND(L324&gt;L_rampe,pos_xz&lt;=L_rampe),"Sortie de rampe","")</f>
        <v/>
      </c>
      <c r="Z323" s="423" t="str">
        <f aca="false">IF(ABS(t-T_para)&lt;pas/2,"Para","")</f>
        <v/>
      </c>
      <c r="AA323" s="424" t="str">
        <f aca="false">IF(ABS(t-T_satellite)&lt;pas/2,"Satellite","")</f>
        <v/>
      </c>
      <c r="AB323" s="412"/>
      <c r="AC323" s="420" t="e">
        <f aca="false">IF(ABS(t-ROUND(t,0))&lt;0.001,t,NA())</f>
        <v>#N/A</v>
      </c>
      <c r="AD323" s="425" t="e">
        <f aca="false">IF(ABS(t-ROUND(t,0))&lt;0.001,pos_x,NA())</f>
        <v>#N/A</v>
      </c>
      <c r="AE323" s="426" t="n">
        <f aca="false">IF(t&lt;T_para, pos_z, NA())</f>
        <v>368.343180957711</v>
      </c>
      <c r="AF323" s="412"/>
      <c r="AG323" s="418" t="n">
        <f aca="false">IF(AND(L322&lt;L_rampe,Poussee&lt;Poids*SIN(M322)),0,(-W322+Poussee)/m-Poids*SIN(M322)/m)</f>
        <v>3.43490642228036</v>
      </c>
      <c r="AH323" s="417" t="n">
        <f aca="false">IF(AND(L322&lt;L_rampe,Poussee&lt;Poids*SIN(M322)), g*SIN(M322), (-W322+Poussee)/m)</f>
        <v>12.9875677076106</v>
      </c>
    </row>
    <row r="324" customFormat="false" ht="12" hidden="false" customHeight="false" outlineLevel="0" collapsed="false">
      <c r="A324" s="416" t="n">
        <f aca="false">IF(B323+0.01&lt;=T_ini+ROUNDUP(Temps_fin_propu,0), 0.01, IF(K323&gt;0, 0.1, 0.0001))</f>
        <v>0.01</v>
      </c>
      <c r="B324" s="417" t="n">
        <f aca="false">B323+pas</f>
        <v>3.19999999999998</v>
      </c>
      <c r="C324" s="401"/>
      <c r="D324" s="418" t="n">
        <f aca="false">IF(AND(L323&lt;L_rampe,Poussee&lt;Poids*SIN(M323)),0,(-W323+Poussee)/m*COS(M323)-U323/m*SIN(M323))</f>
        <v>2.69963907430422</v>
      </c>
      <c r="E324" s="419" t="n">
        <f aca="false">IF(AND(L323&lt;L_rampe,Poussee&lt;Poids*SIN(M323)),0,(-W323+Poussee)/m*SIN(M323)+U323/m*COS(M323)-Poids/m)</f>
        <v>1.73711174450657</v>
      </c>
      <c r="F324" s="417" t="n">
        <f aca="false">SQRT(acc_x^2+acc_z^2)</f>
        <v>3.21023493601524</v>
      </c>
      <c r="G324" s="418" t="n">
        <f aca="false">G323+acc_x*pas</f>
        <v>44.9584422008054</v>
      </c>
      <c r="H324" s="419" t="n">
        <f aca="false">H323+acc_z*pas</f>
        <v>192.201737742362</v>
      </c>
      <c r="I324" s="417" t="n">
        <f aca="false">SQRT(vit_x^2+vit_z^2)</f>
        <v>197.389892133074</v>
      </c>
      <c r="J324" s="418" t="n">
        <f aca="false">J323+0.5*(vit_x+G323)*pas*(K323&gt;=0)</f>
        <v>80.6425050002915</v>
      </c>
      <c r="K324" s="419" t="n">
        <f aca="false">K323+0.5*(vit_z+H323)*pas</f>
        <v>370.265111479548</v>
      </c>
      <c r="L324" s="417" t="n">
        <f aca="false">SQRT(pos_x^2+pos_z^2)</f>
        <v>378.94520236003</v>
      </c>
      <c r="M324" s="418" t="n">
        <f aca="false">IF(AND(L323&gt;L_rampe,G324&gt;0),ATAN2(G324,H324),$M$4)</f>
        <v>1.34101493903904</v>
      </c>
      <c r="N324" s="417" t="n">
        <f aca="false">DEGREES(Beta)</f>
        <v>76.8344962709306</v>
      </c>
      <c r="O324" s="401"/>
      <c r="P324" s="420" t="n">
        <f aca="false">MATCH(t-pas/2-T_ini,CdP_t)</f>
        <v>8</v>
      </c>
      <c r="Q324" s="417" t="n">
        <f aca="false">(INDEX(CdP,2,i_P+1)-INDEX(CdP,2,i_P+0))/(INDEX(CdP,1,i_P+1)-INDEX(CdP,1,i_P+0))*(t-pas/2-T_ini-INDEX(CdP,1,i_P+0))+INDEX(CdP,2,i_P+0)</f>
        <v>229.173913043499</v>
      </c>
      <c r="R324" s="418" t="n">
        <f aca="false">Poussee/(g*ISP)</f>
        <v>0.115011709349599</v>
      </c>
      <c r="S324" s="419" t="n">
        <f aca="false">S323-Débit*pas</f>
        <v>7.39980051205565</v>
      </c>
      <c r="T324" s="417" t="n">
        <f aca="false">m*g</f>
        <v>72.5920430232659</v>
      </c>
      <c r="U324" s="421" t="n">
        <f aca="false">IF(pos_xz&lt;L_rampe,Poids*COS(Beta),0)</f>
        <v>0</v>
      </c>
      <c r="V324" s="418" t="n">
        <f aca="false">Rho_moyen*(20000-Alt_rampe-pos_z)/(20000+Alt_rampe+pos_z)</f>
        <v>1.18046697511493</v>
      </c>
      <c r="W324" s="417" t="n">
        <f aca="false">1/2*Rho*Sref*Cx*vit_xz^2</f>
        <v>141.429293960312</v>
      </c>
      <c r="X324" s="401"/>
      <c r="Y324" s="422" t="str">
        <f aca="false">IF(AND(pos_z&lt;=0,K323&gt;0),"Impact balistique","") &amp; IF(AND(H325&lt;0,vit_z&gt;=0),"Apogée","") &amp; IF(AND(Poussee=0,Q323&gt;0),"Fin de propulsion","") &amp; IF(AND(L325&gt;L_rampe,pos_xz&lt;=L_rampe),"Sortie de rampe","")</f>
        <v/>
      </c>
      <c r="Z324" s="423" t="str">
        <f aca="false">IF(ABS(t-T_para)&lt;pas/2,"Para","")</f>
        <v/>
      </c>
      <c r="AA324" s="424" t="str">
        <f aca="false">IF(ABS(t-T_satellite)&lt;pas/2,"Satellite","")</f>
        <v/>
      </c>
      <c r="AB324" s="412"/>
      <c r="AC324" s="420" t="e">
        <f aca="false">IF(ABS(t-ROUND(t,0))&lt;0.001,t,NA())</f>
        <v>#N/A</v>
      </c>
      <c r="AD324" s="425" t="e">
        <f aca="false">IF(ABS(t-ROUND(t,0))&lt;0.001,pos_x,NA())</f>
        <v>#N/A</v>
      </c>
      <c r="AE324" s="426" t="n">
        <f aca="false">IF(t&lt;T_para, pos_z, NA())</f>
        <v>370.265111479548</v>
      </c>
      <c r="AF324" s="412"/>
      <c r="AG324" s="418" t="n">
        <f aca="false">IF(AND(L323&lt;L_rampe,Poussee&lt;Poids*SIN(M323)),0,(-W323+Poussee)/m-Poids*SIN(M323)/m)</f>
        <v>2.3060835859324</v>
      </c>
      <c r="AH324" s="417" t="n">
        <f aca="false">IF(AND(L323&lt;L_rampe,Poussee&lt;Poids*SIN(M323)), g*SIN(M323), (-W323+Poussee)/m)</f>
        <v>11.8584923481711</v>
      </c>
    </row>
    <row r="325" customFormat="false" ht="12" hidden="false" customHeight="false" outlineLevel="0" collapsed="false">
      <c r="A325" s="416" t="n">
        <f aca="false">IF(B324+0.01&lt;=T_ini+ROUNDUP(Temps_fin_propu,0), 0.01, IF(K324&gt;0, 0.1, 0.0001))</f>
        <v>0.01</v>
      </c>
      <c r="B325" s="417" t="n">
        <f aca="false">B324+pas</f>
        <v>3.20999999999998</v>
      </c>
      <c r="C325" s="401"/>
      <c r="D325" s="418" t="n">
        <f aca="false">IF(AND(L324&lt;L_rampe,Poussee&lt;Poids*SIN(M324)),0,(-W324+Poussee)/m*COS(M324)-U324/m*SIN(M324))</f>
        <v>2.48260719223553</v>
      </c>
      <c r="E325" s="419" t="n">
        <f aca="false">IF(AND(L324&lt;L_rampe,Poussee&lt;Poids*SIN(M324)),0,(-W324+Poussee)/m*SIN(M324)+U324/m*COS(M324)-Poids/m)</f>
        <v>0.803388567782863</v>
      </c>
      <c r="F325" s="417" t="n">
        <f aca="false">SQRT(acc_x^2+acc_z^2)</f>
        <v>2.60936230941274</v>
      </c>
      <c r="G325" s="418" t="n">
        <f aca="false">G324+acc_x*pas</f>
        <v>44.9832682727278</v>
      </c>
      <c r="H325" s="419" t="n">
        <f aca="false">H324+acc_z*pas</f>
        <v>192.20977162804</v>
      </c>
      <c r="I325" s="417" t="n">
        <f aca="false">SQRT(vit_x^2+vit_z^2)</f>
        <v>197.40337062421</v>
      </c>
      <c r="J325" s="418" t="n">
        <f aca="false">J324+0.5*(vit_x+G324)*pas*(K324&gt;=0)</f>
        <v>81.0922135526592</v>
      </c>
      <c r="K325" s="419" t="n">
        <f aca="false">K324+0.5*(vit_z+H324)*pas</f>
        <v>372.1871690264</v>
      </c>
      <c r="L325" s="417" t="n">
        <f aca="false">SQRT(pos_x^2+pos_z^2)</f>
        <v>380.918936109451</v>
      </c>
      <c r="M325" s="418" t="n">
        <f aca="false">IF(AND(L324&gt;L_rampe,G325&gt;0),ATAN2(G325,H325),$M$4)</f>
        <v>1.34090175093396</v>
      </c>
      <c r="N325" s="417" t="n">
        <f aca="false">DEGREES(Beta)</f>
        <v>76.8280110702183</v>
      </c>
      <c r="O325" s="401"/>
      <c r="P325" s="420" t="n">
        <f aca="false">MATCH(t-pas/2-T_ini,CdP_t)</f>
        <v>9</v>
      </c>
      <c r="Q325" s="417" t="n">
        <f aca="false">(INDEX(CdP,2,i_P+1)-INDEX(CdP,2,i_P+0))/(INDEX(CdP,1,i_P+1)-INDEX(CdP,1,i_P+0))*(t-pas/2-T_ini-INDEX(CdP,1,i_P+0))+INDEX(CdP,2,i_P+0)</f>
        <v>222.074074074088</v>
      </c>
      <c r="R325" s="418" t="n">
        <f aca="false">Poussee/(g*ISP)</f>
        <v>0.111448630964566</v>
      </c>
      <c r="S325" s="419" t="n">
        <f aca="false">S324-Débit*pas</f>
        <v>7.398686025746</v>
      </c>
      <c r="T325" s="417" t="n">
        <f aca="false">m*g</f>
        <v>72.5811099125683</v>
      </c>
      <c r="U325" s="421" t="n">
        <f aca="false">IF(pos_xz&lt;L_rampe,Poids*COS(Beta),0)</f>
        <v>0</v>
      </c>
      <c r="V325" s="418" t="n">
        <f aca="false">Rho_moyen*(20000-Alt_rampe-pos_z)/(20000+Alt_rampe+pos_z)</f>
        <v>1.18024002619115</v>
      </c>
      <c r="W325" s="417" t="n">
        <f aca="false">1/2*Rho*Sref*Cx*vit_xz^2</f>
        <v>141.421415228422</v>
      </c>
      <c r="X325" s="401"/>
      <c r="Y325" s="422" t="str">
        <f aca="false">IF(AND(pos_z&lt;=0,K324&gt;0),"Impact balistique","") &amp; IF(AND(H326&lt;0,vit_z&gt;=0),"Apogée","") &amp; IF(AND(Poussee=0,Q324&gt;0),"Fin de propulsion","") &amp; IF(AND(L326&gt;L_rampe,pos_xz&lt;=L_rampe),"Sortie de rampe","")</f>
        <v/>
      </c>
      <c r="Z325" s="423" t="str">
        <f aca="false">IF(ABS(t-T_para)&lt;pas/2,"Para","")</f>
        <v/>
      </c>
      <c r="AA325" s="424" t="str">
        <f aca="false">IF(ABS(t-T_satellite)&lt;pas/2,"Satellite","")</f>
        <v/>
      </c>
      <c r="AB325" s="412"/>
      <c r="AC325" s="420" t="e">
        <f aca="false">IF(ABS(t-ROUND(t,0))&lt;0.001,t,NA())</f>
        <v>#N/A</v>
      </c>
      <c r="AD325" s="425" t="e">
        <f aca="false">IF(ABS(t-ROUND(t,0))&lt;0.001,pos_x,NA())</f>
        <v>#N/A</v>
      </c>
      <c r="AE325" s="426" t="n">
        <f aca="false">IF(t&lt;T_para, pos_z, NA())</f>
        <v>372.1871690264</v>
      </c>
      <c r="AF325" s="412"/>
      <c r="AG325" s="418" t="n">
        <f aca="false">IF(AND(L324&lt;L_rampe,Poussee&lt;Poids*SIN(M324)),0,(-W324+Poussee)/m-Poids*SIN(M324)/m)</f>
        <v>1.34772266145366</v>
      </c>
      <c r="AH325" s="417" t="n">
        <f aca="false">IF(AND(L324&lt;L_rampe,Poussee&lt;Poids*SIN(M324)), g*SIN(M324), (-W324+Poussee)/m)</f>
        <v>10.8998786856407</v>
      </c>
    </row>
    <row r="326" customFormat="false" ht="12" hidden="false" customHeight="false" outlineLevel="0" collapsed="false">
      <c r="A326" s="416" t="n">
        <f aca="false">IF(B325+0.01&lt;=T_ini+ROUNDUP(Temps_fin_propu,0), 0.01, IF(K325&gt;0, 0.1, 0.0001))</f>
        <v>0.01</v>
      </c>
      <c r="B326" s="417" t="n">
        <f aca="false">B325+pas</f>
        <v>3.21999999999998</v>
      </c>
      <c r="C326" s="401"/>
      <c r="D326" s="418" t="n">
        <f aca="false">IF(AND(L325&lt;L_rampe,Poussee&lt;Poids*SIN(M325)),0,(-W325+Poussee)/m*COS(M325)-U325/m*SIN(M325))</f>
        <v>2.30415572659409</v>
      </c>
      <c r="E326" s="419" t="n">
        <f aca="false">IF(AND(L325&lt;L_rampe,Poussee&lt;Poids*SIN(M325)),0,(-W325+Poussee)/m*SIN(M325)+U325/m*COS(M325)-Poids/m)</f>
        <v>0.0354661701981716</v>
      </c>
      <c r="F326" s="417" t="n">
        <f aca="false">SQRT(acc_x^2+acc_z^2)</f>
        <v>2.30442866273289</v>
      </c>
      <c r="G326" s="418" t="n">
        <f aca="false">G325+acc_x*pas</f>
        <v>45.0063098299937</v>
      </c>
      <c r="H326" s="419" t="n">
        <f aca="false">H325+acc_z*pas</f>
        <v>192.210126289742</v>
      </c>
      <c r="I326" s="417" t="n">
        <f aca="false">SQRT(vit_x^2+vit_z^2)</f>
        <v>197.408967812589</v>
      </c>
      <c r="J326" s="418" t="n">
        <f aca="false">J325+0.5*(vit_x+G325)*pas*(K325&gt;=0)</f>
        <v>81.5421614431728</v>
      </c>
      <c r="K326" s="419" t="n">
        <f aca="false">K325+0.5*(vit_z+H325)*pas</f>
        <v>374.109268515989</v>
      </c>
      <c r="L326" s="417" t="n">
        <f aca="false">SQRT(pos_x^2+pos_z^2)</f>
        <v>382.892764207412</v>
      </c>
      <c r="M326" s="418" t="n">
        <f aca="false">IF(AND(L325&gt;L_rampe,G326&gt;0),ATAN2(G326,H326),$M$4)</f>
        <v>1.34078851126979</v>
      </c>
      <c r="N326" s="417" t="n">
        <f aca="false">DEGREES(Beta)</f>
        <v>76.8215229153879</v>
      </c>
      <c r="O326" s="401"/>
      <c r="P326" s="420" t="n">
        <f aca="false">MATCH(t-pas/2-T_ini,CdP_t)</f>
        <v>9</v>
      </c>
      <c r="Q326" s="417" t="n">
        <f aca="false">(INDEX(CdP,2,i_P+1)-INDEX(CdP,2,i_P+0))/(INDEX(CdP,1,i_P+1)-INDEX(CdP,1,i_P+0))*(t-pas/2-T_ini-INDEX(CdP,1,i_P+0))+INDEX(CdP,2,i_P+0)</f>
        <v>216.222222222237</v>
      </c>
      <c r="R326" s="418" t="n">
        <f aca="false">Poussee/(g*ISP)</f>
        <v>0.108511859167968</v>
      </c>
      <c r="S326" s="419" t="n">
        <f aca="false">S325-Débit*pas</f>
        <v>7.39760090715432</v>
      </c>
      <c r="T326" s="417" t="n">
        <f aca="false">m*g</f>
        <v>72.5704648991839</v>
      </c>
      <c r="U326" s="421" t="n">
        <f aca="false">IF(pos_xz&lt;L_rampe,Poids*COS(Beta),0)</f>
        <v>0</v>
      </c>
      <c r="V326" s="418" t="n">
        <f aca="false">Rho_moyen*(20000-Alt_rampe-pos_z)/(20000+Alt_rampe+pos_z)</f>
        <v>1.18001311513625</v>
      </c>
      <c r="W326" s="417" t="n">
        <f aca="false">1/2*Rho*Sref*Cx*vit_xz^2</f>
        <v>141.402244090253</v>
      </c>
      <c r="X326" s="401"/>
      <c r="Y326" s="422" t="str">
        <f aca="false">IF(AND(pos_z&lt;=0,K325&gt;0),"Impact balistique","") &amp; IF(AND(H327&lt;0,vit_z&gt;=0),"Apogée","") &amp; IF(AND(Poussee=0,Q325&gt;0),"Fin de propulsion","") &amp; IF(AND(L327&gt;L_rampe,pos_xz&lt;=L_rampe),"Sortie de rampe","")</f>
        <v/>
      </c>
      <c r="Z326" s="423" t="str">
        <f aca="false">IF(ABS(t-T_para)&lt;pas/2,"Para","")</f>
        <v/>
      </c>
      <c r="AA326" s="424" t="str">
        <f aca="false">IF(ABS(t-T_satellite)&lt;pas/2,"Satellite","")</f>
        <v/>
      </c>
      <c r="AB326" s="412"/>
      <c r="AC326" s="420" t="e">
        <f aca="false">IF(ABS(t-ROUND(t,0))&lt;0.001,t,NA())</f>
        <v>#N/A</v>
      </c>
      <c r="AD326" s="425" t="e">
        <f aca="false">IF(ABS(t-ROUND(t,0))&lt;0.001,pos_x,NA())</f>
        <v>#N/A</v>
      </c>
      <c r="AE326" s="426" t="n">
        <f aca="false">IF(t&lt;T_para, pos_z, NA())</f>
        <v>374.109268515989</v>
      </c>
      <c r="AF326" s="412"/>
      <c r="AG326" s="418" t="n">
        <f aca="false">IF(AND(L325&lt;L_rampe,Poussee&lt;Poids*SIN(M325)),0,(-W325+Poussee)/m-Poids*SIN(M325)/m)</f>
        <v>0.559592266922964</v>
      </c>
      <c r="AH326" s="417" t="n">
        <f aca="false">IF(AND(L325&lt;L_rampe,Poussee&lt;Poids*SIN(M325)), g*SIN(M325), (-W325+Poussee)/m)</f>
        <v>10.1114953256634</v>
      </c>
    </row>
    <row r="327" customFormat="false" ht="12" hidden="false" customHeight="false" outlineLevel="0" collapsed="false">
      <c r="A327" s="416" t="n">
        <f aca="false">IF(B326+0.01&lt;=T_ini+ROUNDUP(Temps_fin_propu,0), 0.01, IF(K326&gt;0, 0.1, 0.0001))</f>
        <v>0.01</v>
      </c>
      <c r="B327" s="417" t="n">
        <f aca="false">B326+pas</f>
        <v>3.22999999999998</v>
      </c>
      <c r="C327" s="401"/>
      <c r="D327" s="418" t="n">
        <f aca="false">IF(AND(L326&lt;L_rampe,Poussee&lt;Poids*SIN(M326)),0,(-W326+Poussee)/m*COS(M326)-U326/m*SIN(M326))</f>
        <v>2.12581781456464</v>
      </c>
      <c r="E327" s="419" t="n">
        <f aca="false">IF(AND(L326&lt;L_rampe,Poussee&lt;Poids*SIN(M326)),0,(-W326+Poussee)/m*SIN(M326)+U326/m*COS(M326)-Poids/m)</f>
        <v>-0.731190558614884</v>
      </c>
      <c r="F327" s="417" t="n">
        <f aca="false">SQRT(acc_x^2+acc_z^2)</f>
        <v>2.24805271595839</v>
      </c>
      <c r="G327" s="418" t="n">
        <f aca="false">G326+acc_x*pas</f>
        <v>45.0275680081394</v>
      </c>
      <c r="H327" s="419" t="n">
        <f aca="false">H326+acc_z*pas</f>
        <v>192.202814384155</v>
      </c>
      <c r="I327" s="417" t="n">
        <f aca="false">SQRT(vit_x^2+vit_z^2)</f>
        <v>197.406696284391</v>
      </c>
      <c r="J327" s="418" t="n">
        <f aca="false">J326+0.5*(vit_x+G326)*pas*(K326&gt;=0)</f>
        <v>81.9923308323634</v>
      </c>
      <c r="K327" s="419" t="n">
        <f aca="false">K326+0.5*(vit_z+H326)*pas</f>
        <v>376.031333219358</v>
      </c>
      <c r="L327" s="417" t="n">
        <f aca="false">SQRT(pos_x^2+pos_z^2)</f>
        <v>384.866607902078</v>
      </c>
      <c r="M327" s="418" t="n">
        <f aca="false">IF(AND(L326&gt;L_rampe,G327&gt;0),ATAN2(G327,H327),$M$4)</f>
        <v>1.34067521551012</v>
      </c>
      <c r="N327" s="417" t="n">
        <f aca="false">DEGREES(Beta)</f>
        <v>76.8150315465222</v>
      </c>
      <c r="O327" s="401"/>
      <c r="P327" s="420" t="n">
        <f aca="false">MATCH(t-pas/2-T_ini,CdP_t)</f>
        <v>9</v>
      </c>
      <c r="Q327" s="417" t="n">
        <f aca="false">(INDEX(CdP,2,i_P+1)-INDEX(CdP,2,i_P+0))/(INDEX(CdP,1,i_P+1)-INDEX(CdP,1,i_P+0))*(t-pas/2-T_ini-INDEX(CdP,1,i_P+0))+INDEX(CdP,2,i_P+0)</f>
        <v>210.370370370385</v>
      </c>
      <c r="R327" s="418" t="n">
        <f aca="false">Poussee/(g*ISP)</f>
        <v>0.105575087371371</v>
      </c>
      <c r="S327" s="419" t="n">
        <f aca="false">S326-Débit*pas</f>
        <v>7.39654515628061</v>
      </c>
      <c r="T327" s="417" t="n">
        <f aca="false">m*g</f>
        <v>72.5601079831128</v>
      </c>
      <c r="U327" s="421" t="n">
        <f aca="false">IF(pos_xz&lt;L_rampe,Poids*COS(Beta),0)</f>
        <v>0</v>
      </c>
      <c r="V327" s="418" t="n">
        <f aca="false">Rho_moyen*(20000-Alt_rampe-pos_z)/(20000+Alt_rampe+pos_z)</f>
        <v>1.17978625099651</v>
      </c>
      <c r="W327" s="417" t="n">
        <f aca="false">1/2*Rho*Sref*Cx*vit_xz^2</f>
        <v>141.371805210207</v>
      </c>
      <c r="X327" s="401"/>
      <c r="Y327" s="422" t="str">
        <f aca="false">IF(AND(pos_z&lt;=0,K326&gt;0),"Impact balistique","") &amp; IF(AND(H328&lt;0,vit_z&gt;=0),"Apogée","") &amp; IF(AND(Poussee=0,Q326&gt;0),"Fin de propulsion","") &amp; IF(AND(L328&gt;L_rampe,pos_xz&lt;=L_rampe),"Sortie de rampe","")</f>
        <v/>
      </c>
      <c r="Z327" s="423" t="str">
        <f aca="false">IF(ABS(t-T_para)&lt;pas/2,"Para","")</f>
        <v/>
      </c>
      <c r="AA327" s="424" t="str">
        <f aca="false">IF(ABS(t-T_satellite)&lt;pas/2,"Satellite","")</f>
        <v/>
      </c>
      <c r="AB327" s="412"/>
      <c r="AC327" s="420" t="e">
        <f aca="false">IF(ABS(t-ROUND(t,0))&lt;0.001,t,NA())</f>
        <v>#N/A</v>
      </c>
      <c r="AD327" s="425" t="e">
        <f aca="false">IF(ABS(t-ROUND(t,0))&lt;0.001,pos_x,NA())</f>
        <v>#N/A</v>
      </c>
      <c r="AE327" s="426" t="n">
        <f aca="false">IF(t&lt;T_para, pos_z, NA())</f>
        <v>376.031333219358</v>
      </c>
      <c r="AF327" s="412"/>
      <c r="AG327" s="418" t="n">
        <f aca="false">IF(AND(L326&lt;L_rampe,Poussee&lt;Poids*SIN(M326)),0,(-W326+Poussee)/m-Poids*SIN(M326)/m)</f>
        <v>-0.227279514735177</v>
      </c>
      <c r="AH327" s="417" t="n">
        <f aca="false">IF(AND(L326&lt;L_rampe,Poussee&lt;Poids*SIN(M326)), g*SIN(M326), (-W326+Poussee)/m)</f>
        <v>9.32437034087042</v>
      </c>
    </row>
    <row r="328" customFormat="false" ht="12" hidden="false" customHeight="false" outlineLevel="0" collapsed="false">
      <c r="A328" s="416" t="n">
        <f aca="false">IF(B327+0.01&lt;=T_ini+ROUNDUP(Temps_fin_propu,0), 0.01, IF(K327&gt;0, 0.1, 0.0001))</f>
        <v>0.01</v>
      </c>
      <c r="B328" s="417" t="n">
        <f aca="false">B327+pas</f>
        <v>3.23999999999998</v>
      </c>
      <c r="C328" s="401"/>
      <c r="D328" s="418" t="n">
        <f aca="false">IF(AND(L327&lt;L_rampe,Poussee&lt;Poids*SIN(M327)),0,(-W327+Poussee)/m*COS(M327)-U327/m*SIN(M327))</f>
        <v>1.94759529948512</v>
      </c>
      <c r="E328" s="419" t="n">
        <f aca="false">IF(AND(L327&lt;L_rampe,Poussee&lt;Poids*SIN(M327)),0,(-W327+Poussee)/m*SIN(M327)+U327/m*COS(M327)-Poids/m)</f>
        <v>-1.496575260411</v>
      </c>
      <c r="F328" s="417" t="n">
        <f aca="false">SQRT(acc_x^2+acc_z^2)</f>
        <v>2.45618911337274</v>
      </c>
      <c r="G328" s="418" t="n">
        <f aca="false">G327+acc_x*pas</f>
        <v>45.0470439611342</v>
      </c>
      <c r="H328" s="419" t="n">
        <f aca="false">H327+acc_z*pas</f>
        <v>192.187848631551</v>
      </c>
      <c r="I328" s="417" t="n">
        <f aca="false">SQRT(vit_x^2+vit_z^2)</f>
        <v>197.396568691709</v>
      </c>
      <c r="J328" s="418" t="n">
        <f aca="false">J327+0.5*(vit_x+G327)*pas*(K327&gt;=0)</f>
        <v>82.4427038922098</v>
      </c>
      <c r="K328" s="419" t="n">
        <f aca="false">K327+0.5*(vit_z+H327)*pas</f>
        <v>377.953286534437</v>
      </c>
      <c r="L328" s="417" t="n">
        <f aca="false">SQRT(pos_x^2+pos_z^2)</f>
        <v>386.840388567741</v>
      </c>
      <c r="M328" s="418" t="n">
        <f aca="false">IF(AND(L327&gt;L_rampe,G328&gt;0),ATAN2(G328,H328),$M$4)</f>
        <v>1.34056185911676</v>
      </c>
      <c r="N328" s="417" t="n">
        <f aca="false">DEGREES(Beta)</f>
        <v>76.8085367036015</v>
      </c>
      <c r="O328" s="401"/>
      <c r="P328" s="420" t="n">
        <f aca="false">MATCH(t-pas/2-T_ini,CdP_t)</f>
        <v>9</v>
      </c>
      <c r="Q328" s="417" t="n">
        <f aca="false">(INDEX(CdP,2,i_P+1)-INDEX(CdP,2,i_P+0))/(INDEX(CdP,1,i_P+1)-INDEX(CdP,1,i_P+0))*(t-pas/2-T_ini-INDEX(CdP,1,i_P+0))+INDEX(CdP,2,i_P+0)</f>
        <v>204.518518518533</v>
      </c>
      <c r="R328" s="418" t="n">
        <f aca="false">Poussee/(g*ISP)</f>
        <v>0.102638315574773</v>
      </c>
      <c r="S328" s="419" t="n">
        <f aca="false">S327-Débit*pas</f>
        <v>7.39551877312486</v>
      </c>
      <c r="T328" s="417" t="n">
        <f aca="false">m*g</f>
        <v>72.5500391643549</v>
      </c>
      <c r="U328" s="421" t="n">
        <f aca="false">IF(pos_xz&lt;L_rampe,Poids*COS(Beta),0)</f>
        <v>0</v>
      </c>
      <c r="V328" s="418" t="n">
        <f aca="false">Rho_moyen*(20000-Alt_rampe-pos_z)/(20000+Alt_rampe+pos_z)</f>
        <v>1.17955944279638</v>
      </c>
      <c r="W328" s="417" t="n">
        <f aca="false">1/2*Rho*Sref*Cx*vit_xz^2</f>
        <v>141.330124676775</v>
      </c>
      <c r="X328" s="401"/>
      <c r="Y328" s="422" t="str">
        <f aca="false">IF(AND(pos_z&lt;=0,K327&gt;0),"Impact balistique","") &amp; IF(AND(H329&lt;0,vit_z&gt;=0),"Apogée","") &amp; IF(AND(Poussee=0,Q327&gt;0),"Fin de propulsion","") &amp; IF(AND(L329&gt;L_rampe,pos_xz&lt;=L_rampe),"Sortie de rampe","")</f>
        <v/>
      </c>
      <c r="Z328" s="423" t="str">
        <f aca="false">IF(ABS(t-T_para)&lt;pas/2,"Para","")</f>
        <v/>
      </c>
      <c r="AA328" s="424" t="str">
        <f aca="false">IF(ABS(t-T_satellite)&lt;pas/2,"Satellite","")</f>
        <v/>
      </c>
      <c r="AB328" s="412"/>
      <c r="AC328" s="420" t="e">
        <f aca="false">IF(ABS(t-ROUND(t,0))&lt;0.001,t,NA())</f>
        <v>#N/A</v>
      </c>
      <c r="AD328" s="425" t="e">
        <f aca="false">IF(ABS(t-ROUND(t,0))&lt;0.001,pos_x,NA())</f>
        <v>#N/A</v>
      </c>
      <c r="AE328" s="426" t="n">
        <f aca="false">IF(t&lt;T_para, pos_z, NA())</f>
        <v>377.953286534437</v>
      </c>
      <c r="AF328" s="412"/>
      <c r="AG328" s="418" t="n">
        <f aca="false">IF(AND(L327&lt;L_rampe,Poussee&lt;Poids*SIN(M327)),0,(-W327+Poussee)/m-Poids*SIN(M327)/m)</f>
        <v>-1.01288609227693</v>
      </c>
      <c r="AH328" s="417" t="n">
        <f aca="false">IF(AND(L327&lt;L_rampe,Poussee&lt;Poids*SIN(M327)), g*SIN(M327), (-W327+Poussee)/m)</f>
        <v>8.53851031219071</v>
      </c>
    </row>
    <row r="329" customFormat="false" ht="12" hidden="false" customHeight="false" outlineLevel="0" collapsed="false">
      <c r="A329" s="416" t="n">
        <f aca="false">IF(B328+0.01&lt;=T_ini+ROUNDUP(Temps_fin_propu,0), 0.01, IF(K328&gt;0, 0.1, 0.0001))</f>
        <v>0.01</v>
      </c>
      <c r="B329" s="417" t="n">
        <f aca="false">B328+pas</f>
        <v>3.24999999999997</v>
      </c>
      <c r="C329" s="401"/>
      <c r="D329" s="418" t="n">
        <f aca="false">IF(AND(L328&lt;L_rampe,Poussee&lt;Poids*SIN(M328)),0,(-W328+Poussee)/m*COS(M328)-U328/m*SIN(M328))</f>
        <v>1.76948996413807</v>
      </c>
      <c r="E329" s="419" t="n">
        <f aca="false">IF(AND(L328&lt;L_rampe,Poussee&lt;Poids*SIN(M328)),0,(-W328+Poussee)/m*SIN(M328)+U328/m*COS(M328)-Poids/m)</f>
        <v>-2.26068178777222</v>
      </c>
      <c r="F329" s="417" t="n">
        <f aca="false">SQRT(acc_x^2+acc_z^2)</f>
        <v>2.87084950471988</v>
      </c>
      <c r="G329" s="418" t="n">
        <f aca="false">G328+acc_x*pas</f>
        <v>45.0647388607756</v>
      </c>
      <c r="H329" s="419" t="n">
        <f aca="false">H328+acc_z*pas</f>
        <v>192.165241813674</v>
      </c>
      <c r="I329" s="417" t="n">
        <f aca="false">SQRT(vit_x^2+vit_z^2)</f>
        <v>197.378597750358</v>
      </c>
      <c r="J329" s="418" t="n">
        <f aca="false">J328+0.5*(vit_x+G328)*pas*(K328&gt;=0)</f>
        <v>82.8932628063193</v>
      </c>
      <c r="K329" s="419" t="n">
        <f aca="false">K328+0.5*(vit_z+H328)*pas</f>
        <v>379.875051986663</v>
      </c>
      <c r="L329" s="417" t="n">
        <f aca="false">SQRT(pos_x^2+pos_z^2)</f>
        <v>388.814027705467</v>
      </c>
      <c r="M329" s="418" t="n">
        <f aca="false">IF(AND(L328&gt;L_rampe,G329&gt;0),ATAN2(G329,H329),$M$4)</f>
        <v>1.34044843754867</v>
      </c>
      <c r="N329" s="417" t="n">
        <f aca="false">DEGREES(Beta)</f>
        <v>76.8020381264442</v>
      </c>
      <c r="O329" s="401"/>
      <c r="P329" s="420" t="n">
        <f aca="false">MATCH(t-pas/2-T_ini,CdP_t)</f>
        <v>9</v>
      </c>
      <c r="Q329" s="417" t="n">
        <f aca="false">(INDEX(CdP,2,i_P+1)-INDEX(CdP,2,i_P+0))/(INDEX(CdP,1,i_P+1)-INDEX(CdP,1,i_P+0))*(t-pas/2-T_ini-INDEX(CdP,1,i_P+0))+INDEX(CdP,2,i_P+0)</f>
        <v>198.666666666682</v>
      </c>
      <c r="R329" s="418" t="n">
        <f aca="false">Poussee/(g*ISP)</f>
        <v>0.0997015437781751</v>
      </c>
      <c r="S329" s="419" t="n">
        <f aca="false">S328-Débit*pas</f>
        <v>7.39452175768708</v>
      </c>
      <c r="T329" s="417" t="n">
        <f aca="false">m*g</f>
        <v>72.5402584429102</v>
      </c>
      <c r="U329" s="421" t="n">
        <f aca="false">IF(pos_xz&lt;L_rampe,Poids*COS(Beta),0)</f>
        <v>0</v>
      </c>
      <c r="V329" s="418" t="n">
        <f aca="false">Rho_moyen*(20000-Alt_rampe-pos_z)/(20000+Alt_rampe+pos_z)</f>
        <v>1.17933269953848</v>
      </c>
      <c r="W329" s="417" t="n">
        <f aca="false">1/2*Rho*Sref*Cx*vit_xz^2</f>
        <v>141.277229989939</v>
      </c>
      <c r="X329" s="401"/>
      <c r="Y329" s="422" t="str">
        <f aca="false">IF(AND(pos_z&lt;=0,K328&gt;0),"Impact balistique","") &amp; IF(AND(H330&lt;0,vit_z&gt;=0),"Apogée","") &amp; IF(AND(Poussee=0,Q328&gt;0),"Fin de propulsion","") &amp; IF(AND(L330&gt;L_rampe,pos_xz&lt;=L_rampe),"Sortie de rampe","")</f>
        <v/>
      </c>
      <c r="Z329" s="423" t="str">
        <f aca="false">IF(ABS(t-T_para)&lt;pas/2,"Para","")</f>
        <v/>
      </c>
      <c r="AA329" s="424" t="str">
        <f aca="false">IF(ABS(t-T_satellite)&lt;pas/2,"Satellite","")</f>
        <v/>
      </c>
      <c r="AB329" s="412"/>
      <c r="AC329" s="420" t="e">
        <f aca="false">IF(ABS(t-ROUND(t,0))&lt;0.001,t,NA())</f>
        <v>#N/A</v>
      </c>
      <c r="AD329" s="425" t="e">
        <f aca="false">IF(ABS(t-ROUND(t,0))&lt;0.001,pos_x,NA())</f>
        <v>#N/A</v>
      </c>
      <c r="AE329" s="426" t="n">
        <f aca="false">IF(t&lt;T_para, pos_z, NA())</f>
        <v>379.875051986663</v>
      </c>
      <c r="AF329" s="412"/>
      <c r="AG329" s="418" t="n">
        <f aca="false">IF(AND(L328&lt;L_rampe,Poussee&lt;Poids*SIN(M328)),0,(-W328+Poussee)/m-Poids*SIN(M328)/m)</f>
        <v>-1.79722109345896</v>
      </c>
      <c r="AH329" s="417" t="n">
        <f aca="false">IF(AND(L328&lt;L_rampe,Poussee&lt;Poids*SIN(M328)), g*SIN(M328), (-W328+Poussee)/m)</f>
        <v>7.75392160152908</v>
      </c>
    </row>
    <row r="330" customFormat="false" ht="12" hidden="false" customHeight="false" outlineLevel="0" collapsed="false">
      <c r="A330" s="416" t="n">
        <f aca="false">IF(B329+0.01&lt;=T_ini+ROUNDUP(Temps_fin_propu,0), 0.01, IF(K329&gt;0, 0.1, 0.0001))</f>
        <v>0.01</v>
      </c>
      <c r="B330" s="417" t="n">
        <f aca="false">B329+pas</f>
        <v>3.25999999999997</v>
      </c>
      <c r="C330" s="401"/>
      <c r="D330" s="418" t="n">
        <f aca="false">IF(AND(L329&lt;L_rampe,Poussee&lt;Poids*SIN(M329)),0,(-W329+Poussee)/m*COS(M329)-U329/m*SIN(M329))</f>
        <v>1.59150353098789</v>
      </c>
      <c r="E330" s="419" t="n">
        <f aca="false">IF(AND(L329&lt;L_rampe,Poussee&lt;Poids*SIN(M329)),0,(-W329+Poussee)/m*SIN(M329)+U329/m*COS(M329)-Poids/m)</f>
        <v>-3.02350420282145</v>
      </c>
      <c r="F330" s="417" t="n">
        <f aca="false">SQRT(acc_x^2+acc_z^2)</f>
        <v>3.41679106086777</v>
      </c>
      <c r="G330" s="418" t="n">
        <f aca="false">G329+acc_x*pas</f>
        <v>45.0806538960855</v>
      </c>
      <c r="H330" s="419" t="n">
        <f aca="false">H329+acc_z*pas</f>
        <v>192.135006771645</v>
      </c>
      <c r="I330" s="417" t="n">
        <f aca="false">SQRT(vit_x^2+vit_z^2)</f>
        <v>197.352796237699</v>
      </c>
      <c r="J330" s="418" t="n">
        <f aca="false">J329+0.5*(vit_x+G329)*pas*(K329&gt;=0)</f>
        <v>83.3439897701037</v>
      </c>
      <c r="K330" s="419" t="n">
        <f aca="false">K329+0.5*(vit_z+H329)*pas</f>
        <v>381.796553229589</v>
      </c>
      <c r="L330" s="417" t="n">
        <f aca="false">SQRT(pos_x^2+pos_z^2)</f>
        <v>390.787446943724</v>
      </c>
      <c r="M330" s="418" t="n">
        <f aca="false">IF(AND(L329&gt;L_rampe,G330&gt;0),ATAN2(G330,H330),$M$4)</f>
        <v>1.34033494626097</v>
      </c>
      <c r="N330" s="417" t="n">
        <f aca="false">DEGREES(Beta)</f>
        <v>76.7955355546474</v>
      </c>
      <c r="O330" s="401"/>
      <c r="P330" s="420" t="n">
        <f aca="false">MATCH(t-pas/2-T_ini,CdP_t)</f>
        <v>9</v>
      </c>
      <c r="Q330" s="417" t="n">
        <f aca="false">(INDEX(CdP,2,i_P+1)-INDEX(CdP,2,i_P+0))/(INDEX(CdP,1,i_P+1)-INDEX(CdP,1,i_P+0))*(t-pas/2-T_ini-INDEX(CdP,1,i_P+0))+INDEX(CdP,2,i_P+0)</f>
        <v>192.81481481483</v>
      </c>
      <c r="R330" s="418" t="n">
        <f aca="false">Poussee/(g*ISP)</f>
        <v>0.0967647719815774</v>
      </c>
      <c r="S330" s="419" t="n">
        <f aca="false">S329-Débit*pas</f>
        <v>7.39355410996726</v>
      </c>
      <c r="T330" s="417" t="n">
        <f aca="false">m*g</f>
        <v>72.5307658187789</v>
      </c>
      <c r="U330" s="421" t="n">
        <f aca="false">IF(pos_xz&lt;L_rampe,Poids*COS(Beta),0)</f>
        <v>0</v>
      </c>
      <c r="V330" s="418" t="n">
        <f aca="false">Rho_moyen*(20000-Alt_rampe-pos_z)/(20000+Alt_rampe+pos_z)</f>
        <v>1.17910603020349</v>
      </c>
      <c r="W330" s="417" t="n">
        <f aca="false">1/2*Rho*Sref*Cx*vit_xz^2</f>
        <v>141.213150048564</v>
      </c>
      <c r="X330" s="401"/>
      <c r="Y330" s="422" t="str">
        <f aca="false">IF(AND(pos_z&lt;=0,K329&gt;0),"Impact balistique","") &amp; IF(AND(H331&lt;0,vit_z&gt;=0),"Apogée","") &amp; IF(AND(Poussee=0,Q329&gt;0),"Fin de propulsion","") &amp; IF(AND(L331&gt;L_rampe,pos_xz&lt;=L_rampe),"Sortie de rampe","")</f>
        <v/>
      </c>
      <c r="Z330" s="423" t="str">
        <f aca="false">IF(ABS(t-T_para)&lt;pas/2,"Para","")</f>
        <v/>
      </c>
      <c r="AA330" s="424" t="str">
        <f aca="false">IF(ABS(t-T_satellite)&lt;pas/2,"Satellite","")</f>
        <v/>
      </c>
      <c r="AB330" s="412"/>
      <c r="AC330" s="420" t="e">
        <f aca="false">IF(ABS(t-ROUND(t,0))&lt;0.001,t,NA())</f>
        <v>#N/A</v>
      </c>
      <c r="AD330" s="425" t="e">
        <f aca="false">IF(ABS(t-ROUND(t,0))&lt;0.001,pos_x,NA())</f>
        <v>#N/A</v>
      </c>
      <c r="AE330" s="426" t="n">
        <f aca="false">IF(t&lt;T_para, pos_z, NA())</f>
        <v>381.796553229589</v>
      </c>
      <c r="AF330" s="412"/>
      <c r="AG330" s="418" t="n">
        <f aca="false">IF(AND(L329&lt;L_rampe,Poussee&lt;Poids*SIN(M329)),0,(-W329+Poussee)/m-Poids*SIN(M329)/m)</f>
        <v>-2.58027836373636</v>
      </c>
      <c r="AH330" s="417" t="n">
        <f aca="false">IF(AND(L329&lt;L_rampe,Poussee&lt;Poids*SIN(M329)), g*SIN(M329), (-W329+Poussee)/m)</f>
        <v>6.97061035306587</v>
      </c>
    </row>
    <row r="331" customFormat="false" ht="12" hidden="false" customHeight="false" outlineLevel="0" collapsed="false">
      <c r="A331" s="416" t="n">
        <f aca="false">IF(B330+0.01&lt;=T_ini+ROUNDUP(Temps_fin_propu,0), 0.01, IF(K330&gt;0, 0.1, 0.0001))</f>
        <v>0.01</v>
      </c>
      <c r="B331" s="417" t="n">
        <f aca="false">B330+pas</f>
        <v>3.26999999999997</v>
      </c>
      <c r="C331" s="401"/>
      <c r="D331" s="418" t="n">
        <f aca="false">IF(AND(L330&lt;L_rampe,Poussee&lt;Poids*SIN(M330)),0,(-W330+Poussee)/m*COS(M330)-U330/m*SIN(M330))</f>
        <v>1.4136376624181</v>
      </c>
      <c r="E331" s="419" t="n">
        <f aca="false">IF(AND(L330&lt;L_rampe,Poussee&lt;Poids*SIN(M330)),0,(-W330+Poussee)/m*SIN(M330)+U330/m*COS(M330)-Poids/m)</f>
        <v>-3.78503677592088</v>
      </c>
      <c r="F331" s="417" t="n">
        <f aca="false">SQRT(acc_x^2+acc_z^2)</f>
        <v>4.04040528111728</v>
      </c>
      <c r="G331" s="418" t="n">
        <f aca="false">G330+acc_x*pas</f>
        <v>45.0947902727097</v>
      </c>
      <c r="H331" s="419" t="n">
        <f aca="false">H330+acc_z*pas</f>
        <v>192.097156403886</v>
      </c>
      <c r="I331" s="417" t="n">
        <f aca="false">SQRT(vit_x^2+vit_z^2)</f>
        <v>197.319176990476</v>
      </c>
      <c r="J331" s="418" t="n">
        <f aca="false">J330+0.5*(vit_x+G330)*pas*(K330&gt;=0)</f>
        <v>83.7948669909476</v>
      </c>
      <c r="K331" s="419" t="n">
        <f aca="false">K330+0.5*(vit_z+H330)*pas</f>
        <v>383.717714045467</v>
      </c>
      <c r="L331" s="417" t="n">
        <f aca="false">SQRT(pos_x^2+pos_z^2)</f>
        <v>392.760568038989</v>
      </c>
      <c r="M331" s="418" t="n">
        <f aca="false">IF(AND(L330&gt;L_rampe,G331&gt;0),ATAN2(G331,H331),$M$4)</f>
        <v>1.34022138070388</v>
      </c>
      <c r="N331" s="417" t="n">
        <f aca="false">DEGREES(Beta)</f>
        <v>76.7890287275283</v>
      </c>
      <c r="O331" s="401"/>
      <c r="P331" s="420" t="n">
        <f aca="false">MATCH(t-pas/2-T_ini,CdP_t)</f>
        <v>9</v>
      </c>
      <c r="Q331" s="417" t="n">
        <f aca="false">(INDEX(CdP,2,i_P+1)-INDEX(CdP,2,i_P+0))/(INDEX(CdP,1,i_P+1)-INDEX(CdP,1,i_P+0))*(t-pas/2-T_ini-INDEX(CdP,1,i_P+0))+INDEX(CdP,2,i_P+0)</f>
        <v>186.962962962978</v>
      </c>
      <c r="R331" s="418" t="n">
        <f aca="false">Poussee/(g*ISP)</f>
        <v>0.0938280001849797</v>
      </c>
      <c r="S331" s="419" t="n">
        <f aca="false">S330-Débit*pas</f>
        <v>7.39261582996541</v>
      </c>
      <c r="T331" s="417" t="n">
        <f aca="false">m*g</f>
        <v>72.5215612919607</v>
      </c>
      <c r="U331" s="421" t="n">
        <f aca="false">IF(pos_xz&lt;L_rampe,Poids*COS(Beta),0)</f>
        <v>0</v>
      </c>
      <c r="V331" s="418" t="n">
        <f aca="false">Rho_moyen*(20000-Alt_rampe-pos_z)/(20000+Alt_rampe+pos_z)</f>
        <v>1.17887944375017</v>
      </c>
      <c r="W331" s="417" t="n">
        <f aca="false">1/2*Rho*Sref*Cx*vit_xz^2</f>
        <v>141.137915137791</v>
      </c>
      <c r="X331" s="401"/>
      <c r="Y331" s="422" t="str">
        <f aca="false">IF(AND(pos_z&lt;=0,K330&gt;0),"Impact balistique","") &amp; IF(AND(H332&lt;0,vit_z&gt;=0),"Apogée","") &amp; IF(AND(Poussee=0,Q330&gt;0),"Fin de propulsion","") &amp; IF(AND(L332&gt;L_rampe,pos_xz&lt;=L_rampe),"Sortie de rampe","")</f>
        <v/>
      </c>
      <c r="Z331" s="423" t="str">
        <f aca="false">IF(ABS(t-T_para)&lt;pas/2,"Para","")</f>
        <v/>
      </c>
      <c r="AA331" s="424" t="str">
        <f aca="false">IF(ABS(t-T_satellite)&lt;pas/2,"Satellite","")</f>
        <v/>
      </c>
      <c r="AB331" s="412"/>
      <c r="AC331" s="420" t="e">
        <f aca="false">IF(ABS(t-ROUND(t,0))&lt;0.001,t,NA())</f>
        <v>#N/A</v>
      </c>
      <c r="AD331" s="425" t="e">
        <f aca="false">IF(ABS(t-ROUND(t,0))&lt;0.001,pos_x,NA())</f>
        <v>#N/A</v>
      </c>
      <c r="AE331" s="426" t="n">
        <f aca="false">IF(t&lt;T_para, pos_z, NA())</f>
        <v>383.717714045467</v>
      </c>
      <c r="AF331" s="412"/>
      <c r="AG331" s="418" t="n">
        <f aca="false">IF(AND(L330&lt;L_rampe,Poussee&lt;Poids*SIN(M330)),0,(-W330+Poussee)/m-Poids*SIN(M330)/m)</f>
        <v>-3.36205196494599</v>
      </c>
      <c r="AH331" s="417" t="n">
        <f aca="false">IF(AND(L330&lt;L_rampe,Poussee&lt;Poids*SIN(M330)), g*SIN(M330), (-W330+Poussee)/m)</f>
        <v>6.18858249457118</v>
      </c>
    </row>
    <row r="332" customFormat="false" ht="12" hidden="false" customHeight="false" outlineLevel="0" collapsed="false">
      <c r="A332" s="416" t="n">
        <f aca="false">IF(B331+0.01&lt;=T_ini+ROUNDUP(Temps_fin_propu,0), 0.01, IF(K331&gt;0, 0.1, 0.0001))</f>
        <v>0.01</v>
      </c>
      <c r="B332" s="417" t="n">
        <f aca="false">B331+pas</f>
        <v>3.27999999999997</v>
      </c>
      <c r="C332" s="401"/>
      <c r="D332" s="418" t="n">
        <f aca="false">IF(AND(L331&lt;L_rampe,Poussee&lt;Poids*SIN(M331)),0,(-W331+Poussee)/m*COS(M331)-U331/m*SIN(M331))</f>
        <v>1.23589396096829</v>
      </c>
      <c r="E332" s="419" t="n">
        <f aca="false">IF(AND(L331&lt;L_rampe,Poussee&lt;Poids*SIN(M331)),0,(-W331+Poussee)/m*SIN(M331)+U331/m*COS(M331)-Poids/m)</f>
        <v>-4.54527398435601</v>
      </c>
      <c r="F332" s="417" t="n">
        <f aca="false">SQRT(acc_x^2+acc_z^2)</f>
        <v>4.71030248239128</v>
      </c>
      <c r="G332" s="418" t="n">
        <f aca="false">G331+acc_x*pas</f>
        <v>45.1071492123194</v>
      </c>
      <c r="H332" s="419" t="n">
        <f aca="false">H331+acc_z*pas</f>
        <v>192.051703664043</v>
      </c>
      <c r="I332" s="417" t="n">
        <f aca="false">SQRT(vit_x^2+vit_z^2)</f>
        <v>197.277752902662</v>
      </c>
      <c r="J332" s="418" t="n">
        <f aca="false">J331+0.5*(vit_x+G331)*pas*(K331&gt;=0)</f>
        <v>84.2458766883728</v>
      </c>
      <c r="K332" s="419" t="n">
        <f aca="false">K331+0.5*(vit_z+H331)*pas</f>
        <v>385.638458345807</v>
      </c>
      <c r="L332" s="417" t="n">
        <f aca="false">SQRT(pos_x^2+pos_z^2)</f>
        <v>394.73331287633</v>
      </c>
      <c r="M332" s="418" t="n">
        <f aca="false">IF(AND(L331&gt;L_rampe,G332&gt;0),ATAN2(G332,H332),$M$4)</f>
        <v>1.34010773632171</v>
      </c>
      <c r="N332" s="417" t="n">
        <f aca="false">DEGREES(Beta)</f>
        <v>76.7825173840643</v>
      </c>
      <c r="O332" s="401"/>
      <c r="P332" s="420" t="n">
        <f aca="false">MATCH(t-pas/2-T_ini,CdP_t)</f>
        <v>9</v>
      </c>
      <c r="Q332" s="417" t="n">
        <f aca="false">(INDEX(CdP,2,i_P+1)-INDEX(CdP,2,i_P+0))/(INDEX(CdP,1,i_P+1)-INDEX(CdP,1,i_P+0))*(t-pas/2-T_ini-INDEX(CdP,1,i_P+0))+INDEX(CdP,2,i_P+0)</f>
        <v>181.111111111126</v>
      </c>
      <c r="R332" s="418" t="n">
        <f aca="false">Poussee/(g*ISP)</f>
        <v>0.090891228388382</v>
      </c>
      <c r="S332" s="419" t="n">
        <f aca="false">S331-Débit*pas</f>
        <v>7.39170691768153</v>
      </c>
      <c r="T332" s="417" t="n">
        <f aca="false">m*g</f>
        <v>72.5126448624558</v>
      </c>
      <c r="U332" s="421" t="n">
        <f aca="false">IF(pos_xz&lt;L_rampe,Poids*COS(Beta),0)</f>
        <v>0</v>
      </c>
      <c r="V332" s="418" t="n">
        <f aca="false">Rho_moyen*(20000-Alt_rampe-pos_z)/(20000+Alt_rampe+pos_z)</f>
        <v>1.17865294911524</v>
      </c>
      <c r="W332" s="417" t="n">
        <f aca="false">1/2*Rho*Sref*Cx*vit_xz^2</f>
        <v>141.051556916433</v>
      </c>
      <c r="X332" s="401"/>
      <c r="Y332" s="422" t="str">
        <f aca="false">IF(AND(pos_z&lt;=0,K331&gt;0),"Impact balistique","") &amp; IF(AND(H333&lt;0,vit_z&gt;=0),"Apogée","") &amp; IF(AND(Poussee=0,Q331&gt;0),"Fin de propulsion","") &amp; IF(AND(L333&gt;L_rampe,pos_xz&lt;=L_rampe),"Sortie de rampe","")</f>
        <v/>
      </c>
      <c r="Z332" s="423" t="str">
        <f aca="false">IF(ABS(t-T_para)&lt;pas/2,"Para","")</f>
        <v/>
      </c>
      <c r="AA332" s="424" t="str">
        <f aca="false">IF(ABS(t-T_satellite)&lt;pas/2,"Satellite","")</f>
        <v/>
      </c>
      <c r="AB332" s="412"/>
      <c r="AC332" s="420" t="e">
        <f aca="false">IF(ABS(t-ROUND(t,0))&lt;0.001,t,NA())</f>
        <v>#N/A</v>
      </c>
      <c r="AD332" s="425" t="e">
        <f aca="false">IF(ABS(t-ROUND(t,0))&lt;0.001,pos_x,NA())</f>
        <v>#N/A</v>
      </c>
      <c r="AE332" s="426" t="n">
        <f aca="false">IF(t&lt;T_para, pos_z, NA())</f>
        <v>385.638458345807</v>
      </c>
      <c r="AF332" s="412"/>
      <c r="AG332" s="418" t="n">
        <f aca="false">IF(AND(L331&lt;L_rampe,Poussee&lt;Poids*SIN(M331)),0,(-W331+Poussee)/m-Poids*SIN(M331)/m)</f>
        <v>-4.14253617397579</v>
      </c>
      <c r="AH332" s="417" t="n">
        <f aca="false">IF(AND(L331&lt;L_rampe,Poussee&lt;Poids*SIN(M331)), g*SIN(M331), (-W331+Poussee)/m)</f>
        <v>5.40784373873326</v>
      </c>
    </row>
    <row r="333" customFormat="false" ht="12" hidden="false" customHeight="false" outlineLevel="0" collapsed="false">
      <c r="A333" s="416" t="n">
        <f aca="false">IF(B332+0.01&lt;=T_ini+ROUNDUP(Temps_fin_propu,0), 0.01, IF(K332&gt;0, 0.1, 0.0001))</f>
        <v>0.01</v>
      </c>
      <c r="B333" s="417" t="n">
        <f aca="false">B332+pas</f>
        <v>3.28999999999997</v>
      </c>
      <c r="C333" s="401"/>
      <c r="D333" s="418" t="n">
        <f aca="false">IF(AND(L332&lt;L_rampe,Poussee&lt;Poids*SIN(M332)),0,(-W332+Poussee)/m*COS(M332)-U332/m*SIN(M332))</f>
        <v>1.05827396957073</v>
      </c>
      <c r="E333" s="419" t="n">
        <f aca="false">IF(AND(L332&lt;L_rampe,Poussee&lt;Poids*SIN(M332)),0,(-W332+Poussee)/m*SIN(M332)+U332/m*COS(M332)-Poids/m)</f>
        <v>-5.30421051100567</v>
      </c>
      <c r="F333" s="417" t="n">
        <f aca="false">SQRT(acc_x^2+acc_z^2)</f>
        <v>5.40875151395717</v>
      </c>
      <c r="G333" s="418" t="n">
        <f aca="false">G332+acc_x*pas</f>
        <v>45.1177319520151</v>
      </c>
      <c r="H333" s="419" t="n">
        <f aca="false">H332+acc_z*pas</f>
        <v>191.998661558933</v>
      </c>
      <c r="I333" s="417" t="n">
        <f aca="false">SQRT(vit_x^2+vit_z^2)</f>
        <v>197.228536923325</v>
      </c>
      <c r="J333" s="418" t="n">
        <f aca="false">J332+0.5*(vit_x+G332)*pas*(K332&gt;=0)</f>
        <v>84.6970010941945</v>
      </c>
      <c r="K333" s="419" t="n">
        <f aca="false">K332+0.5*(vit_z+H332)*pas</f>
        <v>387.558710171922</v>
      </c>
      <c r="L333" s="417" t="n">
        <f aca="false">SQRT(pos_x^2+pos_z^2)</f>
        <v>396.705603469971</v>
      </c>
      <c r="M333" s="418" t="n">
        <f aca="false">IF(AND(L332&gt;L_rampe,G333&gt;0),ATAN2(G333,H333),$M$4)</f>
        <v>1.33999400855177</v>
      </c>
      <c r="N333" s="417" t="n">
        <f aca="false">DEGREES(Beta)</f>
        <v>76.7760012628338</v>
      </c>
      <c r="O333" s="401"/>
      <c r="P333" s="420" t="n">
        <f aca="false">MATCH(t-pas/2-T_ini,CdP_t)</f>
        <v>9</v>
      </c>
      <c r="Q333" s="417" t="n">
        <f aca="false">(INDEX(CdP,2,i_P+1)-INDEX(CdP,2,i_P+0))/(INDEX(CdP,1,i_P+1)-INDEX(CdP,1,i_P+0))*(t-pas/2-T_ini-INDEX(CdP,1,i_P+0))+INDEX(CdP,2,i_P+0)</f>
        <v>175.259259259275</v>
      </c>
      <c r="R333" s="418" t="n">
        <f aca="false">Poussee/(g*ISP)</f>
        <v>0.0879544565917843</v>
      </c>
      <c r="S333" s="419" t="n">
        <f aca="false">S332-Débit*pas</f>
        <v>7.39082737311561</v>
      </c>
      <c r="T333" s="417" t="n">
        <f aca="false">m*g</f>
        <v>72.5040165302642</v>
      </c>
      <c r="U333" s="421" t="n">
        <f aca="false">IF(pos_xz&lt;L_rampe,Poids*COS(Beta),0)</f>
        <v>0</v>
      </c>
      <c r="V333" s="418" t="n">
        <f aca="false">Rho_moyen*(20000-Alt_rampe-pos_z)/(20000+Alt_rampe+pos_z)</f>
        <v>1.17842655521343</v>
      </c>
      <c r="W333" s="417" t="n">
        <f aca="false">1/2*Rho*Sref*Cx*vit_xz^2</f>
        <v>140.954108404377</v>
      </c>
      <c r="X333" s="401"/>
      <c r="Y333" s="422" t="str">
        <f aca="false">IF(AND(pos_z&lt;=0,K332&gt;0),"Impact balistique","") &amp; IF(AND(H334&lt;0,vit_z&gt;=0),"Apogée","") &amp; IF(AND(Poussee=0,Q332&gt;0),"Fin de propulsion","") &amp; IF(AND(L334&gt;L_rampe,pos_xz&lt;=L_rampe),"Sortie de rampe","")</f>
        <v/>
      </c>
      <c r="Z333" s="423" t="str">
        <f aca="false">IF(ABS(t-T_para)&lt;pas/2,"Para","")</f>
        <v/>
      </c>
      <c r="AA333" s="424" t="str">
        <f aca="false">IF(ABS(t-T_satellite)&lt;pas/2,"Satellite","")</f>
        <v/>
      </c>
      <c r="AB333" s="412"/>
      <c r="AC333" s="420" t="e">
        <f aca="false">IF(ABS(t-ROUND(t,0))&lt;0.001,t,NA())</f>
        <v>#N/A</v>
      </c>
      <c r="AD333" s="425" t="e">
        <f aca="false">IF(ABS(t-ROUND(t,0))&lt;0.001,pos_x,NA())</f>
        <v>#N/A</v>
      </c>
      <c r="AE333" s="426" t="n">
        <f aca="false">IF(t&lt;T_para, pos_z, NA())</f>
        <v>387.558710171922</v>
      </c>
      <c r="AF333" s="412"/>
      <c r="AG333" s="418" t="n">
        <f aca="false">IF(AND(L332&lt;L_rampe,Poussee&lt;Poids*SIN(M332)),0,(-W332+Poussee)/m-Poids*SIN(M332)/m)</f>
        <v>-4.92172548142056</v>
      </c>
      <c r="AH333" s="417" t="n">
        <f aca="false">IF(AND(L332&lt;L_rampe,Poussee&lt;Poids*SIN(M332)), g*SIN(M332), (-W332+Poussee)/m)</f>
        <v>4.62839958450033</v>
      </c>
    </row>
    <row r="334" customFormat="false" ht="12" hidden="false" customHeight="false" outlineLevel="0" collapsed="false">
      <c r="A334" s="416" t="n">
        <f aca="false">IF(B333+0.01&lt;=T_ini+ROUNDUP(Temps_fin_propu,0), 0.01, IF(K333&gt;0, 0.1, 0.0001))</f>
        <v>0.01</v>
      </c>
      <c r="B334" s="417" t="n">
        <f aca="false">B333+pas</f>
        <v>3.29999999999997</v>
      </c>
      <c r="C334" s="401"/>
      <c r="D334" s="418" t="n">
        <f aca="false">IF(AND(L333&lt;L_rampe,Poussee&lt;Poids*SIN(M333)),0,(-W333+Poussee)/m*COS(M333)-U333/m*SIN(M333))</f>
        <v>0.88077917178649</v>
      </c>
      <c r="E334" s="419" t="n">
        <f aca="false">IF(AND(L333&lt;L_rampe,Poussee&lt;Poids*SIN(M333)),0,(-W333+Poussee)/m*SIN(M333)+U333/m*COS(M333)-Poids/m)</f>
        <v>-6.06184124299851</v>
      </c>
      <c r="F334" s="417" t="n">
        <f aca="false">SQRT(acc_x^2+acc_z^2)</f>
        <v>6.12549518037282</v>
      </c>
      <c r="G334" s="418" t="n">
        <f aca="false">G333+acc_x*pas</f>
        <v>45.1265397437329</v>
      </c>
      <c r="H334" s="419" t="n">
        <f aca="false">H333+acc_z*pas</f>
        <v>191.938043146503</v>
      </c>
      <c r="I334" s="417" t="n">
        <f aca="false">SQRT(vit_x^2+vit_z^2)</f>
        <v>197.171542054505</v>
      </c>
      <c r="J334" s="418" t="n">
        <f aca="false">J333+0.5*(vit_x+G333)*pas*(K333&gt;=0)</f>
        <v>85.1482224526732</v>
      </c>
      <c r="K334" s="419" t="n">
        <f aca="false">K333+0.5*(vit_z+H333)*pas</f>
        <v>389.478393695449</v>
      </c>
      <c r="L334" s="417" t="n">
        <f aca="false">SQRT(pos_x^2+pos_z^2)</f>
        <v>398.677361963828</v>
      </c>
      <c r="M334" s="418" t="n">
        <f aca="false">IF(AND(L333&gt;L_rampe,G334&gt;0),ATAN2(G334,H334),$M$4)</f>
        <v>1.33988019282342</v>
      </c>
      <c r="N334" s="417" t="n">
        <f aca="false">DEGREES(Beta)</f>
        <v>76.7694801019567</v>
      </c>
      <c r="O334" s="401"/>
      <c r="P334" s="420" t="n">
        <f aca="false">MATCH(t-pas/2-T_ini,CdP_t)</f>
        <v>9</v>
      </c>
      <c r="Q334" s="417" t="n">
        <f aca="false">(INDEX(CdP,2,i_P+1)-INDEX(CdP,2,i_P+0))/(INDEX(CdP,1,i_P+1)-INDEX(CdP,1,i_P+0))*(t-pas/2-T_ini-INDEX(CdP,1,i_P+0))+INDEX(CdP,2,i_P+0)</f>
        <v>169.407407407423</v>
      </c>
      <c r="R334" s="418" t="n">
        <f aca="false">Poussee/(g*ISP)</f>
        <v>0.0850176847951866</v>
      </c>
      <c r="S334" s="419" t="n">
        <f aca="false">S333-Débit*pas</f>
        <v>7.38997719626766</v>
      </c>
      <c r="T334" s="417" t="n">
        <f aca="false">m*g</f>
        <v>72.4956762953857</v>
      </c>
      <c r="U334" s="421" t="n">
        <f aca="false">IF(pos_xz&lt;L_rampe,Poids*COS(Beta),0)</f>
        <v>0</v>
      </c>
      <c r="V334" s="418" t="n">
        <f aca="false">Rho_moyen*(20000-Alt_rampe-pos_z)/(20000+Alt_rampe+pos_z)</f>
        <v>1.17820027093734</v>
      </c>
      <c r="W334" s="417" t="n">
        <f aca="false">1/2*Rho*Sref*Cx*vit_xz^2</f>
        <v>140.845603969998</v>
      </c>
      <c r="X334" s="401"/>
      <c r="Y334" s="422" t="str">
        <f aca="false">IF(AND(pos_z&lt;=0,K333&gt;0),"Impact balistique","") &amp; IF(AND(H335&lt;0,vit_z&gt;=0),"Apogée","") &amp; IF(AND(Poussee=0,Q333&gt;0),"Fin de propulsion","") &amp; IF(AND(L335&gt;L_rampe,pos_xz&lt;=L_rampe),"Sortie de rampe","")</f>
        <v/>
      </c>
      <c r="Z334" s="423" t="str">
        <f aca="false">IF(ABS(t-T_para)&lt;pas/2,"Para","")</f>
        <v/>
      </c>
      <c r="AA334" s="424" t="str">
        <f aca="false">IF(ABS(t-T_satellite)&lt;pas/2,"Satellite","")</f>
        <v/>
      </c>
      <c r="AB334" s="412"/>
      <c r="AC334" s="420" t="e">
        <f aca="false">IF(ABS(t-ROUND(t,0))&lt;0.001,t,NA())</f>
        <v>#N/A</v>
      </c>
      <c r="AD334" s="425" t="e">
        <f aca="false">IF(ABS(t-ROUND(t,0))&lt;0.001,pos_x,NA())</f>
        <v>#N/A</v>
      </c>
      <c r="AE334" s="426" t="n">
        <f aca="false">IF(t&lt;T_para, pos_z, NA())</f>
        <v>389.478393695449</v>
      </c>
      <c r="AF334" s="412"/>
      <c r="AG334" s="418" t="n">
        <f aca="false">IF(AND(L333&lt;L_rampe,Poussee&lt;Poids*SIN(M333)),0,(-W333+Poussee)/m-Poids*SIN(M333)/m)</f>
        <v>-5.69961459022477</v>
      </c>
      <c r="AH334" s="417" t="n">
        <f aca="false">IF(AND(L333&lt;L_rampe,Poussee&lt;Poids*SIN(M333)), g*SIN(M333), (-W333+Poussee)/m)</f>
        <v>3.85025531843537</v>
      </c>
    </row>
    <row r="335" customFormat="false" ht="12" hidden="false" customHeight="false" outlineLevel="0" collapsed="false">
      <c r="A335" s="416" t="n">
        <f aca="false">IF(B334+0.01&lt;=T_ini+ROUNDUP(Temps_fin_propu,0), 0.01, IF(K334&gt;0, 0.1, 0.0001))</f>
        <v>0.01</v>
      </c>
      <c r="B335" s="417" t="n">
        <f aca="false">B334+pas</f>
        <v>3.30999999999997</v>
      </c>
      <c r="C335" s="401"/>
      <c r="D335" s="418" t="n">
        <f aca="false">IF(AND(L334&lt;L_rampe,Poussee&lt;Poids*SIN(M334)),0,(-W334+Poussee)/m*COS(M334)-U334/m*SIN(M334))</f>
        <v>0.703410992040978</v>
      </c>
      <c r="E335" s="419" t="n">
        <f aca="false">IF(AND(L334&lt;L_rampe,Poussee&lt;Poids*SIN(M334)),0,(-W334+Poussee)/m*SIN(M334)+U334/m*COS(M334)-Poids/m)</f>
        <v>-6.81816127035676</v>
      </c>
      <c r="F335" s="417" t="n">
        <f aca="false">SQRT(acc_x^2+acc_z^2)</f>
        <v>6.85434972351987</v>
      </c>
      <c r="G335" s="418" t="n">
        <f aca="false">G334+acc_x*pas</f>
        <v>45.1335738536533</v>
      </c>
      <c r="H335" s="419" t="n">
        <f aca="false">H334+acc_z*pas</f>
        <v>191.869861533799</v>
      </c>
      <c r="I335" s="417" t="n">
        <f aca="false">SQRT(vit_x^2+vit_z^2)</f>
        <v>197.106781349101</v>
      </c>
      <c r="J335" s="418" t="n">
        <f aca="false">J334+0.5*(vit_x+G334)*pas*(K334&gt;=0)</f>
        <v>85.5995230206601</v>
      </c>
      <c r="K335" s="419" t="n">
        <f aca="false">K334+0.5*(vit_z+H334)*pas</f>
        <v>391.39743321885</v>
      </c>
      <c r="L335" s="417" t="n">
        <f aca="false">SQRT(pos_x^2+pos_z^2)</f>
        <v>400.648510632036</v>
      </c>
      <c r="M335" s="418" t="n">
        <f aca="false">IF(AND(L334&gt;L_rampe,G335&gt;0),ATAN2(G335,H335),$M$4)</f>
        <v>1.33976628455691</v>
      </c>
      <c r="N335" s="417" t="n">
        <f aca="false">DEGREES(Beta)</f>
        <v>76.7629536390345</v>
      </c>
      <c r="O335" s="401"/>
      <c r="P335" s="420" t="n">
        <f aca="false">MATCH(t-pas/2-T_ini,CdP_t)</f>
        <v>9</v>
      </c>
      <c r="Q335" s="417" t="n">
        <f aca="false">(INDEX(CdP,2,i_P+1)-INDEX(CdP,2,i_P+0))/(INDEX(CdP,1,i_P+1)-INDEX(CdP,1,i_P+0))*(t-pas/2-T_ini-INDEX(CdP,1,i_P+0))+INDEX(CdP,2,i_P+0)</f>
        <v>163.555555555571</v>
      </c>
      <c r="R335" s="418" t="n">
        <f aca="false">Poussee/(g*ISP)</f>
        <v>0.0820809129985888</v>
      </c>
      <c r="S335" s="419" t="n">
        <f aca="false">S334-Débit*pas</f>
        <v>7.38915638713767</v>
      </c>
      <c r="T335" s="417" t="n">
        <f aca="false">m*g</f>
        <v>72.4876241578206</v>
      </c>
      <c r="U335" s="421" t="n">
        <f aca="false">IF(pos_xz&lt;L_rampe,Poids*COS(Beta),0)</f>
        <v>0</v>
      </c>
      <c r="V335" s="418" t="n">
        <f aca="false">Rho_moyen*(20000-Alt_rampe-pos_z)/(20000+Alt_rampe+pos_z)</f>
        <v>1.1779741051575</v>
      </c>
      <c r="W335" s="417" t="n">
        <f aca="false">1/2*Rho*Sref*Cx*vit_xz^2</f>
        <v>140.726079317577</v>
      </c>
      <c r="X335" s="401"/>
      <c r="Y335" s="422" t="str">
        <f aca="false">IF(AND(pos_z&lt;=0,K334&gt;0),"Impact balistique","") &amp; IF(AND(H336&lt;0,vit_z&gt;=0),"Apogée","") &amp; IF(AND(Poussee=0,Q334&gt;0),"Fin de propulsion","") &amp; IF(AND(L336&gt;L_rampe,pos_xz&lt;=L_rampe),"Sortie de rampe","")</f>
        <v/>
      </c>
      <c r="Z335" s="423" t="str">
        <f aca="false">IF(ABS(t-T_para)&lt;pas/2,"Para","")</f>
        <v/>
      </c>
      <c r="AA335" s="424" t="str">
        <f aca="false">IF(ABS(t-T_satellite)&lt;pas/2,"Satellite","")</f>
        <v/>
      </c>
      <c r="AB335" s="412"/>
      <c r="AC335" s="420" t="e">
        <f aca="false">IF(ABS(t-ROUND(t,0))&lt;0.001,t,NA())</f>
        <v>#N/A</v>
      </c>
      <c r="AD335" s="425" t="e">
        <f aca="false">IF(ABS(t-ROUND(t,0))&lt;0.001,pos_x,NA())</f>
        <v>#N/A</v>
      </c>
      <c r="AE335" s="426" t="n">
        <f aca="false">IF(t&lt;T_para, pos_z, NA())</f>
        <v>391.39743321885</v>
      </c>
      <c r="AF335" s="412"/>
      <c r="AG335" s="418" t="n">
        <f aca="false">IF(AND(L334&lt;L_rampe,Poussee&lt;Poids*SIN(M334)),0,(-W334+Poussee)/m-Poids*SIN(M334)/m)</f>
        <v>-6.47619841431299</v>
      </c>
      <c r="AH335" s="417" t="n">
        <f aca="false">IF(AND(L334&lt;L_rampe,Poussee&lt;Poids*SIN(M334)), g*SIN(M334), (-W334+Poussee)/m)</f>
        <v>3.07341601608331</v>
      </c>
    </row>
    <row r="336" customFormat="false" ht="12" hidden="false" customHeight="false" outlineLevel="0" collapsed="false">
      <c r="A336" s="416" t="n">
        <f aca="false">IF(B335+0.01&lt;=T_ini+ROUNDUP(Temps_fin_propu,0), 0.01, IF(K335&gt;0, 0.1, 0.0001))</f>
        <v>0.01</v>
      </c>
      <c r="B336" s="417" t="n">
        <f aca="false">B335+pas</f>
        <v>3.31999999999997</v>
      </c>
      <c r="C336" s="401"/>
      <c r="D336" s="418" t="n">
        <f aca="false">IF(AND(L335&lt;L_rampe,Poussee&lt;Poids*SIN(M335)),0,(-W335+Poussee)/m*COS(M335)-U335/m*SIN(M335))</f>
        <v>0.526170795858723</v>
      </c>
      <c r="E336" s="419" t="n">
        <f aca="false">IF(AND(L335&lt;L_rampe,Poussee&lt;Poids*SIN(M335)),0,(-W335+Poussee)/m*SIN(M335)+U335/m*COS(M335)-Poids/m)</f>
        <v>-7.57316588462737</v>
      </c>
      <c r="F336" s="417" t="n">
        <f aca="false">SQRT(acc_x^2+acc_z^2)</f>
        <v>7.59142260860891</v>
      </c>
      <c r="G336" s="418" t="n">
        <f aca="false">G335+acc_x*pas</f>
        <v>45.1388355616119</v>
      </c>
      <c r="H336" s="419" t="n">
        <f aca="false">H335+acc_z*pas</f>
        <v>191.794129874953</v>
      </c>
      <c r="I336" s="417" t="n">
        <f aca="false">SQRT(vit_x^2+vit_z^2)</f>
        <v>197.034267908779</v>
      </c>
      <c r="J336" s="418" t="n">
        <f aca="false">J335+0.5*(vit_x+G335)*pas*(K335&gt;=0)</f>
        <v>86.0508850677364</v>
      </c>
      <c r="K336" s="419" t="n">
        <f aca="false">K335+0.5*(vit_z+H335)*pas</f>
        <v>393.315753175894</v>
      </c>
      <c r="L336" s="417" t="n">
        <f aca="false">SQRT(pos_x^2+pos_z^2)</f>
        <v>402.618971879445</v>
      </c>
      <c r="M336" s="418" t="n">
        <f aca="false">IF(AND(L335&gt;L_rampe,G336&gt;0),ATAN2(G336,H336),$M$4)</f>
        <v>1.33965227916246</v>
      </c>
      <c r="N336" s="417" t="n">
        <f aca="false">DEGREES(Beta)</f>
        <v>76.7564216110906</v>
      </c>
      <c r="O336" s="401"/>
      <c r="P336" s="420" t="n">
        <f aca="false">MATCH(t-pas/2-T_ini,CdP_t)</f>
        <v>9</v>
      </c>
      <c r="Q336" s="417" t="n">
        <f aca="false">(INDEX(CdP,2,i_P+1)-INDEX(CdP,2,i_P+0))/(INDEX(CdP,1,i_P+1)-INDEX(CdP,1,i_P+0))*(t-pas/2-T_ini-INDEX(CdP,1,i_P+0))+INDEX(CdP,2,i_P+0)</f>
        <v>157.703703703719</v>
      </c>
      <c r="R336" s="418" t="n">
        <f aca="false">Poussee/(g*ISP)</f>
        <v>0.0791441412019911</v>
      </c>
      <c r="S336" s="419" t="n">
        <f aca="false">S335-Débit*pas</f>
        <v>7.38836494572565</v>
      </c>
      <c r="T336" s="417" t="n">
        <f aca="false">m*g</f>
        <v>72.4798601175687</v>
      </c>
      <c r="U336" s="421" t="n">
        <f aca="false">IF(pos_xz&lt;L_rampe,Poids*COS(Beta),0)</f>
        <v>0</v>
      </c>
      <c r="V336" s="418" t="n">
        <f aca="false">Rho_moyen*(20000-Alt_rampe-pos_z)/(20000+Alt_rampe+pos_z)</f>
        <v>1.17774806672226</v>
      </c>
      <c r="W336" s="417" t="n">
        <f aca="false">1/2*Rho*Sref*Cx*vit_xz^2</f>
        <v>140.595571474744</v>
      </c>
      <c r="X336" s="401"/>
      <c r="Y336" s="422" t="str">
        <f aca="false">IF(AND(pos_z&lt;=0,K335&gt;0),"Impact balistique","") &amp; IF(AND(H337&lt;0,vit_z&gt;=0),"Apogée","") &amp; IF(AND(Poussee=0,Q335&gt;0),"Fin de propulsion","") &amp; IF(AND(L337&gt;L_rampe,pos_xz&lt;=L_rampe),"Sortie de rampe","")</f>
        <v/>
      </c>
      <c r="Z336" s="423" t="str">
        <f aca="false">IF(ABS(t-T_para)&lt;pas/2,"Para","")</f>
        <v/>
      </c>
      <c r="AA336" s="424" t="str">
        <f aca="false">IF(ABS(t-T_satellite)&lt;pas/2,"Satellite","")</f>
        <v/>
      </c>
      <c r="AB336" s="412"/>
      <c r="AC336" s="420" t="e">
        <f aca="false">IF(ABS(t-ROUND(t,0))&lt;0.001,t,NA())</f>
        <v>#N/A</v>
      </c>
      <c r="AD336" s="425" t="e">
        <f aca="false">IF(ABS(t-ROUND(t,0))&lt;0.001,pos_x,NA())</f>
        <v>#N/A</v>
      </c>
      <c r="AE336" s="426" t="n">
        <f aca="false">IF(t&lt;T_para, pos_z, NA())</f>
        <v>393.315753175894</v>
      </c>
      <c r="AF336" s="412"/>
      <c r="AG336" s="418" t="n">
        <f aca="false">IF(AND(L335&lt;L_rampe,Poussee&lt;Poids*SIN(M335)),0,(-W335+Poussee)/m-Poids*SIN(M335)/m)</f>
        <v>-7.25147207720835</v>
      </c>
      <c r="AH336" s="417" t="n">
        <f aca="false">IF(AND(L335&lt;L_rampe,Poussee&lt;Poids*SIN(M335)), g*SIN(M335), (-W335+Poussee)/m)</f>
        <v>2.2978865433501</v>
      </c>
    </row>
    <row r="337" customFormat="false" ht="12" hidden="false" customHeight="false" outlineLevel="0" collapsed="false">
      <c r="A337" s="416" t="n">
        <f aca="false">IF(B336+0.01&lt;=T_ini+ROUNDUP(Temps_fin_propu,0), 0.01, IF(K336&gt;0, 0.1, 0.0001))</f>
        <v>0.01</v>
      </c>
      <c r="B337" s="417" t="n">
        <f aca="false">B336+pas</f>
        <v>3.32999999999997</v>
      </c>
      <c r="C337" s="401"/>
      <c r="D337" s="418" t="n">
        <f aca="false">IF(AND(L336&lt;L_rampe,Poussee&lt;Poids*SIN(M336)),0,(-W336+Poussee)/m*COS(M336)-U336/m*SIN(M336))</f>
        <v>0.3490598900973</v>
      </c>
      <c r="E337" s="419" t="n">
        <f aca="false">IF(AND(L336&lt;L_rampe,Poussee&lt;Poids*SIN(M336)),0,(-W336+Poussee)/m*SIN(M336)+U336/m*COS(M336)-Poids/m)</f>
        <v>-8.32685057750152</v>
      </c>
      <c r="F337" s="417" t="n">
        <f aca="false">SQRT(acc_x^2+acc_z^2)</f>
        <v>8.33416362611823</v>
      </c>
      <c r="G337" s="418" t="n">
        <f aca="false">G336+acc_x*pas</f>
        <v>45.1423261605129</v>
      </c>
      <c r="H337" s="419" t="n">
        <f aca="false">H336+acc_z*pas</f>
        <v>191.710861369178</v>
      </c>
      <c r="I337" s="417" t="n">
        <f aca="false">SQRT(vit_x^2+vit_z^2)</f>
        <v>196.954014881886</v>
      </c>
      <c r="J337" s="418" t="n">
        <f aca="false">J336+0.5*(vit_x+G336)*pas*(K336&gt;=0)</f>
        <v>86.5022908763471</v>
      </c>
      <c r="K337" s="419" t="n">
        <f aca="false">K336+0.5*(vit_z+H336)*pas</f>
        <v>395.233278132115</v>
      </c>
      <c r="L337" s="417" t="n">
        <f aca="false">SQRT(pos_x^2+pos_z^2)</f>
        <v>404.588668242097</v>
      </c>
      <c r="M337" s="418" t="n">
        <f aca="false">IF(AND(L336&gt;L_rampe,G337&gt;0),ATAN2(G337,H337),$M$4)</f>
        <v>1.3395381720391</v>
      </c>
      <c r="N337" s="417" t="n">
        <f aca="false">DEGREES(Beta)</f>
        <v>76.7498837545099</v>
      </c>
      <c r="O337" s="401"/>
      <c r="P337" s="420" t="n">
        <f aca="false">MATCH(t-pas/2-T_ini,CdP_t)</f>
        <v>9</v>
      </c>
      <c r="Q337" s="417" t="n">
        <f aca="false">(INDEX(CdP,2,i_P+1)-INDEX(CdP,2,i_P+0))/(INDEX(CdP,1,i_P+1)-INDEX(CdP,1,i_P+0))*(t-pas/2-T_ini-INDEX(CdP,1,i_P+0))+INDEX(CdP,2,i_P+0)</f>
        <v>151.851851851868</v>
      </c>
      <c r="R337" s="418" t="n">
        <f aca="false">Poussee/(g*ISP)</f>
        <v>0.0762073694053934</v>
      </c>
      <c r="S337" s="419" t="n">
        <f aca="false">S336-Débit*pas</f>
        <v>7.3876028720316</v>
      </c>
      <c r="T337" s="417" t="n">
        <f aca="false">m*g</f>
        <v>72.47238417463</v>
      </c>
      <c r="U337" s="421" t="n">
        <f aca="false">IF(pos_xz&lt;L_rampe,Poids*COS(Beta),0)</f>
        <v>0</v>
      </c>
      <c r="V337" s="418" t="n">
        <f aca="false">Rho_moyen*(20000-Alt_rampe-pos_z)/(20000+Alt_rampe+pos_z)</f>
        <v>1.17752216445781</v>
      </c>
      <c r="W337" s="417" t="n">
        <f aca="false">1/2*Rho*Sref*Cx*vit_xz^2</f>
        <v>140.454118779934</v>
      </c>
      <c r="X337" s="401"/>
      <c r="Y337" s="422" t="str">
        <f aca="false">IF(AND(pos_z&lt;=0,K336&gt;0),"Impact balistique","") &amp; IF(AND(H338&lt;0,vit_z&gt;=0),"Apogée","") &amp; IF(AND(Poussee=0,Q336&gt;0),"Fin de propulsion","") &amp; IF(AND(L338&gt;L_rampe,pos_xz&lt;=L_rampe),"Sortie de rampe","")</f>
        <v/>
      </c>
      <c r="Z337" s="423" t="str">
        <f aca="false">IF(ABS(t-T_para)&lt;pas/2,"Para","")</f>
        <v/>
      </c>
      <c r="AA337" s="424" t="str">
        <f aca="false">IF(ABS(t-T_satellite)&lt;pas/2,"Satellite","")</f>
        <v/>
      </c>
      <c r="AB337" s="412"/>
      <c r="AC337" s="420" t="e">
        <f aca="false">IF(ABS(t-ROUND(t,0))&lt;0.001,t,NA())</f>
        <v>#N/A</v>
      </c>
      <c r="AD337" s="425" t="e">
        <f aca="false">IF(ABS(t-ROUND(t,0))&lt;0.001,pos_x,NA())</f>
        <v>#N/A</v>
      </c>
      <c r="AE337" s="426" t="n">
        <f aca="false">IF(t&lt;T_para, pos_z, NA())</f>
        <v>395.233278132115</v>
      </c>
      <c r="AF337" s="412"/>
      <c r="AG337" s="418" t="n">
        <f aca="false">IF(AND(L336&lt;L_rampe,Poussee&lt;Poids*SIN(M336)),0,(-W336+Poussee)/m-Poids*SIN(M336)/m)</f>
        <v>-8.02543091063979</v>
      </c>
      <c r="AH337" s="417" t="n">
        <f aca="false">IF(AND(L336&lt;L_rampe,Poussee&lt;Poids*SIN(M336)), g*SIN(M336), (-W336+Poussee)/m)</f>
        <v>1.52367155789307</v>
      </c>
    </row>
    <row r="338" customFormat="false" ht="12" hidden="false" customHeight="false" outlineLevel="0" collapsed="false">
      <c r="A338" s="416" t="n">
        <f aca="false">IF(B337+0.01&lt;=T_ini+ROUNDUP(Temps_fin_propu,0), 0.01, IF(K337&gt;0, 0.1, 0.0001))</f>
        <v>0.01</v>
      </c>
      <c r="B338" s="417" t="n">
        <f aca="false">B337+pas</f>
        <v>3.33999999999997</v>
      </c>
      <c r="C338" s="401"/>
      <c r="D338" s="418" t="n">
        <f aca="false">IF(AND(L337&lt;L_rampe,Poussee&lt;Poids*SIN(M337)),0,(-W337+Poussee)/m*COS(M337)-U337/m*SIN(M337))</f>
        <v>0.172079523180293</v>
      </c>
      <c r="E338" s="419" t="n">
        <f aca="false">IF(AND(L337&lt;L_rampe,Poussee&lt;Poids*SIN(M337)),0,(-W337+Poussee)/m*SIN(M337)+U337/m*COS(M337)-Poids/m)</f>
        <v>-9.07921103942251</v>
      </c>
      <c r="F338" s="417" t="n">
        <f aca="false">SQRT(acc_x^2+acc_z^2)</f>
        <v>9.08084161631891</v>
      </c>
      <c r="G338" s="418" t="n">
        <f aca="false">G337+acc_x*pas</f>
        <v>45.1440469557447</v>
      </c>
      <c r="H338" s="419" t="n">
        <f aca="false">H337+acc_z*pas</f>
        <v>191.620069258784</v>
      </c>
      <c r="I338" s="417" t="n">
        <f aca="false">SQRT(vit_x^2+vit_z^2)</f>
        <v>196.866035461385</v>
      </c>
      <c r="J338" s="418" t="n">
        <f aca="false">J337+0.5*(vit_x+G337)*pas*(K337&gt;=0)</f>
        <v>86.9537227419284</v>
      </c>
      <c r="K338" s="419" t="n">
        <f aca="false">K337+0.5*(vit_z+H337)*pas</f>
        <v>397.149932785254</v>
      </c>
      <c r="L338" s="417" t="n">
        <f aca="false">SQRT(pos_x^2+pos_z^2)</f>
        <v>406.557522387684</v>
      </c>
      <c r="M338" s="418" t="n">
        <f aca="false">IF(AND(L337&gt;L_rampe,G338&gt;0),ATAN2(G338,H338),$M$4)</f>
        <v>1.33942395857369</v>
      </c>
      <c r="N338" s="417" t="n">
        <f aca="false">DEGREES(Beta)</f>
        <v>76.7433398049782</v>
      </c>
      <c r="O338" s="401"/>
      <c r="P338" s="420" t="n">
        <f aca="false">MATCH(t-pas/2-T_ini,CdP_t)</f>
        <v>9</v>
      </c>
      <c r="Q338" s="417" t="n">
        <f aca="false">(INDEX(CdP,2,i_P+1)-INDEX(CdP,2,i_P+0))/(INDEX(CdP,1,i_P+1)-INDEX(CdP,1,i_P+0))*(t-pas/2-T_ini-INDEX(CdP,1,i_P+0))+INDEX(CdP,2,i_P+0)</f>
        <v>146.000000000016</v>
      </c>
      <c r="R338" s="418" t="n">
        <f aca="false">Poussee/(g*ISP)</f>
        <v>0.0732705976087957</v>
      </c>
      <c r="S338" s="419" t="n">
        <f aca="false">S337-Débit*pas</f>
        <v>7.38687016605551</v>
      </c>
      <c r="T338" s="417" t="n">
        <f aca="false">m*g</f>
        <v>72.4651963290046</v>
      </c>
      <c r="U338" s="421" t="n">
        <f aca="false">IF(pos_xz&lt;L_rampe,Poids*COS(Beta),0)</f>
        <v>0</v>
      </c>
      <c r="V338" s="418" t="n">
        <f aca="false">Rho_moyen*(20000-Alt_rampe-pos_z)/(20000+Alt_rampe+pos_z)</f>
        <v>1.17729640716815</v>
      </c>
      <c r="W338" s="417" t="n">
        <f aca="false">1/2*Rho*Sref*Cx*vit_xz^2</f>
        <v>140.301760869867</v>
      </c>
      <c r="X338" s="401"/>
      <c r="Y338" s="422" t="str">
        <f aca="false">IF(AND(pos_z&lt;=0,K337&gt;0),"Impact balistique","") &amp; IF(AND(H339&lt;0,vit_z&gt;=0),"Apogée","") &amp; IF(AND(Poussee=0,Q337&gt;0),"Fin de propulsion","") &amp; IF(AND(L339&gt;L_rampe,pos_xz&lt;=L_rampe),"Sortie de rampe","")</f>
        <v/>
      </c>
      <c r="Z338" s="423" t="str">
        <f aca="false">IF(ABS(t-T_para)&lt;pas/2,"Para","")</f>
        <v/>
      </c>
      <c r="AA338" s="424" t="str">
        <f aca="false">IF(ABS(t-T_satellite)&lt;pas/2,"Satellite","")</f>
        <v/>
      </c>
      <c r="AB338" s="412"/>
      <c r="AC338" s="420" t="e">
        <f aca="false">IF(ABS(t-ROUND(t,0))&lt;0.001,t,NA())</f>
        <v>#N/A</v>
      </c>
      <c r="AD338" s="425" t="e">
        <f aca="false">IF(ABS(t-ROUND(t,0))&lt;0.001,pos_x,NA())</f>
        <v>#N/A</v>
      </c>
      <c r="AE338" s="426" t="n">
        <f aca="false">IF(t&lt;T_para, pos_z, NA())</f>
        <v>397.149932785254</v>
      </c>
      <c r="AF338" s="412"/>
      <c r="AG338" s="418" t="n">
        <f aca="false">IF(AND(L337&lt;L_rampe,Poussee&lt;Poids*SIN(M337)),0,(-W337+Poussee)/m-Poids*SIN(M337)/m)</f>
        <v>-8.79807045313832</v>
      </c>
      <c r="AH338" s="417" t="n">
        <f aca="false">IF(AND(L337&lt;L_rampe,Poussee&lt;Poids*SIN(M337)), g*SIN(M337), (-W337+Poussee)/m)</f>
        <v>0.750775510522214</v>
      </c>
    </row>
    <row r="339" customFormat="false" ht="12" hidden="false" customHeight="false" outlineLevel="0" collapsed="false">
      <c r="A339" s="416" t="n">
        <f aca="false">IF(B338+0.01&lt;=T_ini+ROUNDUP(Temps_fin_propu,0), 0.01, IF(K338&gt;0, 0.1, 0.0001))</f>
        <v>0.01</v>
      </c>
      <c r="B339" s="417" t="n">
        <f aca="false">B338+pas</f>
        <v>3.34999999999997</v>
      </c>
      <c r="C339" s="401"/>
      <c r="D339" s="418" t="n">
        <f aca="false">IF(AND(L338&lt;L_rampe,Poussee&lt;Poids*SIN(M338)),0,(-W338+Poussee)/m*COS(M338)-U338/m*SIN(M338))</f>
        <v>-0.00476911467089648</v>
      </c>
      <c r="E339" s="419" t="n">
        <f aca="false">IF(AND(L338&lt;L_rampe,Poussee&lt;Poids*SIN(M338)),0,(-W338+Poussee)/m*SIN(M338)+U338/m*COS(M338)-Poids/m)</f>
        <v>-9.83024315818288</v>
      </c>
      <c r="F339" s="417" t="n">
        <f aca="false">SQRT(acc_x^2+acc_z^2)</f>
        <v>9.83024431504406</v>
      </c>
      <c r="G339" s="418" t="n">
        <f aca="false">G338+acc_x*pas</f>
        <v>45.143999264598</v>
      </c>
      <c r="H339" s="419" t="n">
        <f aca="false">H338+acc_z*pas</f>
        <v>191.521766827202</v>
      </c>
      <c r="I339" s="417" t="n">
        <f aca="false">SQRT(vit_x^2+vit_z^2)</f>
        <v>196.770342882801</v>
      </c>
      <c r="J339" s="418" t="n">
        <f aca="false">J338+0.5*(vit_x+G338)*pas*(K338&gt;=0)</f>
        <v>87.4051629730301</v>
      </c>
      <c r="K339" s="419" t="n">
        <f aca="false">K338+0.5*(vit_z+H338)*pas</f>
        <v>399.065641965684</v>
      </c>
      <c r="L339" s="417" t="n">
        <f aca="false">SQRT(pos_x^2+pos_z^2)</f>
        <v>408.525457115987</v>
      </c>
      <c r="M339" s="418" t="n">
        <f aca="false">IF(AND(L338&gt;L_rampe,G339&gt;0),ATAN2(G339,H339),$M$4)</f>
        <v>1.33930963413982</v>
      </c>
      <c r="N339" s="417" t="n">
        <f aca="false">DEGREES(Beta)</f>
        <v>76.7367894974221</v>
      </c>
      <c r="O339" s="401"/>
      <c r="P339" s="420" t="n">
        <f aca="false">MATCH(t-pas/2-T_ini,CdP_t)</f>
        <v>9</v>
      </c>
      <c r="Q339" s="417" t="n">
        <f aca="false">(INDEX(CdP,2,i_P+1)-INDEX(CdP,2,i_P+0))/(INDEX(CdP,1,i_P+1)-INDEX(CdP,1,i_P+0))*(t-pas/2-T_ini-INDEX(CdP,1,i_P+0))+INDEX(CdP,2,i_P+0)</f>
        <v>140.148148148164</v>
      </c>
      <c r="R339" s="418" t="n">
        <f aca="false">Poussee/(g*ISP)</f>
        <v>0.070333825812198</v>
      </c>
      <c r="S339" s="419" t="n">
        <f aca="false">S338-Débit*pas</f>
        <v>7.38616682779739</v>
      </c>
      <c r="T339" s="417" t="n">
        <f aca="false">m*g</f>
        <v>72.4582965806924</v>
      </c>
      <c r="U339" s="421" t="n">
        <f aca="false">IF(pos_xz&lt;L_rampe,Poids*COS(Beta),0)</f>
        <v>0</v>
      </c>
      <c r="V339" s="418" t="n">
        <f aca="false">Rho_moyen*(20000-Alt_rampe-pos_z)/(20000+Alt_rampe+pos_z)</f>
        <v>1.17707080363502</v>
      </c>
      <c r="W339" s="417" t="n">
        <f aca="false">1/2*Rho*Sref*Cx*vit_xz^2</f>
        <v>140.138538667051</v>
      </c>
      <c r="X339" s="401"/>
      <c r="Y339" s="422" t="str">
        <f aca="false">IF(AND(pos_z&lt;=0,K338&gt;0),"Impact balistique","") &amp; IF(AND(H340&lt;0,vit_z&gt;=0),"Apogée","") &amp; IF(AND(Poussee=0,Q338&gt;0),"Fin de propulsion","") &amp; IF(AND(L340&gt;L_rampe,pos_xz&lt;=L_rampe),"Sortie de rampe","")</f>
        <v/>
      </c>
      <c r="Z339" s="423" t="str">
        <f aca="false">IF(ABS(t-T_para)&lt;pas/2,"Para","")</f>
        <v/>
      </c>
      <c r="AA339" s="424" t="str">
        <f aca="false">IF(ABS(t-T_satellite)&lt;pas/2,"Satellite","")</f>
        <v/>
      </c>
      <c r="AB339" s="412"/>
      <c r="AC339" s="420" t="e">
        <f aca="false">IF(ABS(t-ROUND(t,0))&lt;0.001,t,NA())</f>
        <v>#N/A</v>
      </c>
      <c r="AD339" s="425" t="e">
        <f aca="false">IF(ABS(t-ROUND(t,0))&lt;0.001,pos_x,NA())</f>
        <v>#N/A</v>
      </c>
      <c r="AE339" s="426" t="n">
        <f aca="false">IF(t&lt;T_para, pos_z, NA())</f>
        <v>399.065641965684</v>
      </c>
      <c r="AF339" s="412"/>
      <c r="AG339" s="418" t="n">
        <f aca="false">IF(AND(L338&lt;L_rampe,Poussee&lt;Poids*SIN(M338)),0,(-W338+Poussee)/m-Poids*SIN(M338)/m)</f>
        <v>-9.56938644862304</v>
      </c>
      <c r="AH339" s="417" t="n">
        <f aca="false">IF(AND(L338&lt;L_rampe,Poussee&lt;Poids*SIN(M338)), g*SIN(M338), (-W338+Poussee)/m)</f>
        <v>-0.0207973533883773</v>
      </c>
    </row>
    <row r="340" customFormat="false" ht="12" hidden="false" customHeight="false" outlineLevel="0" collapsed="false">
      <c r="A340" s="416" t="n">
        <f aca="false">IF(B339+0.01&lt;=T_ini+ROUNDUP(Temps_fin_propu,0), 0.01, IF(K339&gt;0, 0.1, 0.0001))</f>
        <v>0.01</v>
      </c>
      <c r="B340" s="417" t="n">
        <f aca="false">B339+pas</f>
        <v>3.35999999999997</v>
      </c>
      <c r="C340" s="401"/>
      <c r="D340" s="418" t="n">
        <f aca="false">IF(AND(L339&lt;L_rampe,Poussee&lt;Poids*SIN(M339)),0,(-W339+Poussee)/m*COS(M339)-U339/m*SIN(M339))</f>
        <v>-0.181484891206481</v>
      </c>
      <c r="E340" s="419" t="n">
        <f aca="false">IF(AND(L339&lt;L_rampe,Poussee&lt;Poids*SIN(M339)),0,(-W339+Poussee)/m*SIN(M339)+U339/m*COS(M339)-Poids/m)</f>
        <v>-10.5799430175112</v>
      </c>
      <c r="F340" s="417" t="n">
        <f aca="false">SQRT(acc_x^2+acc_z^2)</f>
        <v>10.5814994693342</v>
      </c>
      <c r="G340" s="418" t="n">
        <f aca="false">G339+acc_x*pas</f>
        <v>45.1421844156859</v>
      </c>
      <c r="H340" s="419" t="n">
        <f aca="false">H339+acc_z*pas</f>
        <v>191.415967397027</v>
      </c>
      <c r="I340" s="417" t="n">
        <f aca="false">SQRT(vit_x^2+vit_z^2)</f>
        <v>196.666950422178</v>
      </c>
      <c r="J340" s="418" t="n">
        <f aca="false">J339+0.5*(vit_x+G339)*pas*(K339&gt;=0)</f>
        <v>87.8565938914315</v>
      </c>
      <c r="K340" s="419" t="n">
        <f aca="false">K339+0.5*(vit_z+H339)*pas</f>
        <v>400.980330636806</v>
      </c>
      <c r="L340" s="417" t="n">
        <f aca="false">SQRT(pos_x^2+pos_z^2)</f>
        <v>410.492395359288</v>
      </c>
      <c r="M340" s="418" t="n">
        <f aca="false">IF(AND(L339&gt;L_rampe,G340&gt;0),ATAN2(G340,H340),$M$4)</f>
        <v>1.33919519409675</v>
      </c>
      <c r="N340" s="417" t="n">
        <f aca="false">DEGREES(Beta)</f>
        <v>76.7302325659469</v>
      </c>
      <c r="O340" s="401"/>
      <c r="P340" s="420" t="n">
        <f aca="false">MATCH(t-pas/2-T_ini,CdP_t)</f>
        <v>9</v>
      </c>
      <c r="Q340" s="417" t="n">
        <f aca="false">(INDEX(CdP,2,i_P+1)-INDEX(CdP,2,i_P+0))/(INDEX(CdP,1,i_P+1)-INDEX(CdP,1,i_P+0))*(t-pas/2-T_ini-INDEX(CdP,1,i_P+0))+INDEX(CdP,2,i_P+0)</f>
        <v>134.296296296313</v>
      </c>
      <c r="R340" s="418" t="n">
        <f aca="false">Poussee/(g*ISP)</f>
        <v>0.0673970540156002</v>
      </c>
      <c r="S340" s="419" t="n">
        <f aca="false">S339-Débit*pas</f>
        <v>7.38549285725723</v>
      </c>
      <c r="T340" s="417" t="n">
        <f aca="false">m*g</f>
        <v>72.4516849296935</v>
      </c>
      <c r="U340" s="421" t="n">
        <f aca="false">IF(pos_xz&lt;L_rampe,Poids*COS(Beta),0)</f>
        <v>0</v>
      </c>
      <c r="V340" s="418" t="n">
        <f aca="false">Rho_moyen*(20000-Alt_rampe-pos_z)/(20000+Alt_rampe+pos_z)</f>
        <v>1.17684536261795</v>
      </c>
      <c r="W340" s="417" t="n">
        <f aca="false">1/2*Rho*Sref*Cx*vit_xz^2</f>
        <v>139.964494367313</v>
      </c>
      <c r="X340" s="401"/>
      <c r="Y340" s="422" t="str">
        <f aca="false">IF(AND(pos_z&lt;=0,K339&gt;0),"Impact balistique","") &amp; IF(AND(H341&lt;0,vit_z&gt;=0),"Apogée","") &amp; IF(AND(Poussee=0,Q339&gt;0),"Fin de propulsion","") &amp; IF(AND(L341&gt;L_rampe,pos_xz&lt;=L_rampe),"Sortie de rampe","")</f>
        <v/>
      </c>
      <c r="Z340" s="423" t="str">
        <f aca="false">IF(ABS(t-T_para)&lt;pas/2,"Para","")</f>
        <v/>
      </c>
      <c r="AA340" s="424" t="str">
        <f aca="false">IF(ABS(t-T_satellite)&lt;pas/2,"Satellite","")</f>
        <v/>
      </c>
      <c r="AB340" s="412"/>
      <c r="AC340" s="420" t="e">
        <f aca="false">IF(ABS(t-ROUND(t,0))&lt;0.001,t,NA())</f>
        <v>#N/A</v>
      </c>
      <c r="AD340" s="425" t="e">
        <f aca="false">IF(ABS(t-ROUND(t,0))&lt;0.001,pos_x,NA())</f>
        <v>#N/A</v>
      </c>
      <c r="AE340" s="426" t="n">
        <f aca="false">IF(t&lt;T_para, pos_z, NA())</f>
        <v>400.980330636806</v>
      </c>
      <c r="AF340" s="412"/>
      <c r="AG340" s="418" t="n">
        <f aca="false">IF(AND(L339&lt;L_rampe,Poussee&lt;Poids*SIN(M339)),0,(-W339+Poussee)/m-Poids*SIN(M339)/m)</f>
        <v>-10.3393748449775</v>
      </c>
      <c r="AH340" s="417" t="n">
        <f aca="false">IF(AND(L339&lt;L_rampe,Poussee&lt;Poids*SIN(M339)), g*SIN(M339), (-W339+Poussee)/m)</f>
        <v>-0.791042992479215</v>
      </c>
    </row>
    <row r="341" customFormat="false" ht="12" hidden="false" customHeight="false" outlineLevel="0" collapsed="false">
      <c r="A341" s="416" t="n">
        <f aca="false">IF(B340+0.01&lt;=T_ini+ROUNDUP(Temps_fin_propu,0), 0.01, IF(K340&gt;0, 0.1, 0.0001))</f>
        <v>0.01</v>
      </c>
      <c r="B341" s="417" t="n">
        <f aca="false">B340+pas</f>
        <v>3.36999999999997</v>
      </c>
      <c r="C341" s="401"/>
      <c r="D341" s="418" t="n">
        <f aca="false">IF(AND(L340&lt;L_rampe,Poussee&lt;Poids*SIN(M340)),0,(-W340+Poussee)/m*COS(M340)-U340/m*SIN(M340))</f>
        <v>-0.358066731919108</v>
      </c>
      <c r="E341" s="419" t="n">
        <f aca="false">IF(AND(L340&lt;L_rampe,Poussee&lt;Poids*SIN(M340)),0,(-W340+Poussee)/m*SIN(M340)+U340/m*COS(M340)-Poids/m)</f>
        <v>-11.3283068956488</v>
      </c>
      <c r="F341" s="417" t="n">
        <f aca="false">SQRT(acc_x^2+acc_z^2)</f>
        <v>11.3339643949729</v>
      </c>
      <c r="G341" s="418" t="n">
        <f aca="false">G340+acc_x*pas</f>
        <v>45.1386037483668</v>
      </c>
      <c r="H341" s="419" t="n">
        <f aca="false">H340+acc_z*pas</f>
        <v>191.30268432807</v>
      </c>
      <c r="I341" s="417" t="n">
        <f aca="false">SQRT(vit_x^2+vit_z^2)</f>
        <v>196.555871394058</v>
      </c>
      <c r="J341" s="418" t="n">
        <f aca="false">J340+0.5*(vit_x+G340)*pas*(K340&gt;=0)</f>
        <v>88.3079978322517</v>
      </c>
      <c r="K341" s="419" t="n">
        <f aca="false">K340+0.5*(vit_z+H340)*pas</f>
        <v>402.893923895431</v>
      </c>
      <c r="L341" s="417" t="n">
        <f aca="false">SQRT(pos_x^2+pos_z^2)</f>
        <v>412.458260182771</v>
      </c>
      <c r="M341" s="418" t="n">
        <f aca="false">IF(AND(L340&gt;L_rampe,G341&gt;0),ATAN2(G341,H341),$M$4)</f>
        <v>1.33908063378835</v>
      </c>
      <c r="N341" s="417" t="n">
        <f aca="false">DEGREES(Beta)</f>
        <v>76.723668743776</v>
      </c>
      <c r="O341" s="401"/>
      <c r="P341" s="420" t="n">
        <f aca="false">MATCH(t-pas/2-T_ini,CdP_t)</f>
        <v>9</v>
      </c>
      <c r="Q341" s="417" t="n">
        <f aca="false">(INDEX(CdP,2,i_P+1)-INDEX(CdP,2,i_P+0))/(INDEX(CdP,1,i_P+1)-INDEX(CdP,1,i_P+0))*(t-pas/2-T_ini-INDEX(CdP,1,i_P+0))+INDEX(CdP,2,i_P+0)</f>
        <v>128.444444444461</v>
      </c>
      <c r="R341" s="418" t="n">
        <f aca="false">Poussee/(g*ISP)</f>
        <v>0.0644602822190025</v>
      </c>
      <c r="S341" s="419" t="n">
        <f aca="false">S340-Débit*pas</f>
        <v>7.38484825443504</v>
      </c>
      <c r="T341" s="417" t="n">
        <f aca="false">m*g</f>
        <v>72.4453613760078</v>
      </c>
      <c r="U341" s="421" t="n">
        <f aca="false">IF(pos_xz&lt;L_rampe,Poids*COS(Beta),0)</f>
        <v>0</v>
      </c>
      <c r="V341" s="418" t="n">
        <f aca="false">Rho_moyen*(20000-Alt_rampe-pos_z)/(20000+Alt_rampe+pos_z)</f>
        <v>1.17662009285419</v>
      </c>
      <c r="W341" s="417" t="n">
        <f aca="false">1/2*Rho*Sref*Cx*vit_xz^2</f>
        <v>139.779671427361</v>
      </c>
      <c r="X341" s="401"/>
      <c r="Y341" s="422" t="str">
        <f aca="false">IF(AND(pos_z&lt;=0,K340&gt;0),"Impact balistique","") &amp; IF(AND(H342&lt;0,vit_z&gt;=0),"Apogée","") &amp; IF(AND(Poussee=0,Q340&gt;0),"Fin de propulsion","") &amp; IF(AND(L342&gt;L_rampe,pos_xz&lt;=L_rampe),"Sortie de rampe","")</f>
        <v/>
      </c>
      <c r="Z341" s="423" t="str">
        <f aca="false">IF(ABS(t-T_para)&lt;pas/2,"Para","")</f>
        <v/>
      </c>
      <c r="AA341" s="424" t="str">
        <f aca="false">IF(ABS(t-T_satellite)&lt;pas/2,"Satellite","")</f>
        <v/>
      </c>
      <c r="AB341" s="412"/>
      <c r="AC341" s="420" t="e">
        <f aca="false">IF(ABS(t-ROUND(t,0))&lt;0.001,t,NA())</f>
        <v>#N/A</v>
      </c>
      <c r="AD341" s="425" t="e">
        <f aca="false">IF(ABS(t-ROUND(t,0))&lt;0.001,pos_x,NA())</f>
        <v>#N/A</v>
      </c>
      <c r="AE341" s="426" t="n">
        <f aca="false">IF(t&lt;T_para, pos_z, NA())</f>
        <v>402.893923895431</v>
      </c>
      <c r="AF341" s="412"/>
      <c r="AG341" s="418" t="n">
        <f aca="false">IF(AND(L340&lt;L_rampe,Poussee&lt;Poids*SIN(M340)),0,(-W340+Poussee)/m-Poids*SIN(M340)/m)</f>
        <v>-11.1080317926163</v>
      </c>
      <c r="AH341" s="417" t="n">
        <f aca="false">IF(AND(L340&lt;L_rampe,Poussee&lt;Poids*SIN(M340)), g*SIN(M340), (-W340+Poussee)/m)</f>
        <v>-1.55995756797487</v>
      </c>
    </row>
    <row r="342" customFormat="false" ht="12" hidden="false" customHeight="false" outlineLevel="0" collapsed="false">
      <c r="A342" s="416" t="n">
        <f aca="false">IF(B341+0.01&lt;=T_ini+ROUNDUP(Temps_fin_propu,0), 0.01, IF(K341&gt;0, 0.1, 0.0001))</f>
        <v>0.01</v>
      </c>
      <c r="B342" s="417" t="n">
        <f aca="false">B341+pas</f>
        <v>3.37999999999997</v>
      </c>
      <c r="C342" s="401"/>
      <c r="D342" s="418" t="n">
        <f aca="false">IF(AND(L341&lt;L_rampe,Poussee&lt;Poids*SIN(M341)),0,(-W341+Poussee)/m*COS(M341)-U341/m*SIN(M341))</f>
        <v>-0.534513619816215</v>
      </c>
      <c r="E342" s="419" t="n">
        <f aca="false">IF(AND(L341&lt;L_rampe,Poussee&lt;Poids*SIN(M341)),0,(-W341+Poussee)/m*SIN(M341)+U341/m*COS(M341)-Poids/m)</f>
        <v>-12.0753312639174</v>
      </c>
      <c r="F342" s="417" t="n">
        <f aca="false">SQRT(acc_x^2+acc_z^2)</f>
        <v>12.087155577021</v>
      </c>
      <c r="G342" s="418" t="n">
        <f aca="false">G341+acc_x*pas</f>
        <v>45.1332586121686</v>
      </c>
      <c r="H342" s="419" t="n">
        <f aca="false">H341+acc_z*pas</f>
        <v>191.181931015431</v>
      </c>
      <c r="I342" s="417" t="n">
        <f aca="false">SQRT(vit_x^2+vit_z^2)</f>
        <v>196.437119149467</v>
      </c>
      <c r="J342" s="418" t="n">
        <f aca="false">J341+0.5*(vit_x+G341)*pas*(K341&gt;=0)</f>
        <v>88.7593571440544</v>
      </c>
      <c r="K342" s="419" t="n">
        <f aca="false">K341+0.5*(vit_z+H341)*pas</f>
        <v>404.806346972149</v>
      </c>
      <c r="L342" s="417" t="n">
        <f aca="false">SQRT(pos_x^2+pos_z^2)</f>
        <v>414.422974784895</v>
      </c>
      <c r="M342" s="418" t="n">
        <f aca="false">IF(AND(L341&gt;L_rampe,G342&gt;0),ATAN2(G342,H342),$M$4)</f>
        <v>1.33896594854201</v>
      </c>
      <c r="N342" s="417" t="n">
        <f aca="false">DEGREES(Beta)</f>
        <v>76.7170977631883</v>
      </c>
      <c r="O342" s="401"/>
      <c r="P342" s="420" t="n">
        <f aca="false">MATCH(t-pas/2-T_ini,CdP_t)</f>
        <v>9</v>
      </c>
      <c r="Q342" s="417" t="n">
        <f aca="false">(INDEX(CdP,2,i_P+1)-INDEX(CdP,2,i_P+0))/(INDEX(CdP,1,i_P+1)-INDEX(CdP,1,i_P+0))*(t-pas/2-T_ini-INDEX(CdP,1,i_P+0))+INDEX(CdP,2,i_P+0)</f>
        <v>122.592592592609</v>
      </c>
      <c r="R342" s="418" t="n">
        <f aca="false">Poussee/(g*ISP)</f>
        <v>0.0615235104224048</v>
      </c>
      <c r="S342" s="419" t="n">
        <f aca="false">S341-Débit*pas</f>
        <v>7.38423301933082</v>
      </c>
      <c r="T342" s="417" t="n">
        <f aca="false">m*g</f>
        <v>72.4393259196354</v>
      </c>
      <c r="U342" s="421" t="n">
        <f aca="false">IF(pos_xz&lt;L_rampe,Poids*COS(Beta),0)</f>
        <v>0</v>
      </c>
      <c r="V342" s="418" t="n">
        <f aca="false">Rho_moyen*(20000-Alt_rampe-pos_z)/(20000+Alt_rampe+pos_z)</f>
        <v>1.17639500305873</v>
      </c>
      <c r="W342" s="417" t="n">
        <f aca="false">1/2*Rho*Sref*Cx*vit_xz^2</f>
        <v>139.58411455238</v>
      </c>
      <c r="X342" s="401"/>
      <c r="Y342" s="422" t="str">
        <f aca="false">IF(AND(pos_z&lt;=0,K341&gt;0),"Impact balistique","") &amp; IF(AND(H343&lt;0,vit_z&gt;=0),"Apogée","") &amp; IF(AND(Poussee=0,Q341&gt;0),"Fin de propulsion","") &amp; IF(AND(L343&gt;L_rampe,pos_xz&lt;=L_rampe),"Sortie de rampe","")</f>
        <v/>
      </c>
      <c r="Z342" s="423" t="str">
        <f aca="false">IF(ABS(t-T_para)&lt;pas/2,"Para","")</f>
        <v/>
      </c>
      <c r="AA342" s="424" t="str">
        <f aca="false">IF(ABS(t-T_satellite)&lt;pas/2,"Satellite","")</f>
        <v/>
      </c>
      <c r="AB342" s="412"/>
      <c r="AC342" s="420" t="e">
        <f aca="false">IF(ABS(t-ROUND(t,0))&lt;0.001,t,NA())</f>
        <v>#N/A</v>
      </c>
      <c r="AD342" s="425" t="e">
        <f aca="false">IF(ABS(t-ROUND(t,0))&lt;0.001,pos_x,NA())</f>
        <v>#N/A</v>
      </c>
      <c r="AE342" s="426" t="n">
        <f aca="false">IF(t&lt;T_para, pos_z, NA())</f>
        <v>404.806346972149</v>
      </c>
      <c r="AF342" s="412"/>
      <c r="AG342" s="418" t="n">
        <f aca="false">IF(AND(L341&lt;L_rampe,Poussee&lt;Poids*SIN(M341)),0,(-W341+Poussee)/m-Poids*SIN(M341)/m)</f>
        <v>-11.8753536430437</v>
      </c>
      <c r="AH342" s="417" t="n">
        <f aca="false">IF(AND(L341&lt;L_rampe,Poussee&lt;Poids*SIN(M341)), g*SIN(M341), (-W341+Poussee)/m)</f>
        <v>-2.32753744224465</v>
      </c>
    </row>
    <row r="343" customFormat="false" ht="12" hidden="false" customHeight="false" outlineLevel="0" collapsed="false">
      <c r="A343" s="416" t="n">
        <f aca="false">IF(B342+0.01&lt;=T_ini+ROUNDUP(Temps_fin_propu,0), 0.01, IF(K342&gt;0, 0.1, 0.0001))</f>
        <v>0.01</v>
      </c>
      <c r="B343" s="417" t="n">
        <f aca="false">B342+pas</f>
        <v>3.38999999999997</v>
      </c>
      <c r="C343" s="401"/>
      <c r="D343" s="418" t="n">
        <f aca="false">IF(AND(L342&lt;L_rampe,Poussee&lt;Poids*SIN(M342)),0,(-W342+Poussee)/m*COS(M342)-U342/m*SIN(M342))</f>
        <v>-0.710824595194064</v>
      </c>
      <c r="E343" s="419" t="n">
        <f aca="false">IF(AND(L342&lt;L_rampe,Poussee&lt;Poids*SIN(M342)),0,(-W342+Poussee)/m*SIN(M342)+U342/m*COS(M342)-Poids/m)</f>
        <v>-12.8210127852772</v>
      </c>
      <c r="F343" s="417" t="n">
        <f aca="false">SQRT(acc_x^2+acc_z^2)</f>
        <v>12.8407024903381</v>
      </c>
      <c r="G343" s="418" t="n">
        <f aca="false">G342+acc_x*pas</f>
        <v>45.1261503662167</v>
      </c>
      <c r="H343" s="419" t="n">
        <f aca="false">H342+acc_z*pas</f>
        <v>191.053720887578</v>
      </c>
      <c r="I343" s="417" t="n">
        <f aca="false">SQRT(vit_x^2+vit_z^2)</f>
        <v>196.310707073921</v>
      </c>
      <c r="J343" s="418" t="n">
        <f aca="false">J342+0.5*(vit_x+G342)*pas*(K342&gt;=0)</f>
        <v>89.2106541889464</v>
      </c>
      <c r="K343" s="419" t="n">
        <f aca="false">K342+0.5*(vit_z+H342)*pas</f>
        <v>406.717525231664</v>
      </c>
      <c r="L343" s="417" t="n">
        <f aca="false">SQRT(pos_x^2+pos_z^2)</f>
        <v>416.386462497748</v>
      </c>
      <c r="M343" s="418" t="n">
        <f aca="false">IF(AND(L342&gt;L_rampe,G343&gt;0),ATAN2(G343,H343),$M$4)</f>
        <v>1.33885113366755</v>
      </c>
      <c r="N343" s="417" t="n">
        <f aca="false">DEGREES(Beta)</f>
        <v>76.7105193554562</v>
      </c>
      <c r="O343" s="401"/>
      <c r="P343" s="420" t="n">
        <f aca="false">MATCH(t-pas/2-T_ini,CdP_t)</f>
        <v>9</v>
      </c>
      <c r="Q343" s="417" t="n">
        <f aca="false">(INDEX(CdP,2,i_P+1)-INDEX(CdP,2,i_P+0))/(INDEX(CdP,1,i_P+1)-INDEX(CdP,1,i_P+0))*(t-pas/2-T_ini-INDEX(CdP,1,i_P+0))+INDEX(CdP,2,i_P+0)</f>
        <v>116.740740740757</v>
      </c>
      <c r="R343" s="418" t="n">
        <f aca="false">Poussee/(g*ISP)</f>
        <v>0.0585867386258071</v>
      </c>
      <c r="S343" s="419" t="n">
        <f aca="false">S342-Débit*pas</f>
        <v>7.38364715194456</v>
      </c>
      <c r="T343" s="417" t="n">
        <f aca="false">m*g</f>
        <v>72.4335785605762</v>
      </c>
      <c r="U343" s="421" t="n">
        <f aca="false">IF(pos_xz&lt;L_rampe,Poids*COS(Beta),0)</f>
        <v>0</v>
      </c>
      <c r="V343" s="418" t="n">
        <f aca="false">Rho_moyen*(20000-Alt_rampe-pos_z)/(20000+Alt_rampe+pos_z)</f>
        <v>1.17617010192426</v>
      </c>
      <c r="W343" s="417" t="n">
        <f aca="false">1/2*Rho*Sref*Cx*vit_xz^2</f>
        <v>139.377869683664</v>
      </c>
      <c r="X343" s="401"/>
      <c r="Y343" s="422" t="str">
        <f aca="false">IF(AND(pos_z&lt;=0,K342&gt;0),"Impact balistique","") &amp; IF(AND(H344&lt;0,vit_z&gt;=0),"Apogée","") &amp; IF(AND(Poussee=0,Q342&gt;0),"Fin de propulsion","") &amp; IF(AND(L344&gt;L_rampe,pos_xz&lt;=L_rampe),"Sortie de rampe","")</f>
        <v/>
      </c>
      <c r="Z343" s="423" t="str">
        <f aca="false">IF(ABS(t-T_para)&lt;pas/2,"Para","")</f>
        <v/>
      </c>
      <c r="AA343" s="424" t="str">
        <f aca="false">IF(ABS(t-T_satellite)&lt;pas/2,"Satellite","")</f>
        <v/>
      </c>
      <c r="AB343" s="412"/>
      <c r="AC343" s="420" t="e">
        <f aca="false">IF(ABS(t-ROUND(t,0))&lt;0.001,t,NA())</f>
        <v>#N/A</v>
      </c>
      <c r="AD343" s="425" t="e">
        <f aca="false">IF(ABS(t-ROUND(t,0))&lt;0.001,pos_x,NA())</f>
        <v>#N/A</v>
      </c>
      <c r="AE343" s="426" t="n">
        <f aca="false">IF(t&lt;T_para, pos_z, NA())</f>
        <v>406.717525231664</v>
      </c>
      <c r="AF343" s="412"/>
      <c r="AG343" s="418" t="n">
        <f aca="false">IF(AND(L342&lt;L_rampe,Poussee&lt;Poids*SIN(M342)),0,(-W342+Poussee)/m-Poids*SIN(M342)/m)</f>
        <v>-12.6413369474033</v>
      </c>
      <c r="AH343" s="417" t="n">
        <f aca="false">IF(AND(L342&lt;L_rampe,Poussee&lt;Poids*SIN(M342)), g*SIN(M342), (-W342+Poussee)/m)</f>
        <v>-3.09377917735506</v>
      </c>
    </row>
    <row r="344" customFormat="false" ht="12" hidden="false" customHeight="false" outlineLevel="0" collapsed="false">
      <c r="A344" s="416" t="n">
        <f aca="false">IF(B343+0.01&lt;=T_ini+ROUNDUP(Temps_fin_propu,0), 0.01, IF(K343&gt;0, 0.1, 0.0001))</f>
        <v>0.01</v>
      </c>
      <c r="B344" s="417" t="n">
        <f aca="false">B343+pas</f>
        <v>3.39999999999997</v>
      </c>
      <c r="C344" s="401"/>
      <c r="D344" s="418" t="n">
        <f aca="false">IF(AND(L343&lt;L_rampe,Poussee&lt;Poids*SIN(M343)),0,(-W343+Poussee)/m*COS(M343)-U343/m*SIN(M343))</f>
        <v>-0.886998755413575</v>
      </c>
      <c r="E344" s="419" t="n">
        <f aca="false">IF(AND(L343&lt;L_rampe,Poussee&lt;Poids*SIN(M343)),0,(-W343+Poussee)/m*SIN(M343)+U343/m*COS(M343)-Poids/m)</f>
        <v>-13.5653483128772</v>
      </c>
      <c r="F344" s="417" t="n">
        <f aca="false">SQRT(acc_x^2+acc_z^2)</f>
        <v>13.594316519847</v>
      </c>
      <c r="G344" s="418" t="n">
        <f aca="false">G343+acc_x*pas</f>
        <v>45.1172803786625</v>
      </c>
      <c r="H344" s="419" t="n">
        <f aca="false">H343+acc_z*pas</f>
        <v>190.918067404449</v>
      </c>
      <c r="I344" s="417" t="n">
        <f aca="false">SQRT(vit_x^2+vit_z^2)</f>
        <v>196.176648585444</v>
      </c>
      <c r="J344" s="418" t="n">
        <f aca="false">J343+0.5*(vit_x+G343)*pas*(K343&gt;=0)</f>
        <v>89.6618713426708</v>
      </c>
      <c r="K344" s="419" t="n">
        <f aca="false">K343+0.5*(vit_z+H343)*pas</f>
        <v>408.627384173124</v>
      </c>
      <c r="L344" s="417" t="n">
        <f aca="false">SQRT(pos_x^2+pos_z^2)</f>
        <v>418.348646787389</v>
      </c>
      <c r="M344" s="418" t="n">
        <f aca="false">IF(AND(L343&gt;L_rampe,G344&gt;0),ATAN2(G344,H344),$M$4)</f>
        <v>1.33873618445612</v>
      </c>
      <c r="N344" s="417" t="n">
        <f aca="false">DEGREES(Beta)</f>
        <v>76.7039332507827</v>
      </c>
      <c r="O344" s="401"/>
      <c r="P344" s="420" t="n">
        <f aca="false">MATCH(t-pas/2-T_ini,CdP_t)</f>
        <v>9</v>
      </c>
      <c r="Q344" s="417" t="n">
        <f aca="false">(INDEX(CdP,2,i_P+1)-INDEX(CdP,2,i_P+0))/(INDEX(CdP,1,i_P+1)-INDEX(CdP,1,i_P+0))*(t-pas/2-T_ini-INDEX(CdP,1,i_P+0))+INDEX(CdP,2,i_P+0)</f>
        <v>110.888888888906</v>
      </c>
      <c r="R344" s="418" t="n">
        <f aca="false">Poussee/(g*ISP)</f>
        <v>0.0556499668292094</v>
      </c>
      <c r="S344" s="419" t="n">
        <f aca="false">S343-Débit*pas</f>
        <v>7.38309065227627</v>
      </c>
      <c r="T344" s="417" t="n">
        <f aca="false">m*g</f>
        <v>72.4281192988302</v>
      </c>
      <c r="U344" s="421" t="n">
        <f aca="false">IF(pos_xz&lt;L_rampe,Poids*COS(Beta),0)</f>
        <v>0</v>
      </c>
      <c r="V344" s="418" t="n">
        <f aca="false">Rho_moyen*(20000-Alt_rampe-pos_z)/(20000+Alt_rampe+pos_z)</f>
        <v>1.17594539812116</v>
      </c>
      <c r="W344" s="417" t="n">
        <f aca="false">1/2*Rho*Sref*Cx*vit_xz^2</f>
        <v>139.160983986282</v>
      </c>
      <c r="X344" s="401"/>
      <c r="Y344" s="422" t="str">
        <f aca="false">IF(AND(pos_z&lt;=0,K343&gt;0),"Impact balistique","") &amp; IF(AND(H345&lt;0,vit_z&gt;=0),"Apogée","") &amp; IF(AND(Poussee=0,Q343&gt;0),"Fin de propulsion","") &amp; IF(AND(L345&gt;L_rampe,pos_xz&lt;=L_rampe),"Sortie de rampe","")</f>
        <v/>
      </c>
      <c r="Z344" s="423" t="str">
        <f aca="false">IF(ABS(t-T_para)&lt;pas/2,"Para","")</f>
        <v/>
      </c>
      <c r="AA344" s="424" t="str">
        <f aca="false">IF(ABS(t-T_satellite)&lt;pas/2,"Satellite","")</f>
        <v/>
      </c>
      <c r="AB344" s="412"/>
      <c r="AC344" s="420" t="e">
        <f aca="false">IF(ABS(t-ROUND(t,0))&lt;0.001,t,NA())</f>
        <v>#N/A</v>
      </c>
      <c r="AD344" s="425" t="e">
        <f aca="false">IF(ABS(t-ROUND(t,0))&lt;0.001,pos_x,NA())</f>
        <v>#N/A</v>
      </c>
      <c r="AE344" s="426" t="n">
        <f aca="false">IF(t&lt;T_para, pos_z, NA())</f>
        <v>408.627384173124</v>
      </c>
      <c r="AF344" s="412"/>
      <c r="AG344" s="418" t="n">
        <f aca="false">IF(AND(L343&lt;L_rampe,Poussee&lt;Poids*SIN(M343)),0,(-W343+Poussee)/m-Poids*SIN(M343)/m)</f>
        <v>-13.4059784550196</v>
      </c>
      <c r="AH344" s="417" t="n">
        <f aca="false">IF(AND(L343&lt;L_rampe,Poussee&lt;Poids*SIN(M343)), g*SIN(M343), (-W343+Poussee)/m)</f>
        <v>-3.85867953361443</v>
      </c>
    </row>
    <row r="345" customFormat="false" ht="12" hidden="false" customHeight="false" outlineLevel="0" collapsed="false">
      <c r="A345" s="416" t="n">
        <f aca="false">IF(B344+0.01&lt;=T_ini+ROUNDUP(Temps_fin_propu,0), 0.01, IF(K344&gt;0, 0.1, 0.0001))</f>
        <v>0.01</v>
      </c>
      <c r="B345" s="417" t="n">
        <f aca="false">B344+pas</f>
        <v>3.40999999999997</v>
      </c>
      <c r="C345" s="401"/>
      <c r="D345" s="418" t="n">
        <f aca="false">IF(AND(L344&lt;L_rampe,Poussee&lt;Poids*SIN(M344)),0,(-W344+Poussee)/m*COS(M344)-U344/m*SIN(M344))</f>
        <v>-1.06303525467815</v>
      </c>
      <c r="E345" s="419" t="n">
        <f aca="false">IF(AND(L344&lt;L_rampe,Poussee&lt;Poids*SIN(M344)),0,(-W344+Poussee)/m*SIN(M344)+U344/m*COS(M344)-Poids/m)</f>
        <v>-14.308334888597</v>
      </c>
      <c r="F345" s="417" t="n">
        <f aca="false">SQRT(acc_x^2+acc_z^2)</f>
        <v>14.347769556169</v>
      </c>
      <c r="G345" s="418" t="n">
        <f aca="false">G344+acc_x*pas</f>
        <v>45.1066500261157</v>
      </c>
      <c r="H345" s="419" t="n">
        <f aca="false">H344+acc_z*pas</f>
        <v>190.774984055563</v>
      </c>
      <c r="I345" s="417" t="n">
        <f aca="false">SQRT(vit_x^2+vit_z^2)</f>
        <v>196.034957132596</v>
      </c>
      <c r="J345" s="418" t="n">
        <f aca="false">J344+0.5*(vit_x+G344)*pas*(K344&gt;=0)</f>
        <v>90.1129909946946</v>
      </c>
      <c r="K345" s="419" t="n">
        <f aca="false">K344+0.5*(vit_z+H344)*pas</f>
        <v>410.535849430424</v>
      </c>
      <c r="L345" s="417" t="n">
        <f aca="false">SQRT(pos_x^2+pos_z^2)</f>
        <v>420.309451254156</v>
      </c>
      <c r="M345" s="418" t="n">
        <f aca="false">IF(AND(L344&gt;L_rampe,G345&gt;0),ATAN2(G345,H345),$M$4)</f>
        <v>1.33862109617909</v>
      </c>
      <c r="N345" s="417" t="n">
        <f aca="false">DEGREES(Beta)</f>
        <v>76.6973391782379</v>
      </c>
      <c r="O345" s="401"/>
      <c r="P345" s="420" t="n">
        <f aca="false">MATCH(t-pas/2-T_ini,CdP_t)</f>
        <v>9</v>
      </c>
      <c r="Q345" s="417" t="n">
        <f aca="false">(INDEX(CdP,2,i_P+1)-INDEX(CdP,2,i_P+0))/(INDEX(CdP,1,i_P+1)-INDEX(CdP,1,i_P+0))*(t-pas/2-T_ini-INDEX(CdP,1,i_P+0))+INDEX(CdP,2,i_P+0)</f>
        <v>105.037037037054</v>
      </c>
      <c r="R345" s="418" t="n">
        <f aca="false">Poussee/(g*ISP)</f>
        <v>0.0527131950326117</v>
      </c>
      <c r="S345" s="419" t="n">
        <f aca="false">S344-Débit*pas</f>
        <v>7.38256352032594</v>
      </c>
      <c r="T345" s="417" t="n">
        <f aca="false">m*g</f>
        <v>72.4229481343975</v>
      </c>
      <c r="U345" s="421" t="n">
        <f aca="false">IF(pos_xz&lt;L_rampe,Poids*COS(Beta),0)</f>
        <v>0</v>
      </c>
      <c r="V345" s="418" t="n">
        <f aca="false">Rho_moyen*(20000-Alt_rampe-pos_z)/(20000+Alt_rampe+pos_z)</f>
        <v>1.17572090029755</v>
      </c>
      <c r="W345" s="417" t="n">
        <f aca="false">1/2*Rho*Sref*Cx*vit_xz^2</f>
        <v>138.933505836793</v>
      </c>
      <c r="X345" s="401"/>
      <c r="Y345" s="422" t="str">
        <f aca="false">IF(AND(pos_z&lt;=0,K344&gt;0),"Impact balistique","") &amp; IF(AND(H346&lt;0,vit_z&gt;=0),"Apogée","") &amp; IF(AND(Poussee=0,Q344&gt;0),"Fin de propulsion","") &amp; IF(AND(L346&gt;L_rampe,pos_xz&lt;=L_rampe),"Sortie de rampe","")</f>
        <v/>
      </c>
      <c r="Z345" s="423" t="str">
        <f aca="false">IF(ABS(t-T_para)&lt;pas/2,"Para","")</f>
        <v/>
      </c>
      <c r="AA345" s="424" t="str">
        <f aca="false">IF(ABS(t-T_satellite)&lt;pas/2,"Satellite","")</f>
        <v/>
      </c>
      <c r="AB345" s="412"/>
      <c r="AC345" s="420" t="e">
        <f aca="false">IF(ABS(t-ROUND(t,0))&lt;0.001,t,NA())</f>
        <v>#N/A</v>
      </c>
      <c r="AD345" s="425" t="e">
        <f aca="false">IF(ABS(t-ROUND(t,0))&lt;0.001,pos_x,NA())</f>
        <v>#N/A</v>
      </c>
      <c r="AE345" s="426" t="n">
        <f aca="false">IF(t&lt;T_para, pos_z, NA())</f>
        <v>410.535849430424</v>
      </c>
      <c r="AF345" s="412"/>
      <c r="AG345" s="418" t="n">
        <f aca="false">IF(AND(L344&lt;L_rampe,Poussee&lt;Poids*SIN(M344)),0,(-W344+Poussee)/m-Poids*SIN(M344)/m)</f>
        <v>-14.1692751119338</v>
      </c>
      <c r="AH345" s="417" t="n">
        <f aca="false">IF(AND(L344&lt;L_rampe,Poussee&lt;Poids*SIN(M344)), g*SIN(M344), (-W344+Poussee)/m)</f>
        <v>-4.62223546811033</v>
      </c>
    </row>
    <row r="346" customFormat="false" ht="12" hidden="false" customHeight="false" outlineLevel="0" collapsed="false">
      <c r="A346" s="416" t="n">
        <f aca="false">IF(B345+0.01&lt;=T_ini+ROUNDUP(Temps_fin_propu,0), 0.01, IF(K345&gt;0, 0.1, 0.0001))</f>
        <v>0.01</v>
      </c>
      <c r="B346" s="417" t="n">
        <f aca="false">B345+pas</f>
        <v>3.41999999999997</v>
      </c>
      <c r="C346" s="401"/>
      <c r="D346" s="418" t="n">
        <f aca="false">IF(AND(L345&lt;L_rampe,Poussee&lt;Poids*SIN(M345)),0,(-W345+Poussee)/m*COS(M345)-U345/m*SIN(M345))</f>
        <v>-1.23893330381355</v>
      </c>
      <c r="E346" s="419" t="n">
        <f aca="false">IF(AND(L345&lt;L_rampe,Poussee&lt;Poids*SIN(M345)),0,(-W345+Poussee)/m*SIN(M345)+U345/m*COS(M345)-Poids/m)</f>
        <v>-15.0499697415811</v>
      </c>
      <c r="F346" s="417" t="n">
        <f aca="false">SQRT(acc_x^2+acc_z^2)</f>
        <v>15.1008789463993</v>
      </c>
      <c r="G346" s="418" t="n">
        <f aca="false">G345+acc_x*pas</f>
        <v>45.0942606930776</v>
      </c>
      <c r="H346" s="419" t="n">
        <f aca="false">H345+acc_z*pas</f>
        <v>190.624484358148</v>
      </c>
      <c r="I346" s="417" t="n">
        <f aca="false">SQRT(vit_x^2+vit_z^2)</f>
        <v>195.88564619253</v>
      </c>
      <c r="J346" s="418" t="n">
        <f aca="false">J345+0.5*(vit_x+G345)*pas*(K345&gt;=0)</f>
        <v>90.5639955482906</v>
      </c>
      <c r="K346" s="419" t="n">
        <f aca="false">K345+0.5*(vit_z+H345)*pas</f>
        <v>412.442846772492</v>
      </c>
      <c r="L346" s="417" t="n">
        <f aca="false">SQRT(pos_x^2+pos_z^2)</f>
        <v>422.268799632969</v>
      </c>
      <c r="M346" s="418" t="n">
        <f aca="false">IF(AND(L345&gt;L_rampe,G346&gt;0),ATAN2(G346,H346),$M$4)</f>
        <v>1.33850586408698</v>
      </c>
      <c r="N346" s="417" t="n">
        <f aca="false">DEGREES(Beta)</f>
        <v>76.6907368656951</v>
      </c>
      <c r="O346" s="401"/>
      <c r="P346" s="420" t="n">
        <f aca="false">MATCH(t-pas/2-T_ini,CdP_t)</f>
        <v>9</v>
      </c>
      <c r="Q346" s="417" t="n">
        <f aca="false">(INDEX(CdP,2,i_P+1)-INDEX(CdP,2,i_P+0))/(INDEX(CdP,1,i_P+1)-INDEX(CdP,1,i_P+0))*(t-pas/2-T_ini-INDEX(CdP,1,i_P+0))+INDEX(CdP,2,i_P+0)</f>
        <v>99.1851851852022</v>
      </c>
      <c r="R346" s="418" t="n">
        <f aca="false">Poussee/(g*ISP)</f>
        <v>0.0497764232360139</v>
      </c>
      <c r="S346" s="419" t="n">
        <f aca="false">S345-Débit*pas</f>
        <v>7.38206575609358</v>
      </c>
      <c r="T346" s="417" t="n">
        <f aca="false">m*g</f>
        <v>72.4180650672781</v>
      </c>
      <c r="U346" s="421" t="n">
        <f aca="false">IF(pos_xz&lt;L_rampe,Poids*COS(Beta),0)</f>
        <v>0</v>
      </c>
      <c r="V346" s="418" t="n">
        <f aca="false">Rho_moyen*(20000-Alt_rampe-pos_z)/(20000+Alt_rampe+pos_z)</f>
        <v>1.17549661707921</v>
      </c>
      <c r="W346" s="417" t="n">
        <f aca="false">1/2*Rho*Sref*Cx*vit_xz^2</f>
        <v>138.695484811001</v>
      </c>
      <c r="X346" s="401"/>
      <c r="Y346" s="422" t="str">
        <f aca="false">IF(AND(pos_z&lt;=0,K345&gt;0),"Impact balistique","") &amp; IF(AND(H347&lt;0,vit_z&gt;=0),"Apogée","") &amp; IF(AND(Poussee=0,Q345&gt;0),"Fin de propulsion","") &amp; IF(AND(L347&gt;L_rampe,pos_xz&lt;=L_rampe),"Sortie de rampe","")</f>
        <v/>
      </c>
      <c r="Z346" s="423" t="str">
        <f aca="false">IF(ABS(t-T_para)&lt;pas/2,"Para","")</f>
        <v/>
      </c>
      <c r="AA346" s="424" t="str">
        <f aca="false">IF(ABS(t-T_satellite)&lt;pas/2,"Satellite","")</f>
        <v/>
      </c>
      <c r="AB346" s="412"/>
      <c r="AC346" s="420" t="e">
        <f aca="false">IF(ABS(t-ROUND(t,0))&lt;0.001,t,NA())</f>
        <v>#N/A</v>
      </c>
      <c r="AD346" s="425" t="e">
        <f aca="false">IF(ABS(t-ROUND(t,0))&lt;0.001,pos_x,NA())</f>
        <v>#N/A</v>
      </c>
      <c r="AE346" s="426" t="n">
        <f aca="false">IF(t&lt;T_para, pos_z, NA())</f>
        <v>412.442846772492</v>
      </c>
      <c r="AF346" s="412"/>
      <c r="AG346" s="418" t="n">
        <f aca="false">IF(AND(L345&lt;L_rampe,Poussee&lt;Poids*SIN(M345)),0,(-W345+Poussee)/m-Poids*SIN(M345)/m)</f>
        <v>-14.9312240594306</v>
      </c>
      <c r="AH346" s="417" t="n">
        <f aca="false">IF(AND(L345&lt;L_rampe,Poussee&lt;Poids*SIN(M345)), g*SIN(M345), (-W345+Poussee)/m)</f>
        <v>-5.38444413324013</v>
      </c>
    </row>
    <row r="347" customFormat="false" ht="12" hidden="false" customHeight="false" outlineLevel="0" collapsed="false">
      <c r="A347" s="416" t="n">
        <f aca="false">IF(B346+0.01&lt;=T_ini+ROUNDUP(Temps_fin_propu,0), 0.01, IF(K346&gt;0, 0.1, 0.0001))</f>
        <v>0.01</v>
      </c>
      <c r="B347" s="417" t="n">
        <f aca="false">B346+pas</f>
        <v>3.42999999999997</v>
      </c>
      <c r="C347" s="401"/>
      <c r="D347" s="418" t="n">
        <f aca="false">IF(AND(L346&lt;L_rampe,Poussee&lt;Poids*SIN(M346)),0,(-W346+Poussee)/m*COS(M346)-U346/m*SIN(M346))</f>
        <v>-1.4146921700501</v>
      </c>
      <c r="E347" s="419" t="n">
        <f aca="false">IF(AND(L346&lt;L_rampe,Poussee&lt;Poids*SIN(M346)),0,(-W346+Poussee)/m*SIN(M346)+U346/m*COS(M346)-Poids/m)</f>
        <v>-15.7902502867667</v>
      </c>
      <c r="F347" s="417" t="n">
        <f aca="false">SQRT(acc_x^2+acc_z^2)</f>
        <v>15.8534967138085</v>
      </c>
      <c r="G347" s="418" t="n">
        <f aca="false">G346+acc_x*pas</f>
        <v>45.0801137713771</v>
      </c>
      <c r="H347" s="419" t="n">
        <f aca="false">H346+acc_z*pas</f>
        <v>190.46658185528</v>
      </c>
      <c r="I347" s="417" t="n">
        <f aca="false">SQRT(vit_x^2+vit_z^2)</f>
        <v>195.728729269043</v>
      </c>
      <c r="J347" s="418" t="n">
        <f aca="false">J346+0.5*(vit_x+G346)*pas*(K346&gt;=0)</f>
        <v>91.0148674206129</v>
      </c>
      <c r="K347" s="419" t="n">
        <f aca="false">K346+0.5*(vit_z+H346)*pas</f>
        <v>414.34830210356</v>
      </c>
      <c r="L347" s="417" t="n">
        <f aca="false">SQRT(pos_x^2+pos_z^2)</f>
        <v>424.226615793604</v>
      </c>
      <c r="M347" s="418" t="n">
        <f aca="false">IF(AND(L346&gt;L_rampe,G347&gt;0),ATAN2(G347,H347),$M$4)</f>
        <v>1.33839048340824</v>
      </c>
      <c r="N347" s="417" t="n">
        <f aca="false">DEGREES(Beta)</f>
        <v>76.6841260397661</v>
      </c>
      <c r="O347" s="401"/>
      <c r="P347" s="420" t="n">
        <f aca="false">MATCH(t-pas/2-T_ini,CdP_t)</f>
        <v>9</v>
      </c>
      <c r="Q347" s="417" t="n">
        <f aca="false">(INDEX(CdP,2,i_P+1)-INDEX(CdP,2,i_P+0))/(INDEX(CdP,1,i_P+1)-INDEX(CdP,1,i_P+0))*(t-pas/2-T_ini-INDEX(CdP,1,i_P+0))+INDEX(CdP,2,i_P+0)</f>
        <v>93.3333333333505</v>
      </c>
      <c r="R347" s="418" t="n">
        <f aca="false">Poussee/(g*ISP)</f>
        <v>0.0468396514394162</v>
      </c>
      <c r="S347" s="419" t="n">
        <f aca="false">S346-Débit*pas</f>
        <v>7.38159735957919</v>
      </c>
      <c r="T347" s="417" t="n">
        <f aca="false">m*g</f>
        <v>72.4134700974718</v>
      </c>
      <c r="U347" s="421" t="n">
        <f aca="false">IF(pos_xz&lt;L_rampe,Poids*COS(Beta),0)</f>
        <v>0</v>
      </c>
      <c r="V347" s="418" t="n">
        <f aca="false">Rho_moyen*(20000-Alt_rampe-pos_z)/(20000+Alt_rampe+pos_z)</f>
        <v>1.17527255706962</v>
      </c>
      <c r="W347" s="417" t="n">
        <f aca="false">1/2*Rho*Sref*Cx*vit_xz^2</f>
        <v>138.446971671757</v>
      </c>
      <c r="X347" s="401"/>
      <c r="Y347" s="422" t="str">
        <f aca="false">IF(AND(pos_z&lt;=0,K346&gt;0),"Impact balistique","") &amp; IF(AND(H348&lt;0,vit_z&gt;=0),"Apogée","") &amp; IF(AND(Poussee=0,Q346&gt;0),"Fin de propulsion","") &amp; IF(AND(L348&gt;L_rampe,pos_xz&lt;=L_rampe),"Sortie de rampe","")</f>
        <v/>
      </c>
      <c r="Z347" s="423" t="str">
        <f aca="false">IF(ABS(t-T_para)&lt;pas/2,"Para","")</f>
        <v/>
      </c>
      <c r="AA347" s="424" t="str">
        <f aca="false">IF(ABS(t-T_satellite)&lt;pas/2,"Satellite","")</f>
        <v/>
      </c>
      <c r="AB347" s="412"/>
      <c r="AC347" s="420" t="e">
        <f aca="false">IF(ABS(t-ROUND(t,0))&lt;0.001,t,NA())</f>
        <v>#N/A</v>
      </c>
      <c r="AD347" s="425" t="e">
        <f aca="false">IF(ABS(t-ROUND(t,0))&lt;0.001,pos_x,NA())</f>
        <v>#N/A</v>
      </c>
      <c r="AE347" s="426" t="n">
        <f aca="false">IF(t&lt;T_para, pos_z, NA())</f>
        <v>414.34830210356</v>
      </c>
      <c r="AF347" s="412"/>
      <c r="AG347" s="418" t="n">
        <f aca="false">IF(AND(L346&lt;L_rampe,Poussee&lt;Poids*SIN(M346)),0,(-W346+Poussee)/m-Poids*SIN(M346)/m)</f>
        <v>-15.6918226325606</v>
      </c>
      <c r="AH347" s="417" t="n">
        <f aca="false">IF(AND(L346&lt;L_rampe,Poussee&lt;Poids*SIN(M346)), g*SIN(M346), (-W346+Poussee)/m)</f>
        <v>-6.14530287523522</v>
      </c>
    </row>
    <row r="348" customFormat="false" ht="12" hidden="false" customHeight="false" outlineLevel="0" collapsed="false">
      <c r="A348" s="416" t="n">
        <f aca="false">IF(B347+0.01&lt;=T_ini+ROUNDUP(Temps_fin_propu,0), 0.01, IF(K347&gt;0, 0.1, 0.0001))</f>
        <v>0.01</v>
      </c>
      <c r="B348" s="417" t="n">
        <f aca="false">B347+pas</f>
        <v>3.43999999999997</v>
      </c>
      <c r="C348" s="401"/>
      <c r="D348" s="418" t="n">
        <f aca="false">IF(AND(L347&lt;L_rampe,Poussee&lt;Poids*SIN(M347)),0,(-W347+Poussee)/m*COS(M347)-U347/m*SIN(M347))</f>
        <v>-1.59031117680729</v>
      </c>
      <c r="E348" s="419" t="n">
        <f aca="false">IF(AND(L347&lt;L_rampe,Poussee&lt;Poids*SIN(M347)),0,(-W347+Poussee)/m*SIN(M347)+U347/m*COS(M347)-Poids/m)</f>
        <v>-16.5291741234037</v>
      </c>
      <c r="F348" s="417" t="n">
        <f aca="false">SQRT(acc_x^2+acc_z^2)</f>
        <v>16.6055017039798</v>
      </c>
      <c r="G348" s="418" t="n">
        <f aca="false">G347+acc_x*pas</f>
        <v>45.064210659609</v>
      </c>
      <c r="H348" s="419" t="n">
        <f aca="false">H347+acc_z*pas</f>
        <v>190.301290114046</v>
      </c>
      <c r="I348" s="417" t="n">
        <f aca="false">SQRT(vit_x^2+vit_z^2)</f>
        <v>195.564219890664</v>
      </c>
      <c r="J348" s="418" t="n">
        <f aca="false">J347+0.5*(vit_x+G347)*pas*(K347&gt;=0)</f>
        <v>91.4655890427678</v>
      </c>
      <c r="K348" s="419" t="n">
        <f aca="false">K347+0.5*(vit_z+H347)*pas</f>
        <v>416.252141463406</v>
      </c>
      <c r="L348" s="417" t="n">
        <f aca="false">SQRT(pos_x^2+pos_z^2)</f>
        <v>426.182823740953</v>
      </c>
      <c r="M348" s="418" t="n">
        <f aca="false">IF(AND(L347&gt;L_rampe,G348&gt;0),ATAN2(G348,H348),$M$4)</f>
        <v>1.33827494934821</v>
      </c>
      <c r="N348" s="417" t="n">
        <f aca="false">DEGREES(Beta)</f>
        <v>76.6775064257365</v>
      </c>
      <c r="O348" s="401"/>
      <c r="P348" s="420" t="n">
        <f aca="false">MATCH(t-pas/2-T_ini,CdP_t)</f>
        <v>9</v>
      </c>
      <c r="Q348" s="417" t="n">
        <f aca="false">(INDEX(CdP,2,i_P+1)-INDEX(CdP,2,i_P+0))/(INDEX(CdP,1,i_P+1)-INDEX(CdP,1,i_P+0))*(t-pas/2-T_ini-INDEX(CdP,1,i_P+0))+INDEX(CdP,2,i_P+0)</f>
        <v>87.4814814814987</v>
      </c>
      <c r="R348" s="418" t="n">
        <f aca="false">Poussee/(g*ISP)</f>
        <v>0.0439028796428185</v>
      </c>
      <c r="S348" s="419" t="n">
        <f aca="false">S347-Débit*pas</f>
        <v>7.38115833078276</v>
      </c>
      <c r="T348" s="417" t="n">
        <f aca="false">m*g</f>
        <v>72.4091632249789</v>
      </c>
      <c r="U348" s="421" t="n">
        <f aca="false">IF(pos_xz&lt;L_rampe,Poids*COS(Beta),0)</f>
        <v>0</v>
      </c>
      <c r="V348" s="418" t="n">
        <f aca="false">Rho_moyen*(20000-Alt_rampe-pos_z)/(20000+Alt_rampe+pos_z)</f>
        <v>1.17504872884998</v>
      </c>
      <c r="W348" s="417" t="n">
        <f aca="false">1/2*Rho*Sref*Cx*vit_xz^2</f>
        <v>138.188018356808</v>
      </c>
      <c r="X348" s="401"/>
      <c r="Y348" s="422" t="str">
        <f aca="false">IF(AND(pos_z&lt;=0,K347&gt;0),"Impact balistique","") &amp; IF(AND(H349&lt;0,vit_z&gt;=0),"Apogée","") &amp; IF(AND(Poussee=0,Q347&gt;0),"Fin de propulsion","") &amp; IF(AND(L349&gt;L_rampe,pos_xz&lt;=L_rampe),"Sortie de rampe","")</f>
        <v/>
      </c>
      <c r="Z348" s="423" t="str">
        <f aca="false">IF(ABS(t-T_para)&lt;pas/2,"Para","")</f>
        <v/>
      </c>
      <c r="AA348" s="424" t="str">
        <f aca="false">IF(ABS(t-T_satellite)&lt;pas/2,"Satellite","")</f>
        <v/>
      </c>
      <c r="AB348" s="412"/>
      <c r="AC348" s="420" t="e">
        <f aca="false">IF(ABS(t-ROUND(t,0))&lt;0.001,t,NA())</f>
        <v>#N/A</v>
      </c>
      <c r="AD348" s="425" t="e">
        <f aca="false">IF(ABS(t-ROUND(t,0))&lt;0.001,pos_x,NA())</f>
        <v>#N/A</v>
      </c>
      <c r="AE348" s="426" t="n">
        <f aca="false">IF(t&lt;T_para, pos_z, NA())</f>
        <v>416.252141463406</v>
      </c>
      <c r="AF348" s="412"/>
      <c r="AG348" s="418" t="n">
        <f aca="false">IF(AND(L347&lt;L_rampe,Poussee&lt;Poids*SIN(M347)),0,(-W347+Poussee)/m-Poids*SIN(M347)/m)</f>
        <v>-16.4510683586555</v>
      </c>
      <c r="AH348" s="417" t="n">
        <f aca="false">IF(AND(L347&lt;L_rampe,Poussee&lt;Poids*SIN(M347)), g*SIN(M347), (-W347+Poussee)/m)</f>
        <v>-6.90480923267949</v>
      </c>
    </row>
    <row r="349" customFormat="false" ht="12" hidden="false" customHeight="false" outlineLevel="0" collapsed="false">
      <c r="A349" s="416" t="n">
        <f aca="false">IF(B348+0.01&lt;=T_ini+ROUNDUP(Temps_fin_propu,0), 0.01, IF(K348&gt;0, 0.1, 0.0001))</f>
        <v>0.01</v>
      </c>
      <c r="B349" s="417" t="n">
        <f aca="false">B348+pas</f>
        <v>3.44999999999997</v>
      </c>
      <c r="C349" s="401"/>
      <c r="D349" s="418" t="n">
        <f aca="false">IF(AND(L348&lt;L_rampe,Poussee&lt;Poids*SIN(M348)),0,(-W348+Poussee)/m*COS(M348)-U348/m*SIN(M348))</f>
        <v>-1.76578970348084</v>
      </c>
      <c r="E349" s="419" t="n">
        <f aca="false">IF(AND(L348&lt;L_rampe,Poussee&lt;Poids*SIN(M348)),0,(-W348+Poussee)/m*SIN(M348)+U348/m*COS(M348)-Poids/m)</f>
        <v>-17.2667390335694</v>
      </c>
      <c r="F349" s="417" t="n">
        <f aca="false">SQRT(acc_x^2+acc_z^2)</f>
        <v>17.3567937744939</v>
      </c>
      <c r="G349" s="418" t="n">
        <f aca="false">G348+acc_x*pas</f>
        <v>45.0465527625742</v>
      </c>
      <c r="H349" s="419" t="n">
        <f aca="false">H348+acc_z*pas</f>
        <v>190.12862272371</v>
      </c>
      <c r="I349" s="417" t="n">
        <f aca="false">SQRT(vit_x^2+vit_z^2)</f>
        <v>195.392131608738</v>
      </c>
      <c r="J349" s="418" t="n">
        <f aca="false">J348+0.5*(vit_x+G348)*pas*(K348&gt;=0)</f>
        <v>91.9161428598787</v>
      </c>
      <c r="K349" s="419" t="n">
        <f aca="false">K348+0.5*(vit_z+H348)*pas</f>
        <v>418.154291027595</v>
      </c>
      <c r="L349" s="417" t="n">
        <f aca="false">SQRT(pos_x^2+pos_z^2)</f>
        <v>428.137347615258</v>
      </c>
      <c r="M349" s="418" t="n">
        <f aca="false">IF(AND(L348&gt;L_rampe,G349&gt;0),ATAN2(G349,H349),$M$4)</f>
        <v>1.33815925708791</v>
      </c>
      <c r="N349" s="417" t="n">
        <f aca="false">DEGREES(Beta)</f>
        <v>76.6708777474991</v>
      </c>
      <c r="O349" s="401"/>
      <c r="P349" s="420" t="n">
        <f aca="false">MATCH(t-pas/2-T_ini,CdP_t)</f>
        <v>9</v>
      </c>
      <c r="Q349" s="417" t="n">
        <f aca="false">(INDEX(CdP,2,i_P+1)-INDEX(CdP,2,i_P+0))/(INDEX(CdP,1,i_P+1)-INDEX(CdP,1,i_P+0))*(t-pas/2-T_ini-INDEX(CdP,1,i_P+0))+INDEX(CdP,2,i_P+0)</f>
        <v>81.629629629647</v>
      </c>
      <c r="R349" s="418" t="n">
        <f aca="false">Poussee/(g*ISP)</f>
        <v>0.0409661078462208</v>
      </c>
      <c r="S349" s="419" t="n">
        <f aca="false">S348-Débit*pas</f>
        <v>7.3807486697043</v>
      </c>
      <c r="T349" s="417" t="n">
        <f aca="false">m*g</f>
        <v>72.4051444497992</v>
      </c>
      <c r="U349" s="421" t="n">
        <f aca="false">IF(pos_xz&lt;L_rampe,Poids*COS(Beta),0)</f>
        <v>0</v>
      </c>
      <c r="V349" s="418" t="n">
        <f aca="false">Rho_moyen*(20000-Alt_rampe-pos_z)/(20000+Alt_rampe+pos_z)</f>
        <v>1.17482514097918</v>
      </c>
      <c r="W349" s="417" t="n">
        <f aca="false">1/2*Rho*Sref*Cx*vit_xz^2</f>
        <v>137.918677966707</v>
      </c>
      <c r="X349" s="401"/>
      <c r="Y349" s="422" t="str">
        <f aca="false">IF(AND(pos_z&lt;=0,K348&gt;0),"Impact balistique","") &amp; IF(AND(H350&lt;0,vit_z&gt;=0),"Apogée","") &amp; IF(AND(Poussee=0,Q348&gt;0),"Fin de propulsion","") &amp; IF(AND(L350&gt;L_rampe,pos_xz&lt;=L_rampe),"Sortie de rampe","")</f>
        <v/>
      </c>
      <c r="Z349" s="423" t="str">
        <f aca="false">IF(ABS(t-T_para)&lt;pas/2,"Para","")</f>
        <v/>
      </c>
      <c r="AA349" s="424" t="str">
        <f aca="false">IF(ABS(t-T_satellite)&lt;pas/2,"Satellite","")</f>
        <v/>
      </c>
      <c r="AB349" s="412"/>
      <c r="AC349" s="420" t="e">
        <f aca="false">IF(ABS(t-ROUND(t,0))&lt;0.001,t,NA())</f>
        <v>#N/A</v>
      </c>
      <c r="AD349" s="425" t="e">
        <f aca="false">IF(ABS(t-ROUND(t,0))&lt;0.001,pos_x,NA())</f>
        <v>#N/A</v>
      </c>
      <c r="AE349" s="426" t="n">
        <f aca="false">IF(t&lt;T_para, pos_z, NA())</f>
        <v>418.154291027595</v>
      </c>
      <c r="AF349" s="412"/>
      <c r="AG349" s="418" t="n">
        <f aca="false">IF(AND(L348&lt;L_rampe,Poussee&lt;Poids*SIN(M348)),0,(-W348+Poussee)/m-Poids*SIN(M348)/m)</f>
        <v>-17.2089589558387</v>
      </c>
      <c r="AH349" s="417" t="n">
        <f aca="false">IF(AND(L348&lt;L_rampe,Poussee&lt;Poids*SIN(M348)), g*SIN(M348), (-W348+Poussee)/m)</f>
        <v>-7.66296093502225</v>
      </c>
    </row>
    <row r="350" customFormat="false" ht="12" hidden="false" customHeight="false" outlineLevel="0" collapsed="false">
      <c r="A350" s="416" t="n">
        <f aca="false">IF(B349+0.01&lt;=T_ini+ROUNDUP(Temps_fin_propu,0), 0.01, IF(K349&gt;0, 0.1, 0.0001))</f>
        <v>0.01</v>
      </c>
      <c r="B350" s="417" t="n">
        <f aca="false">B349+pas</f>
        <v>3.45999999999997</v>
      </c>
      <c r="C350" s="401"/>
      <c r="D350" s="418" t="n">
        <f aca="false">IF(AND(L349&lt;L_rampe,Poussee&lt;Poids*SIN(M349)),0,(-W349+Poussee)/m*COS(M349)-U349/m*SIN(M349))</f>
        <v>-1.94112718523267</v>
      </c>
      <c r="E350" s="419" t="n">
        <f aca="false">IF(AND(L349&lt;L_rampe,Poussee&lt;Poids*SIN(M349)),0,(-W349+Poussee)/m*SIN(M349)+U349/m*COS(M349)-Poids/m)</f>
        <v>-18.0029429806772</v>
      </c>
      <c r="F350" s="417" t="n">
        <f aca="false">SQRT(acc_x^2+acc_z^2)</f>
        <v>18.1072894358809</v>
      </c>
      <c r="G350" s="418" t="n">
        <f aca="false">G349+acc_x*pas</f>
        <v>45.0271414907219</v>
      </c>
      <c r="H350" s="419" t="n">
        <f aca="false">H349+acc_z*pas</f>
        <v>189.948593293903</v>
      </c>
      <c r="I350" s="417" t="n">
        <f aca="false">SQRT(vit_x^2+vit_z^2)</f>
        <v>195.212477995537</v>
      </c>
      <c r="J350" s="418" t="n">
        <f aca="false">J349+0.5*(vit_x+G349)*pas*(K349&gt;=0)</f>
        <v>92.3665113311452</v>
      </c>
      <c r="K350" s="419" t="n">
        <f aca="false">K349+0.5*(vit_z+H349)*pas</f>
        <v>420.054677107683</v>
      </c>
      <c r="L350" s="417" t="n">
        <f aca="false">SQRT(pos_x^2+pos_z^2)</f>
        <v>430.090111692336</v>
      </c>
      <c r="M350" s="418" t="n">
        <f aca="false">IF(AND(L349&gt;L_rampe,G350&gt;0),ATAN2(G350,H350),$M$4)</f>
        <v>1.3380434017829</v>
      </c>
      <c r="N350" s="417" t="n">
        <f aca="false">DEGREES(Beta)</f>
        <v>76.6642397274878</v>
      </c>
      <c r="O350" s="401"/>
      <c r="P350" s="420" t="n">
        <f aca="false">MATCH(t-pas/2-T_ini,CdP_t)</f>
        <v>9</v>
      </c>
      <c r="Q350" s="417" t="n">
        <f aca="false">(INDEX(CdP,2,i_P+1)-INDEX(CdP,2,i_P+0))/(INDEX(CdP,1,i_P+1)-INDEX(CdP,1,i_P+0))*(t-pas/2-T_ini-INDEX(CdP,1,i_P+0))+INDEX(CdP,2,i_P+0)</f>
        <v>75.7777777777953</v>
      </c>
      <c r="R350" s="418" t="n">
        <f aca="false">Poussee/(g*ISP)</f>
        <v>0.0380293360496231</v>
      </c>
      <c r="S350" s="419" t="n">
        <f aca="false">S349-Débit*pas</f>
        <v>7.3803683763438</v>
      </c>
      <c r="T350" s="417" t="n">
        <f aca="false">m*g</f>
        <v>72.4014137719327</v>
      </c>
      <c r="U350" s="421" t="n">
        <f aca="false">IF(pos_xz&lt;L_rampe,Poids*COS(Beta),0)</f>
        <v>0</v>
      </c>
      <c r="V350" s="418" t="n">
        <f aca="false">Rho_moyen*(20000-Alt_rampe-pos_z)/(20000+Alt_rampe+pos_z)</f>
        <v>1.17460180199382</v>
      </c>
      <c r="W350" s="417" t="n">
        <f aca="false">1/2*Rho*Sref*Cx*vit_xz^2</f>
        <v>137.639004752761</v>
      </c>
      <c r="X350" s="401"/>
      <c r="Y350" s="422" t="str">
        <f aca="false">IF(AND(pos_z&lt;=0,K349&gt;0),"Impact balistique","") &amp; IF(AND(H351&lt;0,vit_z&gt;=0),"Apogée","") &amp; IF(AND(Poussee=0,Q349&gt;0),"Fin de propulsion","") &amp; IF(AND(L351&gt;L_rampe,pos_xz&lt;=L_rampe),"Sortie de rampe","")</f>
        <v/>
      </c>
      <c r="Z350" s="423" t="str">
        <f aca="false">IF(ABS(t-T_para)&lt;pas/2,"Para","")</f>
        <v/>
      </c>
      <c r="AA350" s="424" t="str">
        <f aca="false">IF(ABS(t-T_satellite)&lt;pas/2,"Satellite","")</f>
        <v/>
      </c>
      <c r="AB350" s="412"/>
      <c r="AC350" s="420" t="e">
        <f aca="false">IF(ABS(t-ROUND(t,0))&lt;0.001,t,NA())</f>
        <v>#N/A</v>
      </c>
      <c r="AD350" s="425" t="e">
        <f aca="false">IF(ABS(t-ROUND(t,0))&lt;0.001,pos_x,NA())</f>
        <v>#N/A</v>
      </c>
      <c r="AE350" s="426" t="n">
        <f aca="false">IF(t&lt;T_para, pos_z, NA())</f>
        <v>420.054677107683</v>
      </c>
      <c r="AF350" s="412"/>
      <c r="AG350" s="418" t="n">
        <f aca="false">IF(AND(L349&lt;L_rampe,Poussee&lt;Poids*SIN(M349)),0,(-W349+Poussee)/m-Poids*SIN(M349)/m)</f>
        <v>-17.9654923315301</v>
      </c>
      <c r="AH350" s="417" t="n">
        <f aca="false">IF(AND(L349&lt;L_rampe,Poussee&lt;Poids*SIN(M349)), g*SIN(M349), (-W349+Poussee)/m)</f>
        <v>-8.41975590108632</v>
      </c>
    </row>
    <row r="351" customFormat="false" ht="12" hidden="false" customHeight="false" outlineLevel="0" collapsed="false">
      <c r="A351" s="416" t="n">
        <f aca="false">IF(B350+0.01&lt;=T_ini+ROUNDUP(Temps_fin_propu,0), 0.01, IF(K350&gt;0, 0.1, 0.0001))</f>
        <v>0.01</v>
      </c>
      <c r="B351" s="417" t="n">
        <f aca="false">B350+pas</f>
        <v>3.46999999999997</v>
      </c>
      <c r="C351" s="401"/>
      <c r="D351" s="418" t="n">
        <f aca="false">IF(AND(L350&lt;L_rampe,Poussee&lt;Poids*SIN(M350)),0,(-W350+Poussee)/m*COS(M350)-U350/m*SIN(M350))</f>
        <v>-2.11632311278358</v>
      </c>
      <c r="E351" s="419" t="n">
        <f aca="false">IF(AND(L350&lt;L_rampe,Poussee&lt;Poids*SIN(M350)),0,(-W350+Poussee)/m*SIN(M350)+U350/m*COS(M350)-Poids/m)</f>
        <v>-18.7377841079796</v>
      </c>
      <c r="F351" s="417" t="n">
        <f aca="false">SQRT(acc_x^2+acc_z^2)</f>
        <v>18.8569185392247</v>
      </c>
      <c r="G351" s="418" t="n">
        <f aca="false">G350+acc_x*pas</f>
        <v>45.005978259594</v>
      </c>
      <c r="H351" s="419" t="n">
        <f aca="false">H350+acc_z*pas</f>
        <v>189.761215452824</v>
      </c>
      <c r="I351" s="417" t="n">
        <f aca="false">SQRT(vit_x^2+vit_z^2)</f>
        <v>195.025272642383</v>
      </c>
      <c r="J351" s="418" t="n">
        <f aca="false">J350+0.5*(vit_x+G350)*pas*(K350&gt;=0)</f>
        <v>92.8166769298968</v>
      </c>
      <c r="K351" s="419" t="n">
        <f aca="false">K350+0.5*(vit_z+H350)*pas</f>
        <v>421.953226151417</v>
      </c>
      <c r="L351" s="417" t="n">
        <f aca="false">SQRT(pos_x^2+pos_z^2)</f>
        <v>432.041040383778</v>
      </c>
      <c r="M351" s="418" t="n">
        <f aca="false">IF(AND(L350&gt;L_rampe,G351&gt;0),ATAN2(G351,H351),$M$4)</f>
        <v>1.3379273785621</v>
      </c>
      <c r="N351" s="417" t="n">
        <f aca="false">DEGREES(Beta)</f>
        <v>76.6575920866101</v>
      </c>
      <c r="O351" s="401"/>
      <c r="P351" s="420" t="n">
        <f aca="false">MATCH(t-pas/2-T_ini,CdP_t)</f>
        <v>9</v>
      </c>
      <c r="Q351" s="417" t="n">
        <f aca="false">(INDEX(CdP,2,i_P+1)-INDEX(CdP,2,i_P+0))/(INDEX(CdP,1,i_P+1)-INDEX(CdP,1,i_P+0))*(t-pas/2-T_ini-INDEX(CdP,1,i_P+0))+INDEX(CdP,2,i_P+0)</f>
        <v>69.9259259259436</v>
      </c>
      <c r="R351" s="418" t="n">
        <f aca="false">Poussee/(g*ISP)</f>
        <v>0.0350925642530254</v>
      </c>
      <c r="S351" s="419" t="n">
        <f aca="false">S350-Débit*pas</f>
        <v>7.38001745070127</v>
      </c>
      <c r="T351" s="417" t="n">
        <f aca="false">m*g</f>
        <v>72.3979711913795</v>
      </c>
      <c r="U351" s="421" t="n">
        <f aca="false">IF(pos_xz&lt;L_rampe,Poids*COS(Beta),0)</f>
        <v>0</v>
      </c>
      <c r="V351" s="418" t="n">
        <f aca="false">Rho_moyen*(20000-Alt_rampe-pos_z)/(20000+Alt_rampe+pos_z)</f>
        <v>1.17437872040823</v>
      </c>
      <c r="W351" s="417" t="n">
        <f aca="false">1/2*Rho*Sref*Cx*vit_xz^2</f>
        <v>137.349054105054</v>
      </c>
      <c r="X351" s="401"/>
      <c r="Y351" s="422" t="str">
        <f aca="false">IF(AND(pos_z&lt;=0,K350&gt;0),"Impact balistique","") &amp; IF(AND(H352&lt;0,vit_z&gt;=0),"Apogée","") &amp; IF(AND(Poussee=0,Q350&gt;0),"Fin de propulsion","") &amp; IF(AND(L352&gt;L_rampe,pos_xz&lt;=L_rampe),"Sortie de rampe","")</f>
        <v/>
      </c>
      <c r="Z351" s="423" t="str">
        <f aca="false">IF(ABS(t-T_para)&lt;pas/2,"Para","")</f>
        <v/>
      </c>
      <c r="AA351" s="424" t="str">
        <f aca="false">IF(ABS(t-T_satellite)&lt;pas/2,"Satellite","")</f>
        <v/>
      </c>
      <c r="AB351" s="412"/>
      <c r="AC351" s="420" t="e">
        <f aca="false">IF(ABS(t-ROUND(t,0))&lt;0.001,t,NA())</f>
        <v>#N/A</v>
      </c>
      <c r="AD351" s="425" t="e">
        <f aca="false">IF(ABS(t-ROUND(t,0))&lt;0.001,pos_x,NA())</f>
        <v>#N/A</v>
      </c>
      <c r="AE351" s="426" t="n">
        <f aca="false">IF(t&lt;T_para, pos_z, NA())</f>
        <v>421.953226151417</v>
      </c>
      <c r="AF351" s="412"/>
      <c r="AG351" s="418" t="n">
        <f aca="false">IF(AND(L350&lt;L_rampe,Poussee&lt;Poids*SIN(M350)),0,(-W350+Poussee)/m-Poids*SIN(M350)/m)</f>
        <v>-18.7206665809474</v>
      </c>
      <c r="AH351" s="417" t="n">
        <f aca="false">IF(AND(L350&lt;L_rampe,Poussee&lt;Poids*SIN(M350)), g*SIN(M350), (-W350+Poussee)/m)</f>
        <v>-9.17519223757167</v>
      </c>
    </row>
    <row r="352" customFormat="false" ht="12" hidden="false" customHeight="false" outlineLevel="0" collapsed="false">
      <c r="A352" s="416" t="n">
        <f aca="false">IF(B351+0.01&lt;=T_ini+ROUNDUP(Temps_fin_propu,0), 0.01, IF(K351&gt;0, 0.1, 0.0001))</f>
        <v>0.01</v>
      </c>
      <c r="B352" s="417" t="n">
        <f aca="false">B351+pas</f>
        <v>3.47999999999997</v>
      </c>
      <c r="C352" s="401"/>
      <c r="D352" s="418" t="n">
        <f aca="false">IF(AND(L351&lt;L_rampe,Poussee&lt;Poids*SIN(M351)),0,(-W351+Poussee)/m*COS(M351)-U351/m*SIN(M351))</f>
        <v>-2.28717882865806</v>
      </c>
      <c r="E352" s="419" t="n">
        <f aca="false">IF(AND(L351&lt;L_rampe,Poussee&lt;Poids*SIN(M351)),0,(-W351+Poussee)/m*SIN(M351)+U351/m*COS(M351)-Poids/m)</f>
        <v>-19.4535596173626</v>
      </c>
      <c r="F352" s="417" t="n">
        <f aca="false">SQRT(acc_x^2+acc_z^2)</f>
        <v>19.5875513727608</v>
      </c>
      <c r="G352" s="418" t="n">
        <f aca="false">G351+acc_x*pas</f>
        <v>44.9831064713075</v>
      </c>
      <c r="H352" s="419" t="n">
        <f aca="false">H351+acc_z*pas</f>
        <v>189.56667985665</v>
      </c>
      <c r="I352" s="417" t="n">
        <f aca="false">SQRT(vit_x^2+vit_z^2)</f>
        <v>194.830711079343</v>
      </c>
      <c r="J352" s="418" t="n">
        <f aca="false">J351+0.5*(vit_x+G351)*pas*(K351&gt;=0)</f>
        <v>93.2666223535513</v>
      </c>
      <c r="K352" s="419" t="n">
        <f aca="false">K351+0.5*(vit_z+H351)*pas</f>
        <v>423.849865627964</v>
      </c>
      <c r="L352" s="417" t="n">
        <f aca="false">SQRT(pos_x^2+pos_z^2)</f>
        <v>433.990059146616</v>
      </c>
      <c r="M352" s="418" t="n">
        <f aca="false">IF(AND(L351&gt;L_rampe,G352&gt;0),ATAN2(G352,H352),$M$4)</f>
        <v>1.33781118263508</v>
      </c>
      <c r="N352" s="417" t="n">
        <f aca="false">DEGREES(Beta)</f>
        <v>76.6509345503954</v>
      </c>
      <c r="O352" s="401"/>
      <c r="P352" s="420" t="n">
        <f aca="false">MATCH(t-pas/2-T_ini,CdP_t)</f>
        <v>10</v>
      </c>
      <c r="Q352" s="417" t="n">
        <f aca="false">(INDEX(CdP,2,i_P+1)-INDEX(CdP,2,i_P+0))/(INDEX(CdP,1,i_P+1)-INDEX(CdP,1,i_P+0))*(t-pas/2-T_ini-INDEX(CdP,1,i_P+0))+INDEX(CdP,2,i_P+0)</f>
        <v>64.2083333333502</v>
      </c>
      <c r="R352" s="418" t="n">
        <f aca="false">Poussee/(g*ISP)</f>
        <v>0.0322231709232795</v>
      </c>
      <c r="S352" s="419" t="n">
        <f aca="false">S351-Débit*pas</f>
        <v>7.37969521899204</v>
      </c>
      <c r="T352" s="417" t="n">
        <f aca="false">m*g</f>
        <v>72.3948100983119</v>
      </c>
      <c r="U352" s="421" t="n">
        <f aca="false">IF(pos_xz&lt;L_rampe,Poids*COS(Beta),0)</f>
        <v>0</v>
      </c>
      <c r="V352" s="418" t="n">
        <f aca="false">Rho_moyen*(20000-Alt_rampe-pos_z)/(20000+Alt_rampe+pos_z)</f>
        <v>1.17415590461052</v>
      </c>
      <c r="W352" s="417" t="n">
        <f aca="false">1/2*Rho*Sref*Cx*vit_xz^2</f>
        <v>137.049138465254</v>
      </c>
      <c r="X352" s="401"/>
      <c r="Y352" s="422" t="str">
        <f aca="false">IF(AND(pos_z&lt;=0,K351&gt;0),"Impact balistique","") &amp; IF(AND(H353&lt;0,vit_z&gt;=0),"Apogée","") &amp; IF(AND(Poussee=0,Q351&gt;0),"Fin de propulsion","") &amp; IF(AND(L353&gt;L_rampe,pos_xz&lt;=L_rampe),"Sortie de rampe","")</f>
        <v/>
      </c>
      <c r="Z352" s="423" t="str">
        <f aca="false">IF(ABS(t-T_para)&lt;pas/2,"Para","")</f>
        <v/>
      </c>
      <c r="AA352" s="424" t="str">
        <f aca="false">IF(ABS(t-T_satellite)&lt;pas/2,"Satellite","")</f>
        <v/>
      </c>
      <c r="AB352" s="412"/>
      <c r="AC352" s="420" t="e">
        <f aca="false">IF(ABS(t-ROUND(t,0))&lt;0.001,t,NA())</f>
        <v>#N/A</v>
      </c>
      <c r="AD352" s="425" t="e">
        <f aca="false">IF(ABS(t-ROUND(t,0))&lt;0.001,pos_x,NA())</f>
        <v>#N/A</v>
      </c>
      <c r="AE352" s="426" t="n">
        <f aca="false">IF(t&lt;T_para, pos_z, NA())</f>
        <v>423.849865627964</v>
      </c>
      <c r="AF352" s="412"/>
      <c r="AG352" s="418" t="n">
        <f aca="false">IF(AND(L351&lt;L_rampe,Poussee&lt;Poids*SIN(M351)),0,(-W351+Poussee)/m-Poids*SIN(M351)/m)</f>
        <v>-19.4562878292752</v>
      </c>
      <c r="AH352" s="417" t="n">
        <f aca="false">IF(AND(L351&lt;L_rampe,Poussee&lt;Poids*SIN(M351)), g*SIN(M351), (-W351+Poussee)/m)</f>
        <v>-9.91107608122791</v>
      </c>
    </row>
    <row r="353" customFormat="false" ht="12" hidden="false" customHeight="false" outlineLevel="0" collapsed="false">
      <c r="A353" s="416" t="n">
        <f aca="false">IF(B352+0.01&lt;=T_ini+ROUNDUP(Temps_fin_propu,0), 0.01, IF(K352&gt;0, 0.1, 0.0001))</f>
        <v>0.01</v>
      </c>
      <c r="B353" s="417" t="n">
        <f aca="false">B352+pas</f>
        <v>3.48999999999997</v>
      </c>
      <c r="C353" s="401"/>
      <c r="D353" s="418" t="n">
        <f aca="false">IF(AND(L352&lt;L_rampe,Poussee&lt;Poids*SIN(M352)),0,(-W352+Poussee)/m*COS(M352)-U352/m*SIN(M352))</f>
        <v>-2.45369554030191</v>
      </c>
      <c r="E353" s="419" t="n">
        <f aca="false">IF(AND(L352&lt;L_rampe,Poussee&lt;Poids*SIN(M352)),0,(-W352+Poussee)/m*SIN(M352)+U352/m*COS(M352)-Poids/m)</f>
        <v>-20.1503022477069</v>
      </c>
      <c r="F353" s="417" t="n">
        <f aca="false">SQRT(acc_x^2+acc_z^2)</f>
        <v>20.2991453632521</v>
      </c>
      <c r="G353" s="418" t="n">
        <f aca="false">G352+acc_x*pas</f>
        <v>44.9585695159044</v>
      </c>
      <c r="H353" s="419" t="n">
        <f aca="false">H352+acc_z*pas</f>
        <v>189.365176834173</v>
      </c>
      <c r="I353" s="417" t="n">
        <f aca="false">SQRT(vit_x^2+vit_z^2)</f>
        <v>194.628988514954</v>
      </c>
      <c r="J353" s="418" t="n">
        <f aca="false">J352+0.5*(vit_x+G352)*pas*(K352&gt;=0)</f>
        <v>93.7163307334874</v>
      </c>
      <c r="K353" s="419" t="n">
        <f aca="false">K352+0.5*(vit_z+H352)*pas</f>
        <v>425.744524911418</v>
      </c>
      <c r="L353" s="417" t="n">
        <f aca="false">SQRT(pos_x^2+pos_z^2)</f>
        <v>435.937095391293</v>
      </c>
      <c r="M353" s="418" t="n">
        <f aca="false">IF(AND(L352&gt;L_rampe,G353&gt;0),ATAN2(G353,H353),$M$4)</f>
        <v>1.33769480929187</v>
      </c>
      <c r="N353" s="417" t="n">
        <f aca="false">DEGREES(Beta)</f>
        <v>76.6442668489815</v>
      </c>
      <c r="O353" s="401"/>
      <c r="P353" s="420" t="n">
        <f aca="false">MATCH(t-pas/2-T_ini,CdP_t)</f>
        <v>10</v>
      </c>
      <c r="Q353" s="417" t="n">
        <f aca="false">(INDEX(CdP,2,i_P+1)-INDEX(CdP,2,i_P+0))/(INDEX(CdP,1,i_P+1)-INDEX(CdP,1,i_P+0))*(t-pas/2-T_ini-INDEX(CdP,1,i_P+0))+INDEX(CdP,2,i_P+0)</f>
        <v>58.625000000017</v>
      </c>
      <c r="R353" s="418" t="n">
        <f aca="false">Poussee/(g*ISP)</f>
        <v>0.0294211560603865</v>
      </c>
      <c r="S353" s="419" t="n">
        <f aca="false">S352-Débit*pas</f>
        <v>7.37940100743143</v>
      </c>
      <c r="T353" s="417" t="n">
        <f aca="false">m*g</f>
        <v>72.3919238829024</v>
      </c>
      <c r="U353" s="421" t="n">
        <f aca="false">IF(pos_xz&lt;L_rampe,Poids*COS(Beta),0)</f>
        <v>0</v>
      </c>
      <c r="V353" s="418" t="n">
        <f aca="false">Rho_moyen*(20000-Alt_rampe-pos_z)/(20000+Alt_rampe+pos_z)</f>
        <v>1.1739333627589</v>
      </c>
      <c r="W353" s="417" t="n">
        <f aca="false">1/2*Rho*Sref*Cx*vit_xz^2</f>
        <v>136.739569637353</v>
      </c>
      <c r="X353" s="401"/>
      <c r="Y353" s="422" t="str">
        <f aca="false">IF(AND(pos_z&lt;=0,K352&gt;0),"Impact balistique","") &amp; IF(AND(H354&lt;0,vit_z&gt;=0),"Apogée","") &amp; IF(AND(Poussee=0,Q352&gt;0),"Fin de propulsion","") &amp; IF(AND(L354&gt;L_rampe,pos_xz&lt;=L_rampe),"Sortie de rampe","")</f>
        <v/>
      </c>
      <c r="Z353" s="423" t="str">
        <f aca="false">IF(ABS(t-T_para)&lt;pas/2,"Para","")</f>
        <v/>
      </c>
      <c r="AA353" s="424" t="str">
        <f aca="false">IF(ABS(t-T_satellite)&lt;pas/2,"Satellite","")</f>
        <v/>
      </c>
      <c r="AB353" s="412"/>
      <c r="AC353" s="420" t="e">
        <f aca="false">IF(ABS(t-ROUND(t,0))&lt;0.001,t,NA())</f>
        <v>#N/A</v>
      </c>
      <c r="AD353" s="425" t="e">
        <f aca="false">IF(ABS(t-ROUND(t,0))&lt;0.001,pos_x,NA())</f>
        <v>#N/A</v>
      </c>
      <c r="AE353" s="426" t="n">
        <f aca="false">IF(t&lt;T_para, pos_z, NA())</f>
        <v>425.744524911418</v>
      </c>
      <c r="AF353" s="412"/>
      <c r="AG353" s="418" t="n">
        <f aca="false">IF(AND(L352&lt;L_rampe,Poussee&lt;Poids*SIN(M352)),0,(-W352+Poussee)/m-Poids*SIN(M352)/m)</f>
        <v>-20.1723882296094</v>
      </c>
      <c r="AH353" s="417" t="n">
        <f aca="false">IF(AND(L352&lt;L_rampe,Poussee&lt;Poids*SIN(M352)), g*SIN(M352), (-W352+Poussee)/m)</f>
        <v>-10.6274395965553</v>
      </c>
    </row>
    <row r="354" customFormat="false" ht="12" hidden="false" customHeight="false" outlineLevel="0" collapsed="false">
      <c r="A354" s="416" t="n">
        <f aca="false">IF(B353+0.01&lt;=T_ini+ROUNDUP(Temps_fin_propu,0), 0.01, IF(K353&gt;0, 0.1, 0.0001))</f>
        <v>0.01</v>
      </c>
      <c r="B354" s="417" t="n">
        <f aca="false">B353+pas</f>
        <v>3.49999999999997</v>
      </c>
      <c r="C354" s="401"/>
      <c r="D354" s="418" t="n">
        <f aca="false">IF(AND(L353&lt;L_rampe,Poussee&lt;Poids*SIN(M353)),0,(-W353+Poussee)/m*COS(M353)-U353/m*SIN(M353))</f>
        <v>-2.62007721814819</v>
      </c>
      <c r="E354" s="419" t="n">
        <f aca="false">IF(AND(L353&lt;L_rampe,Poussee&lt;Poids*SIN(M353)),0,(-W353+Poussee)/m*SIN(M353)+U353/m*COS(M353)-Poids/m)</f>
        <v>-20.8457467124994</v>
      </c>
      <c r="F354" s="417" t="n">
        <f aca="false">SQRT(acc_x^2+acc_z^2)</f>
        <v>21.0097586999647</v>
      </c>
      <c r="G354" s="418" t="n">
        <f aca="false">G353+acc_x*pas</f>
        <v>44.932368743723</v>
      </c>
      <c r="H354" s="419" t="n">
        <f aca="false">H353+acc_z*pas</f>
        <v>189.156719367048</v>
      </c>
      <c r="I354" s="417" t="n">
        <f aca="false">SQRT(vit_x^2+vit_z^2)</f>
        <v>194.420117895824</v>
      </c>
      <c r="J354" s="418" t="n">
        <f aca="false">J353+0.5*(vit_x+G353)*pas*(K353&gt;=0)</f>
        <v>94.1657854247855</v>
      </c>
      <c r="K354" s="419" t="n">
        <f aca="false">K353+0.5*(vit_z+H353)*pas</f>
        <v>427.637134392424</v>
      </c>
      <c r="L354" s="417" t="n">
        <f aca="false">SQRT(pos_x^2+pos_z^2)</f>
        <v>437.882077568871</v>
      </c>
      <c r="M354" s="418" t="n">
        <f aca="false">IF(AND(L353&gt;L_rampe,G354&gt;0),ATAN2(G354,H354),$M$4)</f>
        <v>1.33757825379366</v>
      </c>
      <c r="N354" s="417" t="n">
        <f aca="false">DEGREES(Beta)</f>
        <v>76.6375887108553</v>
      </c>
      <c r="O354" s="401"/>
      <c r="P354" s="420" t="n">
        <f aca="false">MATCH(t-pas/2-T_ini,CdP_t)</f>
        <v>10</v>
      </c>
      <c r="Q354" s="417" t="n">
        <f aca="false">(INDEX(CdP,2,i_P+1)-INDEX(CdP,2,i_P+0))/(INDEX(CdP,1,i_P+1)-INDEX(CdP,1,i_P+0))*(t-pas/2-T_ini-INDEX(CdP,1,i_P+0))+INDEX(CdP,2,i_P+0)</f>
        <v>53.0416666666838</v>
      </c>
      <c r="R354" s="418" t="n">
        <f aca="false">Poussee/(g*ISP)</f>
        <v>0.0266191411974934</v>
      </c>
      <c r="S354" s="419" t="n">
        <f aca="false">S353-Débit*pas</f>
        <v>7.37913481601946</v>
      </c>
      <c r="T354" s="417" t="n">
        <f aca="false">m*g</f>
        <v>72.3893125451509</v>
      </c>
      <c r="U354" s="421" t="n">
        <f aca="false">IF(pos_xz&lt;L_rampe,Poids*COS(Beta),0)</f>
        <v>0</v>
      </c>
      <c r="V354" s="418" t="n">
        <f aca="false">Rho_moyen*(20000-Alt_rampe-pos_z)/(20000+Alt_rampe+pos_z)</f>
        <v>1.17371110288632</v>
      </c>
      <c r="W354" s="417" t="n">
        <f aca="false">1/2*Rho*Sref*Cx*vit_xz^2</f>
        <v>136.420403372998</v>
      </c>
      <c r="X354" s="401"/>
      <c r="Y354" s="422" t="str">
        <f aca="false">IF(AND(pos_z&lt;=0,K353&gt;0),"Impact balistique","") &amp; IF(AND(H355&lt;0,vit_z&gt;=0),"Apogée","") &amp; IF(AND(Poussee=0,Q353&gt;0),"Fin de propulsion","") &amp; IF(AND(L355&gt;L_rampe,pos_xz&lt;=L_rampe),"Sortie de rampe","")</f>
        <v/>
      </c>
      <c r="Z354" s="423" t="str">
        <f aca="false">IF(ABS(t-T_para)&lt;pas/2,"Para","")</f>
        <v/>
      </c>
      <c r="AA354" s="424" t="str">
        <f aca="false">IF(ABS(t-T_satellite)&lt;pas/2,"Satellite","")</f>
        <v>Satellite</v>
      </c>
      <c r="AB354" s="412"/>
      <c r="AC354" s="420" t="e">
        <f aca="false">IF(ABS(t-ROUND(t,0))&lt;0.001,t,NA())</f>
        <v>#N/A</v>
      </c>
      <c r="AD354" s="425" t="e">
        <f aca="false">IF(ABS(t-ROUND(t,0))&lt;0.001,pos_x,NA())</f>
        <v>#N/A</v>
      </c>
      <c r="AE354" s="426" t="n">
        <f aca="false">IF(t&lt;T_para, pos_z, NA())</f>
        <v>427.637134392424</v>
      </c>
      <c r="AF354" s="412"/>
      <c r="AG354" s="418" t="n">
        <f aca="false">IF(AND(L353&lt;L_rampe,Poussee&lt;Poids*SIN(M353)),0,(-W353+Poussee)/m-Poids*SIN(M353)/m)</f>
        <v>-20.8871939746511</v>
      </c>
      <c r="AH354" s="417" t="n">
        <f aca="false">IF(AND(L353&lt;L_rampe,Poussee&lt;Poids*SIN(M353)), g*SIN(M353), (-W353+Poussee)/m)</f>
        <v>-11.3425089874993</v>
      </c>
    </row>
    <row r="355" customFormat="false" ht="12" hidden="false" customHeight="false" outlineLevel="0" collapsed="false">
      <c r="A355" s="416" t="n">
        <f aca="false">IF(B354+0.01&lt;=T_ini+ROUNDUP(Temps_fin_propu,0), 0.01, IF(K354&gt;0, 0.1, 0.0001))</f>
        <v>0.01</v>
      </c>
      <c r="B355" s="417" t="n">
        <f aca="false">B354+pas</f>
        <v>3.50999999999997</v>
      </c>
      <c r="C355" s="401"/>
      <c r="D355" s="418" t="n">
        <f aca="false">IF(AND(L354&lt;L_rampe,Poussee&lt;Poids*SIN(M354)),0,(-W354+Poussee)/m*COS(M354)-U354/m*SIN(M354))</f>
        <v>-2.78632367277041</v>
      </c>
      <c r="E355" s="419" t="n">
        <f aca="false">IF(AND(L354&lt;L_rampe,Poussee&lt;Poids*SIN(M354)),0,(-W354+Poussee)/m*SIN(M354)+U354/m*COS(M354)-Poids/m)</f>
        <v>-21.539892275257</v>
      </c>
      <c r="F355" s="417" t="n">
        <f aca="false">SQRT(acc_x^2+acc_z^2)</f>
        <v>21.719359079842</v>
      </c>
      <c r="G355" s="418" t="n">
        <f aca="false">G354+acc_x*pas</f>
        <v>44.9045055069953</v>
      </c>
      <c r="H355" s="419" t="n">
        <f aca="false">H354+acc_z*pas</f>
        <v>188.941320444295</v>
      </c>
      <c r="I355" s="417" t="n">
        <f aca="false">SQRT(vit_x^2+vit_z^2)</f>
        <v>194.204112175983</v>
      </c>
      <c r="J355" s="418" t="n">
        <f aca="false">J354+0.5*(vit_x+G354)*pas*(K354&gt;=0)</f>
        <v>94.6149697960391</v>
      </c>
      <c r="K355" s="419" t="n">
        <f aca="false">K354+0.5*(vit_z+H354)*pas</f>
        <v>429.527624591481</v>
      </c>
      <c r="L355" s="417" t="n">
        <f aca="false">SQRT(pos_x^2+pos_z^2)</f>
        <v>439.824934259878</v>
      </c>
      <c r="M355" s="418" t="n">
        <f aca="false">IF(AND(L354&gt;L_rampe,G355&gt;0),ATAN2(G355,H355),$M$4)</f>
        <v>1.33746151137173</v>
      </c>
      <c r="N355" s="417" t="n">
        <f aca="false">DEGREES(Beta)</f>
        <v>76.6308998627887</v>
      </c>
      <c r="O355" s="401"/>
      <c r="P355" s="420" t="n">
        <f aca="false">MATCH(t-pas/2-T_ini,CdP_t)</f>
        <v>10</v>
      </c>
      <c r="Q355" s="417" t="n">
        <f aca="false">(INDEX(CdP,2,i_P+1)-INDEX(CdP,2,i_P+0))/(INDEX(CdP,1,i_P+1)-INDEX(CdP,1,i_P+0))*(t-pas/2-T_ini-INDEX(CdP,1,i_P+0))+INDEX(CdP,2,i_P+0)</f>
        <v>47.4583333333506</v>
      </c>
      <c r="R355" s="418" t="n">
        <f aca="false">Poussee/(g*ISP)</f>
        <v>0.0238171263346003</v>
      </c>
      <c r="S355" s="419" t="n">
        <f aca="false">S354-Débit*pas</f>
        <v>7.37889664475611</v>
      </c>
      <c r="T355" s="417" t="n">
        <f aca="false">m*g</f>
        <v>72.3869760850575</v>
      </c>
      <c r="U355" s="421" t="n">
        <f aca="false">IF(pos_xz&lt;L_rampe,Poids*COS(Beta),0)</f>
        <v>0</v>
      </c>
      <c r="V355" s="418" t="n">
        <f aca="false">Rho_moyen*(20000-Alt_rampe-pos_z)/(20000+Alt_rampe+pos_z)</f>
        <v>1.1734891330046</v>
      </c>
      <c r="W355" s="417" t="n">
        <f aca="false">1/2*Rho*Sref*Cx*vit_xz^2</f>
        <v>136.09169640187</v>
      </c>
      <c r="X355" s="401"/>
      <c r="Y355" s="422" t="str">
        <f aca="false">IF(AND(pos_z&lt;=0,K354&gt;0),"Impact balistique","") &amp; IF(AND(H356&lt;0,vit_z&gt;=0),"Apogée","") &amp; IF(AND(Poussee=0,Q354&gt;0),"Fin de propulsion","") &amp; IF(AND(L356&gt;L_rampe,pos_xz&lt;=L_rampe),"Sortie de rampe","")</f>
        <v/>
      </c>
      <c r="Z355" s="423" t="str">
        <f aca="false">IF(ABS(t-T_para)&lt;pas/2,"Para","")</f>
        <v/>
      </c>
      <c r="AA355" s="424" t="str">
        <f aca="false">IF(ABS(t-T_satellite)&lt;pas/2,"Satellite","")</f>
        <v/>
      </c>
      <c r="AB355" s="412"/>
      <c r="AC355" s="420" t="e">
        <f aca="false">IF(ABS(t-ROUND(t,0))&lt;0.001,t,NA())</f>
        <v>#N/A</v>
      </c>
      <c r="AD355" s="425" t="e">
        <f aca="false">IF(ABS(t-ROUND(t,0))&lt;0.001,pos_x,NA())</f>
        <v>#N/A</v>
      </c>
      <c r="AE355" s="426" t="n">
        <f aca="false">IF(t&lt;T_para, pos_z, NA())</f>
        <v>429.527624591481</v>
      </c>
      <c r="AF355" s="412"/>
      <c r="AG355" s="418" t="n">
        <f aca="false">IF(AND(L354&lt;L_rampe,Poussee&lt;Poids*SIN(M354)),0,(-W354+Poussee)/m-Poids*SIN(M354)/m)</f>
        <v>-21.6007043224909</v>
      </c>
      <c r="AH355" s="417" t="n">
        <f aca="false">IF(AND(L354&lt;L_rampe,Poussee&lt;Poids*SIN(M354)), g*SIN(M354), (-W354+Poussee)/m)</f>
        <v>-12.0562835234816</v>
      </c>
    </row>
    <row r="356" customFormat="false" ht="12" hidden="false" customHeight="false" outlineLevel="0" collapsed="false">
      <c r="A356" s="416" t="n">
        <f aca="false">IF(B355+0.01&lt;=T_ini+ROUNDUP(Temps_fin_propu,0), 0.01, IF(K355&gt;0, 0.1, 0.0001))</f>
        <v>0.01</v>
      </c>
      <c r="B356" s="417" t="n">
        <f aca="false">B355+pas</f>
        <v>3.51999999999997</v>
      </c>
      <c r="C356" s="401"/>
      <c r="D356" s="418" t="n">
        <f aca="false">IF(AND(L355&lt;L_rampe,Poussee&lt;Poids*SIN(M355)),0,(-W355+Poussee)/m*COS(M355)-U355/m*SIN(M355))</f>
        <v>-2.95243476400047</v>
      </c>
      <c r="E356" s="419" t="n">
        <f aca="false">IF(AND(L355&lt;L_rampe,Poussee&lt;Poids*SIN(M355)),0,(-W355+Poussee)/m*SIN(M355)+U355/m*COS(M355)-Poids/m)</f>
        <v>-22.23273835415</v>
      </c>
      <c r="F356" s="417" t="n">
        <f aca="false">SQRT(acc_x^2+acc_z^2)</f>
        <v>22.4279184446478</v>
      </c>
      <c r="G356" s="418" t="n">
        <f aca="false">G355+acc_x*pas</f>
        <v>44.8749811593553</v>
      </c>
      <c r="H356" s="419" t="n">
        <f aca="false">H355+acc_z*pas</f>
        <v>188.718993060754</v>
      </c>
      <c r="I356" s="417" t="n">
        <f aca="false">SQRT(vit_x^2+vit_z^2)</f>
        <v>193.98098431526</v>
      </c>
      <c r="J356" s="418" t="n">
        <f aca="false">J355+0.5*(vit_x+G355)*pas*(K355&gt;=0)</f>
        <v>95.0638672293708</v>
      </c>
      <c r="K356" s="419" t="n">
        <f aca="false">K355+0.5*(vit_z+H355)*pas</f>
        <v>431.415926159006</v>
      </c>
      <c r="L356" s="417" t="n">
        <f aca="false">SQRT(pos_x^2+pos_z^2)</f>
        <v>441.765594174373</v>
      </c>
      <c r="M356" s="418" t="n">
        <f aca="false">IF(AND(L355&gt;L_rampe,G356&gt;0),ATAN2(G356,H356),$M$4)</f>
        <v>1.33734457722627</v>
      </c>
      <c r="N356" s="417" t="n">
        <f aca="false">DEGREES(Beta)</f>
        <v>76.6242000297726</v>
      </c>
      <c r="O356" s="401"/>
      <c r="P356" s="420" t="n">
        <f aca="false">MATCH(t-pas/2-T_ini,CdP_t)</f>
        <v>10</v>
      </c>
      <c r="Q356" s="417" t="n">
        <f aca="false">(INDEX(CdP,2,i_P+1)-INDEX(CdP,2,i_P+0))/(INDEX(CdP,1,i_P+1)-INDEX(CdP,1,i_P+0))*(t-pas/2-T_ini-INDEX(CdP,1,i_P+0))+INDEX(CdP,2,i_P+0)</f>
        <v>41.8750000000173</v>
      </c>
      <c r="R356" s="418" t="n">
        <f aca="false">Poussee/(g*ISP)</f>
        <v>0.0210151114717072</v>
      </c>
      <c r="S356" s="419" t="n">
        <f aca="false">S355-Débit*pas</f>
        <v>7.3786864936414</v>
      </c>
      <c r="T356" s="417" t="n">
        <f aca="false">m*g</f>
        <v>72.3849145026221</v>
      </c>
      <c r="U356" s="421" t="n">
        <f aca="false">IF(pos_xz&lt;L_rampe,Poids*COS(Beta),0)</f>
        <v>0</v>
      </c>
      <c r="V356" s="418" t="n">
        <f aca="false">Rho_moyen*(20000-Alt_rampe-pos_z)/(20000+Alt_rampe+pos_z)</f>
        <v>1.17326746110453</v>
      </c>
      <c r="W356" s="417" t="n">
        <f aca="false">1/2*Rho*Sref*Cx*vit_xz^2</f>
        <v>135.7535064212</v>
      </c>
      <c r="X356" s="401"/>
      <c r="Y356" s="422" t="str">
        <f aca="false">IF(AND(pos_z&lt;=0,K355&gt;0),"Impact balistique","") &amp; IF(AND(H357&lt;0,vit_z&gt;=0),"Apogée","") &amp; IF(AND(Poussee=0,Q355&gt;0),"Fin de propulsion","") &amp; IF(AND(L357&gt;L_rampe,pos_xz&lt;=L_rampe),"Sortie de rampe","")</f>
        <v/>
      </c>
      <c r="Z356" s="423" t="str">
        <f aca="false">IF(ABS(t-T_para)&lt;pas/2,"Para","")</f>
        <v/>
      </c>
      <c r="AA356" s="424" t="str">
        <f aca="false">IF(ABS(t-T_satellite)&lt;pas/2,"Satellite","")</f>
        <v/>
      </c>
      <c r="AB356" s="412"/>
      <c r="AC356" s="420" t="e">
        <f aca="false">IF(ABS(t-ROUND(t,0))&lt;0.001,t,NA())</f>
        <v>#N/A</v>
      </c>
      <c r="AD356" s="425" t="e">
        <f aca="false">IF(ABS(t-ROUND(t,0))&lt;0.001,pos_x,NA())</f>
        <v>#N/A</v>
      </c>
      <c r="AE356" s="426" t="n">
        <f aca="false">IF(t&lt;T_para, pos_z, NA())</f>
        <v>431.415926159006</v>
      </c>
      <c r="AF356" s="412"/>
      <c r="AG356" s="418" t="n">
        <f aca="false">IF(AND(L355&lt;L_rampe,Poussee&lt;Poids*SIN(M355)),0,(-W355+Poussee)/m-Poids*SIN(M355)/m)</f>
        <v>-22.3129186930813</v>
      </c>
      <c r="AH356" s="417" t="n">
        <f aca="false">IF(AND(L355&lt;L_rampe,Poussee&lt;Poids*SIN(M355)), g*SIN(M355), (-W355+Poussee)/m)</f>
        <v>-12.7687626358762</v>
      </c>
    </row>
    <row r="357" customFormat="false" ht="12" hidden="false" customHeight="false" outlineLevel="0" collapsed="false">
      <c r="A357" s="416" t="n">
        <f aca="false">IF(B356+0.01&lt;=T_ini+ROUNDUP(Temps_fin_propu,0), 0.01, IF(K356&gt;0, 0.1, 0.0001))</f>
        <v>0.01</v>
      </c>
      <c r="B357" s="417" t="n">
        <f aca="false">B356+pas</f>
        <v>3.52999999999997</v>
      </c>
      <c r="C357" s="401"/>
      <c r="D357" s="418" t="n">
        <f aca="false">IF(AND(L356&lt;L_rampe,Poussee&lt;Poids*SIN(M356)),0,(-W356+Poussee)/m*COS(M356)-U356/m*SIN(M356))</f>
        <v>-3.11841040075864</v>
      </c>
      <c r="E357" s="419" t="n">
        <f aca="false">IF(AND(L356&lt;L_rampe,Poussee&lt;Poids*SIN(M356)),0,(-W356+Poussee)/m*SIN(M356)+U356/m*COS(M356)-Poids/m)</f>
        <v>-22.9242845206224</v>
      </c>
      <c r="F357" s="417" t="n">
        <f aca="false">SQRT(acc_x^2+acc_z^2)</f>
        <v>23.1354123414735</v>
      </c>
      <c r="G357" s="418" t="n">
        <f aca="false">G356+acc_x*pas</f>
        <v>44.8437970553477</v>
      </c>
      <c r="H357" s="419" t="n">
        <f aca="false">H356+acc_z*pas</f>
        <v>188.489750215548</v>
      </c>
      <c r="I357" s="417" t="n">
        <f aca="false">SQRT(vit_x^2+vit_z^2)</f>
        <v>193.750747277683</v>
      </c>
      <c r="J357" s="418" t="n">
        <f aca="false">J356+0.5*(vit_x+G356)*pas*(K356&gt;=0)</f>
        <v>95.5124611204444</v>
      </c>
      <c r="K357" s="419" t="n">
        <f aca="false">K356+0.5*(vit_z+H356)*pas</f>
        <v>433.301969875388</v>
      </c>
      <c r="L357" s="417" t="n">
        <f aca="false">SQRT(pos_x^2+pos_z^2)</f>
        <v>443.703986152002</v>
      </c>
      <c r="M357" s="418" t="n">
        <f aca="false">IF(AND(L356&gt;L_rampe,G357&gt;0),ATAN2(G357,H357),$M$4)</f>
        <v>1.33722744652521</v>
      </c>
      <c r="N357" s="417" t="n">
        <f aca="false">DEGREES(Beta)</f>
        <v>76.6174889349504</v>
      </c>
      <c r="O357" s="401"/>
      <c r="P357" s="420" t="n">
        <f aca="false">MATCH(t-pas/2-T_ini,CdP_t)</f>
        <v>10</v>
      </c>
      <c r="Q357" s="417" t="n">
        <f aca="false">(INDEX(CdP,2,i_P+1)-INDEX(CdP,2,i_P+0))/(INDEX(CdP,1,i_P+1)-INDEX(CdP,1,i_P+0))*(t-pas/2-T_ini-INDEX(CdP,1,i_P+0))+INDEX(CdP,2,i_P+0)</f>
        <v>36.2916666666841</v>
      </c>
      <c r="R357" s="418" t="n">
        <f aca="false">Poussee/(g*ISP)</f>
        <v>0.0182130966088141</v>
      </c>
      <c r="S357" s="419" t="n">
        <f aca="false">S356-Débit*pas</f>
        <v>7.37850436267531</v>
      </c>
      <c r="T357" s="417" t="n">
        <f aca="false">m*g</f>
        <v>72.3831277978448</v>
      </c>
      <c r="U357" s="421" t="n">
        <f aca="false">IF(pos_xz&lt;L_rampe,Poids*COS(Beta),0)</f>
        <v>0</v>
      </c>
      <c r="V357" s="418" t="n">
        <f aca="false">Rho_moyen*(20000-Alt_rampe-pos_z)/(20000+Alt_rampe+pos_z)</f>
        <v>1.17304609515585</v>
      </c>
      <c r="W357" s="417" t="n">
        <f aca="false">1/2*Rho*Sref*Cx*vit_xz^2</f>
        <v>135.405892085337</v>
      </c>
      <c r="X357" s="401"/>
      <c r="Y357" s="422" t="str">
        <f aca="false">IF(AND(pos_z&lt;=0,K356&gt;0),"Impact balistique","") &amp; IF(AND(H358&lt;0,vit_z&gt;=0),"Apogée","") &amp; IF(AND(Poussee=0,Q356&gt;0),"Fin de propulsion","") &amp; IF(AND(L358&gt;L_rampe,pos_xz&lt;=L_rampe),"Sortie de rampe","")</f>
        <v/>
      </c>
      <c r="Z357" s="423" t="str">
        <f aca="false">IF(ABS(t-T_para)&lt;pas/2,"Para","")</f>
        <v/>
      </c>
      <c r="AA357" s="424" t="str">
        <f aca="false">IF(ABS(t-T_satellite)&lt;pas/2,"Satellite","")</f>
        <v/>
      </c>
      <c r="AB357" s="412"/>
      <c r="AC357" s="420" t="e">
        <f aca="false">IF(ABS(t-ROUND(t,0))&lt;0.001,t,NA())</f>
        <v>#N/A</v>
      </c>
      <c r="AD357" s="425" t="e">
        <f aca="false">IF(ABS(t-ROUND(t,0))&lt;0.001,pos_x,NA())</f>
        <v>#N/A</v>
      </c>
      <c r="AE357" s="426" t="n">
        <f aca="false">IF(t&lt;T_para, pos_z, NA())</f>
        <v>433.301969875388</v>
      </c>
      <c r="AF357" s="412"/>
      <c r="AG357" s="418" t="n">
        <f aca="false">IF(AND(L356&lt;L_rampe,Poussee&lt;Poids*SIN(M356)),0,(-W356+Poussee)/m-Poids*SIN(M356)/m)</f>
        <v>-23.0238366668598</v>
      </c>
      <c r="AH357" s="417" t="n">
        <f aca="false">IF(AND(L356&lt;L_rampe,Poussee&lt;Poids*SIN(M356)), g*SIN(M356), (-W356+Poussee)/m)</f>
        <v>-13.4799459166346</v>
      </c>
    </row>
    <row r="358" customFormat="false" ht="12" hidden="false" customHeight="false" outlineLevel="0" collapsed="false">
      <c r="A358" s="416" t="n">
        <f aca="false">IF(B357+0.01&lt;=T_ini+ROUNDUP(Temps_fin_propu,0), 0.01, IF(K357&gt;0, 0.1, 0.0001))</f>
        <v>0.01</v>
      </c>
      <c r="B358" s="417" t="n">
        <f aca="false">B357+pas</f>
        <v>3.53999999999997</v>
      </c>
      <c r="C358" s="401"/>
      <c r="D358" s="418" t="n">
        <f aca="false">IF(AND(L357&lt;L_rampe,Poussee&lt;Poids*SIN(M357)),0,(-W357+Poussee)/m*COS(M357)-U357/m*SIN(M357))</f>
        <v>-3.28425054088723</v>
      </c>
      <c r="E358" s="419" t="n">
        <f aca="false">IF(AND(L357&lt;L_rampe,Poussee&lt;Poids*SIN(M357)),0,(-W357+Poussee)/m*SIN(M357)+U357/m*COS(M357)-Poids/m)</f>
        <v>-23.6145304980098</v>
      </c>
      <c r="F358" s="417" t="n">
        <f aca="false">SQRT(acc_x^2+acc_z^2)</f>
        <v>23.8418193990466</v>
      </c>
      <c r="G358" s="418" t="n">
        <f aca="false">G357+acc_x*pas</f>
        <v>44.8109545499388</v>
      </c>
      <c r="H358" s="419" t="n">
        <f aca="false">H357+acc_z*pas</f>
        <v>188.253604910567</v>
      </c>
      <c r="I358" s="417" t="n">
        <f aca="false">SQRT(vit_x^2+vit_z^2)</f>
        <v>193.513414029882</v>
      </c>
      <c r="J358" s="418" t="n">
        <f aca="false">J357+0.5*(vit_x+G357)*pas*(K357&gt;=0)</f>
        <v>95.9607348784708</v>
      </c>
      <c r="K358" s="419" t="n">
        <f aca="false">K357+0.5*(vit_z+H357)*pas</f>
        <v>435.185686651018</v>
      </c>
      <c r="L358" s="417" t="n">
        <f aca="false">SQRT(pos_x^2+pos_z^2)</f>
        <v>445.640039162029</v>
      </c>
      <c r="M358" s="418" t="n">
        <f aca="false">IF(AND(L357&gt;L_rampe,G358&gt;0),ATAN2(G358,H358),$M$4)</f>
        <v>1.33711011440307</v>
      </c>
      <c r="N358" s="417" t="n">
        <f aca="false">DEGREES(Beta)</f>
        <v>76.6107662995505</v>
      </c>
      <c r="O358" s="401"/>
      <c r="P358" s="420" t="n">
        <f aca="false">MATCH(t-pas/2-T_ini,CdP_t)</f>
        <v>10</v>
      </c>
      <c r="Q358" s="417" t="n">
        <f aca="false">(INDEX(CdP,2,i_P+1)-INDEX(CdP,2,i_P+0))/(INDEX(CdP,1,i_P+1)-INDEX(CdP,1,i_P+0))*(t-pas/2-T_ini-INDEX(CdP,1,i_P+0))+INDEX(CdP,2,i_P+0)</f>
        <v>30.7083333333509</v>
      </c>
      <c r="R358" s="418" t="n">
        <f aca="false">Poussee/(g*ISP)</f>
        <v>0.015411081745921</v>
      </c>
      <c r="S358" s="419" t="n">
        <f aca="false">S357-Débit*pas</f>
        <v>7.37835025185785</v>
      </c>
      <c r="T358" s="417" t="n">
        <f aca="false">m*g</f>
        <v>72.3816159707255</v>
      </c>
      <c r="U358" s="421" t="n">
        <f aca="false">IF(pos_xz&lt;L_rampe,Poids*COS(Beta),0)</f>
        <v>0</v>
      </c>
      <c r="V358" s="418" t="n">
        <f aca="false">Rho_moyen*(20000-Alt_rampe-pos_z)/(20000+Alt_rampe+pos_z)</f>
        <v>1.17282504310732</v>
      </c>
      <c r="W358" s="417" t="n">
        <f aca="false">1/2*Rho*Sref*Cx*vit_xz^2</f>
        <v>135.048912995391</v>
      </c>
      <c r="X358" s="401"/>
      <c r="Y358" s="422" t="str">
        <f aca="false">IF(AND(pos_z&lt;=0,K357&gt;0),"Impact balistique","") &amp; IF(AND(H359&lt;0,vit_z&gt;=0),"Apogée","") &amp; IF(AND(Poussee=0,Q357&gt;0),"Fin de propulsion","") &amp; IF(AND(L359&gt;L_rampe,pos_xz&lt;=L_rampe),"Sortie de rampe","")</f>
        <v/>
      </c>
      <c r="Z358" s="423" t="str">
        <f aca="false">IF(ABS(t-T_para)&lt;pas/2,"Para","")</f>
        <v/>
      </c>
      <c r="AA358" s="424" t="str">
        <f aca="false">IF(ABS(t-T_satellite)&lt;pas/2,"Satellite","")</f>
        <v/>
      </c>
      <c r="AB358" s="412"/>
      <c r="AC358" s="420" t="e">
        <f aca="false">IF(ABS(t-ROUND(t,0))&lt;0.001,t,NA())</f>
        <v>#N/A</v>
      </c>
      <c r="AD358" s="425" t="e">
        <f aca="false">IF(ABS(t-ROUND(t,0))&lt;0.001,pos_x,NA())</f>
        <v>#N/A</v>
      </c>
      <c r="AE358" s="426" t="n">
        <f aca="false">IF(t&lt;T_para, pos_z, NA())</f>
        <v>435.185686651018</v>
      </c>
      <c r="AF358" s="412"/>
      <c r="AG358" s="418" t="n">
        <f aca="false">IF(AND(L357&lt;L_rampe,Poussee&lt;Poids*SIN(M357)),0,(-W357+Poussee)/m-Poids*SIN(M357)/m)</f>
        <v>-23.7334579833717</v>
      </c>
      <c r="AH358" s="417" t="n">
        <f aca="false">IF(AND(L357&lt;L_rampe,Poussee&lt;Poids*SIN(M357)), g*SIN(M357), (-W357+Poussee)/m)</f>
        <v>-14.1898331169116</v>
      </c>
    </row>
    <row r="359" customFormat="false" ht="12" hidden="false" customHeight="false" outlineLevel="0" collapsed="false">
      <c r="A359" s="416" t="n">
        <f aca="false">IF(B358+0.01&lt;=T_ini+ROUNDUP(Temps_fin_propu,0), 0.01, IF(K358&gt;0, 0.1, 0.0001))</f>
        <v>0.01</v>
      </c>
      <c r="B359" s="417" t="n">
        <f aca="false">B358+pas</f>
        <v>3.54999999999997</v>
      </c>
      <c r="C359" s="401"/>
      <c r="D359" s="418" t="n">
        <f aca="false">IF(AND(L358&lt;L_rampe,Poussee&lt;Poids*SIN(M358)),0,(-W358+Poussee)/m*COS(M358)-U358/m*SIN(M358))</f>
        <v>-3.44995519098815</v>
      </c>
      <c r="E359" s="419" t="n">
        <f aca="false">IF(AND(L358&lt;L_rampe,Poussee&lt;Poids*SIN(M358)),0,(-W358+Poussee)/m*SIN(M358)+U358/m*COS(M358)-Poids/m)</f>
        <v>-24.3034761601576</v>
      </c>
      <c r="F359" s="417" t="n">
        <f aca="false">SQRT(acc_x^2+acc_z^2)</f>
        <v>24.5471208960883</v>
      </c>
      <c r="G359" s="418" t="n">
        <f aca="false">G358+acc_x*pas</f>
        <v>44.7764549980289</v>
      </c>
      <c r="H359" s="419" t="n">
        <f aca="false">H358+acc_z*pas</f>
        <v>188.010570148966</v>
      </c>
      <c r="I359" s="417" t="n">
        <f aca="false">SQRT(vit_x^2+vit_z^2)</f>
        <v>193.268997539517</v>
      </c>
      <c r="J359" s="418" t="n">
        <f aca="false">J358+0.5*(vit_x+G358)*pas*(K358&gt;=0)</f>
        <v>96.4086719262106</v>
      </c>
      <c r="K359" s="419" t="n">
        <f aca="false">K358+0.5*(vit_z+H358)*pas</f>
        <v>437.067007526316</v>
      </c>
      <c r="L359" s="417" t="n">
        <f aca="false">SQRT(pos_x^2+pos_z^2)</f>
        <v>447.573682303355</v>
      </c>
      <c r="M359" s="418" t="n">
        <f aca="false">IF(AND(L358&gt;L_rampe,G359&gt;0),ATAN2(G359,H359),$M$4)</f>
        <v>1.33699257595975</v>
      </c>
      <c r="N359" s="417" t="n">
        <f aca="false">DEGREES(Beta)</f>
        <v>76.604031842818</v>
      </c>
      <c r="O359" s="401"/>
      <c r="P359" s="420" t="n">
        <f aca="false">MATCH(t-pas/2-T_ini,CdP_t)</f>
        <v>10</v>
      </c>
      <c r="Q359" s="417" t="n">
        <f aca="false">(INDEX(CdP,2,i_P+1)-INDEX(CdP,2,i_P+0))/(INDEX(CdP,1,i_P+1)-INDEX(CdP,1,i_P+0))*(t-pas/2-T_ini-INDEX(CdP,1,i_P+0))+INDEX(CdP,2,i_P+0)</f>
        <v>25.1250000000176</v>
      </c>
      <c r="R359" s="418" t="n">
        <f aca="false">Poussee/(g*ISP)</f>
        <v>0.012609066883028</v>
      </c>
      <c r="S359" s="419" t="n">
        <f aca="false">S358-Débit*pas</f>
        <v>7.37822416118902</v>
      </c>
      <c r="T359" s="417" t="n">
        <f aca="false">m*g</f>
        <v>72.3803790212643</v>
      </c>
      <c r="U359" s="421" t="n">
        <f aca="false">IF(pos_xz&lt;L_rampe,Poids*COS(Beta),0)</f>
        <v>0</v>
      </c>
      <c r="V359" s="418" t="n">
        <f aca="false">Rho_moyen*(20000-Alt_rampe-pos_z)/(20000+Alt_rampe+pos_z)</f>
        <v>1.17260431288672</v>
      </c>
      <c r="W359" s="417" t="n">
        <f aca="false">1/2*Rho*Sref*Cx*vit_xz^2</f>
        <v>134.682629688944</v>
      </c>
      <c r="X359" s="401"/>
      <c r="Y359" s="422" t="str">
        <f aca="false">IF(AND(pos_z&lt;=0,K358&gt;0),"Impact balistique","") &amp; IF(AND(H360&lt;0,vit_z&gt;=0),"Apogée","") &amp; IF(AND(Poussee=0,Q358&gt;0),"Fin de propulsion","") &amp; IF(AND(L360&gt;L_rampe,pos_xz&lt;=L_rampe),"Sortie de rampe","")</f>
        <v/>
      </c>
      <c r="Z359" s="423" t="str">
        <f aca="false">IF(ABS(t-T_para)&lt;pas/2,"Para","")</f>
        <v/>
      </c>
      <c r="AA359" s="424" t="str">
        <f aca="false">IF(ABS(t-T_satellite)&lt;pas/2,"Satellite","")</f>
        <v/>
      </c>
      <c r="AB359" s="412"/>
      <c r="AC359" s="420" t="e">
        <f aca="false">IF(ABS(t-ROUND(t,0))&lt;0.001,t,NA())</f>
        <v>#N/A</v>
      </c>
      <c r="AD359" s="425" t="e">
        <f aca="false">IF(ABS(t-ROUND(t,0))&lt;0.001,pos_x,NA())</f>
        <v>#N/A</v>
      </c>
      <c r="AE359" s="426" t="n">
        <f aca="false">IF(t&lt;T_para, pos_z, NA())</f>
        <v>437.067007526316</v>
      </c>
      <c r="AF359" s="412"/>
      <c r="AG359" s="418" t="n">
        <f aca="false">IF(AND(L358&lt;L_rampe,Poussee&lt;Poids*SIN(M358)),0,(-W358+Poussee)/m-Poids*SIN(M358)/m)</f>
        <v>-24.4417825398917</v>
      </c>
      <c r="AH359" s="417" t="n">
        <f aca="false">IF(AND(L358&lt;L_rampe,Poussee&lt;Poids*SIN(M358)), g*SIN(M358), (-W358+Poussee)/m)</f>
        <v>-14.8984241456902</v>
      </c>
    </row>
    <row r="360" customFormat="false" ht="12" hidden="false" customHeight="false" outlineLevel="0" collapsed="false">
      <c r="A360" s="416" t="n">
        <f aca="false">IF(B359+0.01&lt;=T_ini+ROUNDUP(Temps_fin_propu,0), 0.01, IF(K359&gt;0, 0.1, 0.0001))</f>
        <v>0.01</v>
      </c>
      <c r="B360" s="417" t="n">
        <f aca="false">B359+pas</f>
        <v>3.55999999999997</v>
      </c>
      <c r="C360" s="401"/>
      <c r="D360" s="418" t="n">
        <f aca="false">IF(AND(L359&lt;L_rampe,Poussee&lt;Poids*SIN(M359)),0,(-W359+Poussee)/m*COS(M359)-U359/m*SIN(M359))</f>
        <v>-3.61552440626449</v>
      </c>
      <c r="E360" s="419" t="n">
        <f aca="false">IF(AND(L359&lt;L_rampe,Poussee&lt;Poids*SIN(M359)),0,(-W359+Poussee)/m*SIN(M359)+U359/m*COS(M359)-Poids/m)</f>
        <v>-24.9911215300365</v>
      </c>
      <c r="F360" s="417" t="n">
        <f aca="false">SQRT(acc_x^2+acc_z^2)</f>
        <v>25.2513004033723</v>
      </c>
      <c r="G360" s="418" t="n">
        <f aca="false">G359+acc_x*pas</f>
        <v>44.7402997539663</v>
      </c>
      <c r="H360" s="419" t="n">
        <f aca="false">H359+acc_z*pas</f>
        <v>187.760658933666</v>
      </c>
      <c r="I360" s="417" t="n">
        <f aca="false">SQRT(vit_x^2+vit_z^2)</f>
        <v>193.017510773709</v>
      </c>
      <c r="J360" s="418" t="n">
        <f aca="false">J359+0.5*(vit_x+G359)*pas*(K359&gt;=0)</f>
        <v>96.8562556999706</v>
      </c>
      <c r="K360" s="419" t="n">
        <f aca="false">K359+0.5*(vit_z+H359)*pas</f>
        <v>438.945863671729</v>
      </c>
      <c r="L360" s="417" t="n">
        <f aca="false">SQRT(pos_x^2+pos_z^2)</f>
        <v>449.504844804523</v>
      </c>
      <c r="M360" s="418" t="n">
        <f aca="false">IF(AND(L359&gt;L_rampe,G360&gt;0),ATAN2(G360,H360),$M$4)</f>
        <v>1.33687482625933</v>
      </c>
      <c r="N360" s="417" t="n">
        <f aca="false">DEGREES(Beta)</f>
        <v>76.5972852819448</v>
      </c>
      <c r="O360" s="401"/>
      <c r="P360" s="420" t="n">
        <f aca="false">MATCH(t-pas/2-T_ini,CdP_t)</f>
        <v>10</v>
      </c>
      <c r="Q360" s="417" t="n">
        <f aca="false">(INDEX(CdP,2,i_P+1)-INDEX(CdP,2,i_P+0))/(INDEX(CdP,1,i_P+1)-INDEX(CdP,1,i_P+0))*(t-pas/2-T_ini-INDEX(CdP,1,i_P+0))+INDEX(CdP,2,i_P+0)</f>
        <v>19.5416666666844</v>
      </c>
      <c r="R360" s="418" t="n">
        <f aca="false">Poussee/(g*ISP)</f>
        <v>0.00980705202013488</v>
      </c>
      <c r="S360" s="419" t="n">
        <f aca="false">S359-Débit*pas</f>
        <v>7.37812609066882</v>
      </c>
      <c r="T360" s="417" t="n">
        <f aca="false">m*g</f>
        <v>72.3794169494611</v>
      </c>
      <c r="U360" s="421" t="n">
        <f aca="false">IF(pos_xz&lt;L_rampe,Poids*COS(Beta),0)</f>
        <v>0</v>
      </c>
      <c r="V360" s="418" t="n">
        <f aca="false">Rho_moyen*(20000-Alt_rampe-pos_z)/(20000+Alt_rampe+pos_z)</f>
        <v>1.17238391240092</v>
      </c>
      <c r="W360" s="417" t="n">
        <f aca="false">1/2*Rho*Sref*Cx*vit_xz^2</f>
        <v>134.30710362983</v>
      </c>
      <c r="X360" s="401"/>
      <c r="Y360" s="422" t="str">
        <f aca="false">IF(AND(pos_z&lt;=0,K359&gt;0),"Impact balistique","") &amp; IF(AND(H361&lt;0,vit_z&gt;=0),"Apogée","") &amp; IF(AND(Poussee=0,Q359&gt;0),"Fin de propulsion","") &amp; IF(AND(L361&gt;L_rampe,pos_xz&lt;=L_rampe),"Sortie de rampe","")</f>
        <v/>
      </c>
      <c r="Z360" s="423" t="str">
        <f aca="false">IF(ABS(t-T_para)&lt;pas/2,"Para","")</f>
        <v/>
      </c>
      <c r="AA360" s="424" t="str">
        <f aca="false">IF(ABS(t-T_satellite)&lt;pas/2,"Satellite","")</f>
        <v/>
      </c>
      <c r="AB360" s="412"/>
      <c r="AC360" s="420" t="e">
        <f aca="false">IF(ABS(t-ROUND(t,0))&lt;0.001,t,NA())</f>
        <v>#N/A</v>
      </c>
      <c r="AD360" s="425" t="e">
        <f aca="false">IF(ABS(t-ROUND(t,0))&lt;0.001,pos_x,NA())</f>
        <v>#N/A</v>
      </c>
      <c r="AE360" s="426" t="n">
        <f aca="false">IF(t&lt;T_para, pos_z, NA())</f>
        <v>438.945863671729</v>
      </c>
      <c r="AF360" s="412"/>
      <c r="AG360" s="418" t="n">
        <f aca="false">IF(AND(L359&lt;L_rampe,Poussee&lt;Poids*SIN(M359)),0,(-W359+Poussee)/m-Poids*SIN(M359)/m)</f>
        <v>-25.1488103900464</v>
      </c>
      <c r="AH360" s="417" t="n">
        <f aca="false">IF(AND(L359&lt;L_rampe,Poussee&lt;Poids*SIN(M359)), g*SIN(M359), (-W359+Poussee)/m)</f>
        <v>-15.6057190684067</v>
      </c>
    </row>
    <row r="361" customFormat="false" ht="12" hidden="false" customHeight="false" outlineLevel="0" collapsed="false">
      <c r="A361" s="416" t="n">
        <f aca="false">IF(B360+0.01&lt;=T_ini+ROUNDUP(Temps_fin_propu,0), 0.01, IF(K360&gt;0, 0.1, 0.0001))</f>
        <v>0.01</v>
      </c>
      <c r="B361" s="417" t="n">
        <f aca="false">B360+pas</f>
        <v>3.56999999999997</v>
      </c>
      <c r="C361" s="401"/>
      <c r="D361" s="418" t="n">
        <f aca="false">IF(AND(L360&lt;L_rampe,Poussee&lt;Poids*SIN(M360)),0,(-W360+Poussee)/m*COS(M360)-U360/m*SIN(M360))</f>
        <v>-3.78095829036626</v>
      </c>
      <c r="E361" s="419" t="n">
        <f aca="false">IF(AND(L360&lt;L_rampe,Poussee&lt;Poids*SIN(M360)),0,(-W360+Poussee)/m*SIN(M360)+U360/m*COS(M360)-Poids/m)</f>
        <v>-25.6774667783588</v>
      </c>
      <c r="F361" s="417" t="n">
        <f aca="false">SQRT(acc_x^2+acc_z^2)</f>
        <v>25.9543434851897</v>
      </c>
      <c r="G361" s="418" t="n">
        <f aca="false">G360+acc_x*pas</f>
        <v>44.7024901710626</v>
      </c>
      <c r="H361" s="419" t="n">
        <f aca="false">H360+acc_z*pas</f>
        <v>187.503884265882</v>
      </c>
      <c r="I361" s="417" t="n">
        <f aca="false">SQRT(vit_x^2+vit_z^2)</f>
        <v>192.758966697498</v>
      </c>
      <c r="J361" s="418" t="n">
        <f aca="false">J360+0.5*(vit_x+G360)*pas*(K360&gt;=0)</f>
        <v>97.3034696495957</v>
      </c>
      <c r="K361" s="419" t="n">
        <f aca="false">K360+0.5*(vit_z+H360)*pas</f>
        <v>440.822186387727</v>
      </c>
      <c r="L361" s="417" t="n">
        <f aca="false">SQRT(pos_x^2+pos_z^2)</f>
        <v>451.433456023704</v>
      </c>
      <c r="M361" s="418" t="n">
        <f aca="false">IF(AND(L360&gt;L_rampe,G361&gt;0),ATAN2(G361,H361),$M$4)</f>
        <v>1.3367568603288</v>
      </c>
      <c r="N361" s="417" t="n">
        <f aca="false">DEGREES(Beta)</f>
        <v>76.5905263319991</v>
      </c>
      <c r="O361" s="401"/>
      <c r="P361" s="420" t="n">
        <f aca="false">MATCH(t-pas/2-T_ini,CdP_t)</f>
        <v>10</v>
      </c>
      <c r="Q361" s="417" t="n">
        <f aca="false">(INDEX(CdP,2,i_P+1)-INDEX(CdP,2,i_P+0))/(INDEX(CdP,1,i_P+1)-INDEX(CdP,1,i_P+0))*(t-pas/2-T_ini-INDEX(CdP,1,i_P+0))+INDEX(CdP,2,i_P+0)</f>
        <v>13.9583333333512</v>
      </c>
      <c r="R361" s="418" t="n">
        <f aca="false">Poussee/(g*ISP)</f>
        <v>0.00700503715724179</v>
      </c>
      <c r="S361" s="419" t="n">
        <f aca="false">S360-Débit*pas</f>
        <v>7.37805604029724</v>
      </c>
      <c r="T361" s="417" t="n">
        <f aca="false">m*g</f>
        <v>72.378729755316</v>
      </c>
      <c r="U361" s="421" t="n">
        <f aca="false">IF(pos_xz&lt;L_rampe,Poids*COS(Beta),0)</f>
        <v>0</v>
      </c>
      <c r="V361" s="418" t="n">
        <f aca="false">Rho_moyen*(20000-Alt_rampe-pos_z)/(20000+Alt_rampe+pos_z)</f>
        <v>1.1721638495359</v>
      </c>
      <c r="W361" s="417" t="n">
        <f aca="false">1/2*Rho*Sref*Cx*vit_xz^2</f>
        <v>133.922397197987</v>
      </c>
      <c r="X361" s="401"/>
      <c r="Y361" s="422" t="str">
        <f aca="false">IF(AND(pos_z&lt;=0,K360&gt;0),"Impact balistique","") &amp; IF(AND(H362&lt;0,vit_z&gt;=0),"Apogée","") &amp; IF(AND(Poussee=0,Q360&gt;0),"Fin de propulsion","") &amp; IF(AND(L362&gt;L_rampe,pos_xz&lt;=L_rampe),"Sortie de rampe","")</f>
        <v/>
      </c>
      <c r="Z361" s="423" t="str">
        <f aca="false">IF(ABS(t-T_para)&lt;pas/2,"Para","")</f>
        <v/>
      </c>
      <c r="AA361" s="424" t="str">
        <f aca="false">IF(ABS(t-T_satellite)&lt;pas/2,"Satellite","")</f>
        <v/>
      </c>
      <c r="AB361" s="412"/>
      <c r="AC361" s="420" t="e">
        <f aca="false">IF(ABS(t-ROUND(t,0))&lt;0.001,t,NA())</f>
        <v>#N/A</v>
      </c>
      <c r="AD361" s="425" t="e">
        <f aca="false">IF(ABS(t-ROUND(t,0))&lt;0.001,pos_x,NA())</f>
        <v>#N/A</v>
      </c>
      <c r="AE361" s="426" t="n">
        <f aca="false">IF(t&lt;T_para, pos_z, NA())</f>
        <v>440.822186387727</v>
      </c>
      <c r="AF361" s="412"/>
      <c r="AG361" s="418" t="n">
        <f aca="false">IF(AND(L360&lt;L_rampe,Poussee&lt;Poids*SIN(M360)),0,(-W360+Poussee)/m-Poids*SIN(M360)/m)</f>
        <v>-25.8545417424372</v>
      </c>
      <c r="AH361" s="417" t="n">
        <f aca="false">IF(AND(L360&lt;L_rampe,Poussee&lt;Poids*SIN(M360)), g*SIN(M360), (-W360+Poussee)/m)</f>
        <v>-16.3117181055771</v>
      </c>
    </row>
    <row r="362" customFormat="false" ht="12" hidden="false" customHeight="false" outlineLevel="0" collapsed="false">
      <c r="A362" s="416" t="n">
        <f aca="false">IF(B361+0.01&lt;=T_ini+ROUNDUP(Temps_fin_propu,0), 0.01, IF(K361&gt;0, 0.1, 0.0001))</f>
        <v>0.01</v>
      </c>
      <c r="B362" s="417" t="n">
        <f aca="false">B361+pas</f>
        <v>3.57999999999997</v>
      </c>
      <c r="C362" s="401"/>
      <c r="D362" s="418" t="n">
        <f aca="false">IF(AND(L361&lt;L_rampe,Poussee&lt;Poids*SIN(M361)),0,(-W361+Poussee)/m*COS(M361)-U361/m*SIN(M361))</f>
        <v>-3.94625699524051</v>
      </c>
      <c r="E362" s="419" t="n">
        <f aca="false">IF(AND(L361&lt;L_rampe,Poussee&lt;Poids*SIN(M361)),0,(-W361+Poussee)/m*SIN(M361)+U361/m*COS(M361)-Poids/m)</f>
        <v>-26.3625122221936</v>
      </c>
      <c r="F362" s="417" t="n">
        <f aca="false">SQRT(acc_x^2+acc_z^2)</f>
        <v>26.656237449006</v>
      </c>
      <c r="G362" s="418" t="n">
        <f aca="false">G361+acc_x*pas</f>
        <v>44.6630276011102</v>
      </c>
      <c r="H362" s="419" t="n">
        <f aca="false">H361+acc_z*pas</f>
        <v>187.24025914366</v>
      </c>
      <c r="I362" s="417" t="n">
        <f aca="false">SQRT(vit_x^2+vit_z^2)</f>
        <v>192.493378272299</v>
      </c>
      <c r="J362" s="418" t="n">
        <f aca="false">J361+0.5*(vit_x+G361)*pas*(K361&gt;=0)</f>
        <v>97.7502972384566</v>
      </c>
      <c r="K362" s="419" t="n">
        <f aca="false">K361+0.5*(vit_z+H361)*pas</f>
        <v>442.695907104775</v>
      </c>
      <c r="L362" s="417" t="n">
        <f aca="false">SQRT(pos_x^2+pos_z^2)</f>
        <v>453.35944544867</v>
      </c>
      <c r="M362" s="418" t="n">
        <f aca="false">IF(AND(L361&gt;L_rampe,G362&gt;0),ATAN2(G362,H362),$M$4)</f>
        <v>1.33663867315685</v>
      </c>
      <c r="N362" s="417" t="n">
        <f aca="false">DEGREES(Beta)</f>
        <v>76.5837547058539</v>
      </c>
      <c r="O362" s="401"/>
      <c r="P362" s="420" t="n">
        <f aca="false">MATCH(t-pas/2-T_ini,CdP_t)</f>
        <v>10</v>
      </c>
      <c r="Q362" s="417" t="n">
        <f aca="false">(INDEX(CdP,2,i_P+1)-INDEX(CdP,2,i_P+0))/(INDEX(CdP,1,i_P+1)-INDEX(CdP,1,i_P+0))*(t-pas/2-T_ini-INDEX(CdP,1,i_P+0))+INDEX(CdP,2,i_P+0)</f>
        <v>8.37500000001795</v>
      </c>
      <c r="R362" s="418" t="n">
        <f aca="false">Poussee/(g*ISP)</f>
        <v>0.00420302229434871</v>
      </c>
      <c r="S362" s="419" t="n">
        <f aca="false">S361-Débit*pas</f>
        <v>7.3780140100743</v>
      </c>
      <c r="T362" s="417" t="n">
        <f aca="false">m*g</f>
        <v>72.3783174388289</v>
      </c>
      <c r="U362" s="421" t="n">
        <f aca="false">IF(pos_xz&lt;L_rampe,Poids*COS(Beta),0)</f>
        <v>0</v>
      </c>
      <c r="V362" s="418" t="n">
        <f aca="false">Rho_moyen*(20000-Alt_rampe-pos_z)/(20000+Alt_rampe+pos_z)</f>
        <v>1.17194413215677</v>
      </c>
      <c r="W362" s="417" t="n">
        <f aca="false">1/2*Rho*Sref*Cx*vit_xz^2</f>
        <v>133.528573679383</v>
      </c>
      <c r="X362" s="401"/>
      <c r="Y362" s="422" t="str">
        <f aca="false">IF(AND(pos_z&lt;=0,K361&gt;0),"Impact balistique","") &amp; IF(AND(H363&lt;0,vit_z&gt;=0),"Apogée","") &amp; IF(AND(Poussee=0,Q361&gt;0),"Fin de propulsion","") &amp; IF(AND(L363&gt;L_rampe,pos_xz&lt;=L_rampe),"Sortie de rampe","")</f>
        <v/>
      </c>
      <c r="Z362" s="423" t="str">
        <f aca="false">IF(ABS(t-T_para)&lt;pas/2,"Para","")</f>
        <v/>
      </c>
      <c r="AA362" s="424" t="str">
        <f aca="false">IF(ABS(t-T_satellite)&lt;pas/2,"Satellite","")</f>
        <v/>
      </c>
      <c r="AB362" s="412"/>
      <c r="AC362" s="420" t="e">
        <f aca="false">IF(ABS(t-ROUND(t,0))&lt;0.001,t,NA())</f>
        <v>#N/A</v>
      </c>
      <c r="AD362" s="425" t="e">
        <f aca="false">IF(ABS(t-ROUND(t,0))&lt;0.001,pos_x,NA())</f>
        <v>#N/A</v>
      </c>
      <c r="AE362" s="426" t="n">
        <f aca="false">IF(t&lt;T_para, pos_z, NA())</f>
        <v>442.695907104775</v>
      </c>
      <c r="AF362" s="412"/>
      <c r="AG362" s="418" t="n">
        <f aca="false">IF(AND(L361&lt;L_rampe,Poussee&lt;Poids*SIN(M361)),0,(-W361+Poussee)/m-Poids*SIN(M361)/m)</f>
        <v>-26.5589769592636</v>
      </c>
      <c r="AH362" s="417" t="n">
        <f aca="false">IF(AND(L361&lt;L_rampe,Poussee&lt;Poids*SIN(M361)), g*SIN(M361), (-W361+Poussee)/m)</f>
        <v>-17.0164216314228</v>
      </c>
    </row>
    <row r="363" customFormat="false" ht="12" hidden="false" customHeight="false" outlineLevel="0" collapsed="false">
      <c r="A363" s="416" t="n">
        <f aca="false">IF(B362+0.01&lt;=T_ini+ROUNDUP(Temps_fin_propu,0), 0.01, IF(K362&gt;0, 0.1, 0.0001))</f>
        <v>0.01</v>
      </c>
      <c r="B363" s="417" t="n">
        <f aca="false">B362+pas</f>
        <v>3.58999999999997</v>
      </c>
      <c r="C363" s="401"/>
      <c r="D363" s="418" t="n">
        <f aca="false">IF(AND(L362&lt;L_rampe,Poussee&lt;Poids*SIN(M362)),0,(-W362+Poussee)/m*COS(M362)-U362/m*SIN(M362))</f>
        <v>-4.11142072098594</v>
      </c>
      <c r="E363" s="419" t="n">
        <f aca="false">IF(AND(L362&lt;L_rampe,Poussee&lt;Poids*SIN(M362)),0,(-W362+Poussee)/m*SIN(M362)+U362/m*COS(M362)-Poids/m)</f>
        <v>-27.0462583235823</v>
      </c>
      <c r="F363" s="417" t="n">
        <f aca="false">SQRT(acc_x^2+acc_z^2)</f>
        <v>27.3569711344457</v>
      </c>
      <c r="G363" s="418" t="n">
        <f aca="false">G362+acc_x*pas</f>
        <v>44.6219133939003</v>
      </c>
      <c r="H363" s="419" t="n">
        <f aca="false">H362+acc_z*pas</f>
        <v>186.969796560424</v>
      </c>
      <c r="I363" s="417" t="n">
        <f aca="false">SQRT(vit_x^2+vit_z^2)</f>
        <v>192.220758454385</v>
      </c>
      <c r="J363" s="418" t="n">
        <f aca="false">J362+0.5*(vit_x+G362)*pas*(K362&gt;=0)</f>
        <v>98.1967219434317</v>
      </c>
      <c r="K363" s="419" t="n">
        <f aca="false">K362+0.5*(vit_z+H362)*pas</f>
        <v>444.566957383295</v>
      </c>
      <c r="L363" s="417" t="n">
        <f aca="false">SQRT(pos_x^2+pos_z^2)</f>
        <v>455.282742696751</v>
      </c>
      <c r="M363" s="418" t="n">
        <f aca="false">IF(AND(L362&gt;L_rampe,G363&gt;0),ATAN2(G363,H363),$M$4)</f>
        <v>1.33652025969258</v>
      </c>
      <c r="N363" s="417" t="n">
        <f aca="false">DEGREES(Beta)</f>
        <v>76.5769701141133</v>
      </c>
      <c r="O363" s="401"/>
      <c r="P363" s="420" t="n">
        <f aca="false">MATCH(t-pas/2-T_ini,CdP_t)</f>
        <v>10</v>
      </c>
      <c r="Q363" s="417" t="n">
        <f aca="false">(INDEX(CdP,2,i_P+1)-INDEX(CdP,2,i_P+0))/(INDEX(CdP,1,i_P+1)-INDEX(CdP,1,i_P+0))*(t-pas/2-T_ini-INDEX(CdP,1,i_P+0))+INDEX(CdP,2,i_P+0)</f>
        <v>2.79166666668472</v>
      </c>
      <c r="R363" s="418" t="n">
        <f aca="false">Poussee/(g*ISP)</f>
        <v>0.00140100743145563</v>
      </c>
      <c r="S363" s="419" t="n">
        <f aca="false">S362-Débit*pas</f>
        <v>7.37799999999998</v>
      </c>
      <c r="T363" s="417" t="n">
        <f aca="false">m*g</f>
        <v>72.3781799999998</v>
      </c>
      <c r="U363" s="421" t="n">
        <f aca="false">IF(pos_xz&lt;L_rampe,Poids*COS(Beta),0)</f>
        <v>0</v>
      </c>
      <c r="V363" s="418" t="n">
        <f aca="false">Rho_moyen*(20000-Alt_rampe-pos_z)/(20000+Alt_rampe+pos_z)</f>
        <v>1.17172476810786</v>
      </c>
      <c r="W363" s="417" t="n">
        <f aca="false">1/2*Rho*Sref*Cx*vit_xz^2</f>
        <v>133.125697256021</v>
      </c>
      <c r="X363" s="401"/>
      <c r="Y363" s="422" t="str">
        <f aca="false">IF(AND(pos_z&lt;=0,K362&gt;0),"Impact balistique","") &amp; IF(AND(H364&lt;0,vit_z&gt;=0),"Apogée","") &amp; IF(AND(Poussee=0,Q362&gt;0),"Fin de propulsion","") &amp; IF(AND(L364&gt;L_rampe,pos_xz&lt;=L_rampe),"Sortie de rampe","")</f>
        <v/>
      </c>
      <c r="Z363" s="423" t="str">
        <f aca="false">IF(ABS(t-T_para)&lt;pas/2,"Para","")</f>
        <v/>
      </c>
      <c r="AA363" s="424" t="str">
        <f aca="false">IF(ABS(t-T_satellite)&lt;pas/2,"Satellite","")</f>
        <v/>
      </c>
      <c r="AB363" s="412"/>
      <c r="AC363" s="420" t="e">
        <f aca="false">IF(ABS(t-ROUND(t,0))&lt;0.001,t,NA())</f>
        <v>#N/A</v>
      </c>
      <c r="AD363" s="425" t="e">
        <f aca="false">IF(ABS(t-ROUND(t,0))&lt;0.001,pos_x,NA())</f>
        <v>#N/A</v>
      </c>
      <c r="AE363" s="426" t="n">
        <f aca="false">IF(t&lt;T_para, pos_z, NA())</f>
        <v>444.566957383295</v>
      </c>
      <c r="AF363" s="412"/>
      <c r="AG363" s="418" t="n">
        <f aca="false">IF(AND(L362&lt;L_rampe,Poussee&lt;Poids*SIN(M362)),0,(-W362+Poussee)/m-Poids*SIN(M362)/m)</f>
        <v>-27.2621165549478</v>
      </c>
      <c r="AH363" s="417" t="n">
        <f aca="false">IF(AND(L362&lt;L_rampe,Poussee&lt;Poids*SIN(M362)), g*SIN(M362), (-W362+Poussee)/m)</f>
        <v>-17.7198301724992</v>
      </c>
    </row>
    <row r="364" customFormat="false" ht="12" hidden="false" customHeight="false" outlineLevel="0" collapsed="false">
      <c r="A364" s="416" t="n">
        <f aca="false">IF(B363+0.01&lt;=T_ini+ROUNDUP(Temps_fin_propu,0), 0.01, IF(K363&gt;0, 0.1, 0.0001))</f>
        <v>0.01</v>
      </c>
      <c r="B364" s="417" t="n">
        <f aca="false">B363+pas</f>
        <v>3.59999999999997</v>
      </c>
      <c r="C364" s="401"/>
      <c r="D364" s="418" t="n">
        <f aca="false">IF(AND(L363&lt;L_rampe,Poussee&lt;Poids*SIN(M363)),0,(-W363+Poussee)/m*COS(M363)-U363/m*SIN(M363))</f>
        <v>-4.18862178317097</v>
      </c>
      <c r="E364" s="419" t="n">
        <f aca="false">IF(AND(L363&lt;L_rampe,Poussee&lt;Poids*SIN(M363)),0,(-W363+Poussee)/m*SIN(M363)+U363/m*COS(M363)-Poids/m)</f>
        <v>-27.3606988181975</v>
      </c>
      <c r="F364" s="417" t="n">
        <f aca="false">SQRT(acc_x^2+acc_z^2)</f>
        <v>27.6794579474124</v>
      </c>
      <c r="G364" s="418" t="n">
        <f aca="false">G363+acc_x*pas</f>
        <v>44.5800271760686</v>
      </c>
      <c r="H364" s="419" t="n">
        <f aca="false">H363+acc_z*pas</f>
        <v>186.696189572242</v>
      </c>
      <c r="I364" s="417" t="n">
        <f aca="false">SQRT(vit_x^2+vit_z^2)</f>
        <v>191.944903615109</v>
      </c>
      <c r="J364" s="418" t="n">
        <f aca="false">J363+0.5*(vit_x+G363)*pas*(K363&gt;=0)</f>
        <v>98.6427316462815</v>
      </c>
      <c r="K364" s="419" t="n">
        <f aca="false">K363+0.5*(vit_z+H363)*pas</f>
        <v>446.435287313958</v>
      </c>
      <c r="L364" s="417" t="n">
        <f aca="false">SQRT(pos_x^2+pos_z^2)</f>
        <v>457.203296429211</v>
      </c>
      <c r="M364" s="418" t="n">
        <f aca="false">IF(AND(L363&gt;L_rampe,G364&gt;0),ATAN2(G364,H364),$M$4)</f>
        <v>1.33640161718278</v>
      </c>
      <c r="N364" s="417" t="n">
        <f aca="false">DEGREES(Beta)</f>
        <v>76.5701723990313</v>
      </c>
      <c r="O364" s="401"/>
      <c r="P364" s="420" t="n">
        <f aca="false">MATCH(t-pas/2-T_ini,CdP_t)</f>
        <v>23</v>
      </c>
      <c r="Q364" s="417" t="n">
        <f aca="false">(INDEX(CdP,2,i_P+1)-INDEX(CdP,2,i_P+0))/(INDEX(CdP,1,i_P+1)-INDEX(CdP,1,i_P+0))*(t-pas/2-T_ini-INDEX(CdP,1,i_P+0))+INDEX(CdP,2,i_P+0)</f>
        <v>0</v>
      </c>
      <c r="R364" s="418" t="n">
        <f aca="false">Poussee/(g*ISP)</f>
        <v>0</v>
      </c>
      <c r="S364" s="419" t="n">
        <f aca="false">S363-Débit*pas</f>
        <v>7.37799999999998</v>
      </c>
      <c r="T364" s="417" t="n">
        <f aca="false">m*g</f>
        <v>72.3781799999998</v>
      </c>
      <c r="U364" s="421" t="n">
        <f aca="false">IF(pos_xz&lt;L_rampe,Poids*COS(Beta),0)</f>
        <v>0</v>
      </c>
      <c r="V364" s="418" t="n">
        <f aca="false">Rho_moyen*(20000-Alt_rampe-pos_z)/(20000+Alt_rampe+pos_z)</f>
        <v>1.17150576305603</v>
      </c>
      <c r="W364" s="417" t="n">
        <f aca="false">1/2*Rho*Sref*Cx*vit_xz^2</f>
        <v>132.719064745206</v>
      </c>
      <c r="X364" s="401"/>
      <c r="Y364" s="422" t="str">
        <f aca="false">IF(AND(pos_z&lt;=0,K363&gt;0),"Impact balistique","") &amp; IF(AND(H365&lt;0,vit_z&gt;=0),"Apogée","") &amp; IF(AND(Poussee=0,Q363&gt;0),"Fin de propulsion","") &amp; IF(AND(L365&gt;L_rampe,pos_xz&lt;=L_rampe),"Sortie de rampe","")</f>
        <v>Fin de propulsion</v>
      </c>
      <c r="Z364" s="423" t="str">
        <f aca="false">IF(ABS(t-T_para)&lt;pas/2,"Para","")</f>
        <v/>
      </c>
      <c r="AA364" s="424" t="str">
        <f aca="false">IF(ABS(t-T_satellite)&lt;pas/2,"Satellite","")</f>
        <v/>
      </c>
      <c r="AB364" s="412"/>
      <c r="AC364" s="420" t="e">
        <f aca="false">IF(ABS(t-ROUND(t,0))&lt;0.001,t,NA())</f>
        <v>#N/A</v>
      </c>
      <c r="AD364" s="425" t="e">
        <f aca="false">IF(ABS(t-ROUND(t,0))&lt;0.001,pos_x,NA())</f>
        <v>#N/A</v>
      </c>
      <c r="AE364" s="426" t="n">
        <f aca="false">IF(t&lt;T_para, pos_z, NA())</f>
        <v>446.435287313958</v>
      </c>
      <c r="AF364" s="412"/>
      <c r="AG364" s="418" t="n">
        <f aca="false">IF(AND(L363&lt;L_rampe,Poussee&lt;Poids*SIN(M363)),0,(-W363+Poussee)/m-Poids*SIN(M363)/m)</f>
        <v>-27.5856190188543</v>
      </c>
      <c r="AH364" s="417" t="n">
        <f aca="false">IF(AND(L363&lt;L_rampe,Poussee&lt;Poids*SIN(M363)), g*SIN(M363), (-W363+Poussee)/m)</f>
        <v>-18.0436022304177</v>
      </c>
    </row>
    <row r="365" customFormat="false" ht="12" hidden="false" customHeight="false" outlineLevel="0" collapsed="false">
      <c r="A365" s="416" t="n">
        <f aca="false">IF(B364+0.01&lt;=T_ini+ROUNDUP(Temps_fin_propu,0), 0.01, IF(K364&gt;0, 0.1, 0.0001))</f>
        <v>0.01</v>
      </c>
      <c r="B365" s="417" t="n">
        <f aca="false">B364+pas</f>
        <v>3.60999999999997</v>
      </c>
      <c r="C365" s="401"/>
      <c r="D365" s="418" t="n">
        <f aca="false">IF(AND(L364&lt;L_rampe,Poussee&lt;Poids*SIN(M364)),0,(-W364+Poussee)/m*COS(M364)-U364/m*SIN(M364))</f>
        <v>-4.17790350507846</v>
      </c>
      <c r="E365" s="419" t="n">
        <f aca="false">IF(AND(L364&lt;L_rampe,Poussee&lt;Poids*SIN(M364)),0,(-W364+Poussee)/m*SIN(M364)+U364/m*COS(M364)-Poids/m)</f>
        <v>-27.3065946458054</v>
      </c>
      <c r="F365" s="417" t="n">
        <f aca="false">SQRT(acc_x^2+acc_z^2)</f>
        <v>27.6243549942451</v>
      </c>
      <c r="G365" s="418" t="n">
        <f aca="false">G364+acc_x*pas</f>
        <v>44.5382481410178</v>
      </c>
      <c r="H365" s="419" t="n">
        <f aca="false">H364+acc_z*pas</f>
        <v>186.423123625784</v>
      </c>
      <c r="I365" s="417" t="n">
        <f aca="false">SQRT(vit_x^2+vit_z^2)</f>
        <v>191.669602623539</v>
      </c>
      <c r="J365" s="418" t="n">
        <f aca="false">J364+0.5*(vit_x+G364)*pas*(K364&gt;=0)</f>
        <v>99.0883230228669</v>
      </c>
      <c r="K365" s="419" t="n">
        <f aca="false">K364+0.5*(vit_z+H364)*pas</f>
        <v>448.300883879948</v>
      </c>
      <c r="L365" s="417" t="n">
        <f aca="false">SQRT(pos_x^2+pos_z^2)</f>
        <v>459.121093228167</v>
      </c>
      <c r="M365" s="418" t="n">
        <f aca="false">IF(AND(L364&gt;L_rampe,G365&gt;0),ATAN2(G365,H365),$M$4)</f>
        <v>1.33628274519931</v>
      </c>
      <c r="N365" s="417" t="n">
        <f aca="false">DEGREES(Beta)</f>
        <v>76.563361536076</v>
      </c>
      <c r="O365" s="401"/>
      <c r="P365" s="420" t="n">
        <f aca="false">MATCH(t-pas/2-T_ini,CdP_t)</f>
        <v>23</v>
      </c>
      <c r="Q365" s="417" t="n">
        <f aca="false">(INDEX(CdP,2,i_P+1)-INDEX(CdP,2,i_P+0))/(INDEX(CdP,1,i_P+1)-INDEX(CdP,1,i_P+0))*(t-pas/2-T_ini-INDEX(CdP,1,i_P+0))+INDEX(CdP,2,i_P+0)</f>
        <v>0</v>
      </c>
      <c r="R365" s="418" t="n">
        <f aca="false">Poussee/(g*ISP)</f>
        <v>0</v>
      </c>
      <c r="S365" s="419" t="n">
        <f aca="false">S364-Débit*pas</f>
        <v>7.37799999999998</v>
      </c>
      <c r="T365" s="417" t="n">
        <f aca="false">m*g</f>
        <v>72.3781799999998</v>
      </c>
      <c r="U365" s="421" t="n">
        <f aca="false">IF(pos_xz&lt;L_rampe,Poids*COS(Beta),0)</f>
        <v>0</v>
      </c>
      <c r="V365" s="418" t="n">
        <f aca="false">Rho_moyen*(20000-Alt_rampe-pos_z)/(20000+Alt_rampe+pos_z)</f>
        <v>1.17128711834088</v>
      </c>
      <c r="W365" s="417" t="n">
        <f aca="false">1/2*Rho*Sref*Cx*vit_xz^2</f>
        <v>132.313928475437</v>
      </c>
      <c r="X365" s="401"/>
      <c r="Y365" s="422" t="str">
        <f aca="false">IF(AND(pos_z&lt;=0,K364&gt;0),"Impact balistique","") &amp; IF(AND(H366&lt;0,vit_z&gt;=0),"Apogée","") &amp; IF(AND(Poussee=0,Q364&gt;0),"Fin de propulsion","") &amp; IF(AND(L366&gt;L_rampe,pos_xz&lt;=L_rampe),"Sortie de rampe","")</f>
        <v/>
      </c>
      <c r="Z365" s="423" t="str">
        <f aca="false">IF(ABS(t-T_para)&lt;pas/2,"Para","")</f>
        <v/>
      </c>
      <c r="AA365" s="424" t="str">
        <f aca="false">IF(ABS(t-T_satellite)&lt;pas/2,"Satellite","")</f>
        <v/>
      </c>
      <c r="AB365" s="412"/>
      <c r="AC365" s="420" t="e">
        <f aca="false">IF(ABS(t-ROUND(t,0))&lt;0.001,t,NA())</f>
        <v>#N/A</v>
      </c>
      <c r="AD365" s="425" t="e">
        <f aca="false">IF(ABS(t-ROUND(t,0))&lt;0.001,pos_x,NA())</f>
        <v>#N/A</v>
      </c>
      <c r="AE365" s="426" t="n">
        <f aca="false">IF(t&lt;T_para, pos_z, NA())</f>
        <v>448.300883879948</v>
      </c>
      <c r="AF365" s="412"/>
      <c r="AG365" s="418" t="n">
        <f aca="false">IF(AND(L364&lt;L_rampe,Poussee&lt;Poids*SIN(M364)),0,(-W364+Poussee)/m-Poids*SIN(M364)/m)</f>
        <v>-27.5302345768825</v>
      </c>
      <c r="AH365" s="417" t="n">
        <f aca="false">IF(AND(L364&lt;L_rampe,Poussee&lt;Poids*SIN(M364)), g*SIN(M364), (-W364+Poussee)/m)</f>
        <v>-17.9884880381141</v>
      </c>
    </row>
    <row r="366" customFormat="false" ht="12" hidden="false" customHeight="false" outlineLevel="0" collapsed="false">
      <c r="A366" s="416" t="n">
        <f aca="false">IF(B365+0.01&lt;=T_ini+ROUNDUP(Temps_fin_propu,0), 0.01, IF(K365&gt;0, 0.1, 0.0001))</f>
        <v>0.01</v>
      </c>
      <c r="B366" s="417" t="n">
        <f aca="false">B365+pas</f>
        <v>3.61999999999997</v>
      </c>
      <c r="C366" s="401"/>
      <c r="D366" s="418" t="n">
        <f aca="false">IF(AND(L365&lt;L_rampe,Poussee&lt;Poids*SIN(M365)),0,(-W365+Poussee)/m*COS(M365)-U365/m*SIN(M365))</f>
        <v>-4.1672235746798</v>
      </c>
      <c r="E366" s="419" t="n">
        <f aca="false">IF(AND(L365&lt;L_rampe,Poussee&lt;Poids*SIN(M365)),0,(-W365+Poussee)/m*SIN(M365)+U365/m*COS(M365)-Poids/m)</f>
        <v>-27.2526895548088</v>
      </c>
      <c r="F366" s="417" t="n">
        <f aca="false">SQRT(acc_x^2+acc_z^2)</f>
        <v>27.5694548421283</v>
      </c>
      <c r="G366" s="418" t="n">
        <f aca="false">G365+acc_x*pas</f>
        <v>44.496575905271</v>
      </c>
      <c r="H366" s="419" t="n">
        <f aca="false">H365+acc_z*pas</f>
        <v>186.150596730236</v>
      </c>
      <c r="I366" s="417" t="n">
        <f aca="false">SQRT(vit_x^2+vit_z^2)</f>
        <v>191.39485345828</v>
      </c>
      <c r="J366" s="418" t="n">
        <f aca="false">J365+0.5*(vit_x+G365)*pas*(K365&gt;=0)</f>
        <v>99.5334971430984</v>
      </c>
      <c r="K366" s="419" t="n">
        <f aca="false">K365+0.5*(vit_z+H365)*pas</f>
        <v>450.163752481729</v>
      </c>
      <c r="L366" s="417" t="n">
        <f aca="false">SQRT(pos_x^2+pos_z^2)</f>
        <v>461.03613860734</v>
      </c>
      <c r="M366" s="418" t="n">
        <f aca="false">IF(AND(L365&gt;L_rampe,G366&gt;0),ATAN2(G366,H366),$M$4)</f>
        <v>1.33616364331268</v>
      </c>
      <c r="N366" s="417" t="n">
        <f aca="false">DEGREES(Beta)</f>
        <v>76.5565375006402</v>
      </c>
      <c r="O366" s="401"/>
      <c r="P366" s="420" t="n">
        <f aca="false">MATCH(t-pas/2-T_ini,CdP_t)</f>
        <v>23</v>
      </c>
      <c r="Q366" s="417" t="n">
        <f aca="false">(INDEX(CdP,2,i_P+1)-INDEX(CdP,2,i_P+0))/(INDEX(CdP,1,i_P+1)-INDEX(CdP,1,i_P+0))*(t-pas/2-T_ini-INDEX(CdP,1,i_P+0))+INDEX(CdP,2,i_P+0)</f>
        <v>0</v>
      </c>
      <c r="R366" s="418" t="n">
        <f aca="false">Poussee/(g*ISP)</f>
        <v>0</v>
      </c>
      <c r="S366" s="419" t="n">
        <f aca="false">S365-Débit*pas</f>
        <v>7.37799999999998</v>
      </c>
      <c r="T366" s="417" t="n">
        <f aca="false">m*g</f>
        <v>72.3781799999998</v>
      </c>
      <c r="U366" s="421" t="n">
        <f aca="false">IF(pos_xz&lt;L_rampe,Poids*COS(Beta),0)</f>
        <v>0</v>
      </c>
      <c r="V366" s="418" t="n">
        <f aca="false">Rho_moyen*(20000-Alt_rampe-pos_z)/(20000+Alt_rampe+pos_z)</f>
        <v>1.17106883314338</v>
      </c>
      <c r="W366" s="417" t="n">
        <f aca="false">1/2*Rho*Sref*Cx*vit_xz^2</f>
        <v>131.910281187581</v>
      </c>
      <c r="X366" s="401"/>
      <c r="Y366" s="422" t="str">
        <f aca="false">IF(AND(pos_z&lt;=0,K365&gt;0),"Impact balistique","") &amp; IF(AND(H367&lt;0,vit_z&gt;=0),"Apogée","") &amp; IF(AND(Poussee=0,Q365&gt;0),"Fin de propulsion","") &amp; IF(AND(L367&gt;L_rampe,pos_xz&lt;=L_rampe),"Sortie de rampe","")</f>
        <v/>
      </c>
      <c r="Z366" s="423" t="str">
        <f aca="false">IF(ABS(t-T_para)&lt;pas/2,"Para","")</f>
        <v/>
      </c>
      <c r="AA366" s="424" t="str">
        <f aca="false">IF(ABS(t-T_satellite)&lt;pas/2,"Satellite","")</f>
        <v/>
      </c>
      <c r="AB366" s="412"/>
      <c r="AC366" s="420" t="e">
        <f aca="false">IF(ABS(t-ROUND(t,0))&lt;0.001,t,NA())</f>
        <v>#N/A</v>
      </c>
      <c r="AD366" s="425" t="e">
        <f aca="false">IF(ABS(t-ROUND(t,0))&lt;0.001,pos_x,NA())</f>
        <v>#N/A</v>
      </c>
      <c r="AE366" s="426" t="n">
        <f aca="false">IF(t&lt;T_para, pos_z, NA())</f>
        <v>450.163752481729</v>
      </c>
      <c r="AF366" s="412"/>
      <c r="AG366" s="418" t="n">
        <f aca="false">IF(AND(L365&lt;L_rampe,Poussee&lt;Poids*SIN(M365)),0,(-W365+Poussee)/m-Poids*SIN(M365)/m)</f>
        <v>-27.4750522751524</v>
      </c>
      <c r="AH366" s="417" t="n">
        <f aca="false">IF(AND(L365&lt;L_rampe,Poussee&lt;Poids*SIN(M365)), g*SIN(M365), (-W365+Poussee)/m)</f>
        <v>-17.9335766434586</v>
      </c>
    </row>
    <row r="367" customFormat="false" ht="12" hidden="false" customHeight="false" outlineLevel="0" collapsed="false">
      <c r="A367" s="416" t="n">
        <f aca="false">IF(B366+0.01&lt;=T_ini+ROUNDUP(Temps_fin_propu,0), 0.01, IF(K366&gt;0, 0.1, 0.0001))</f>
        <v>0.01</v>
      </c>
      <c r="B367" s="417" t="n">
        <f aca="false">B366+pas</f>
        <v>3.62999999999997</v>
      </c>
      <c r="C367" s="401"/>
      <c r="D367" s="418" t="n">
        <f aca="false">IF(AND(L366&lt;L_rampe,Poussee&lt;Poids*SIN(M366)),0,(-W366+Poussee)/m*COS(M366)-U366/m*SIN(M366))</f>
        <v>-4.15658180444725</v>
      </c>
      <c r="E367" s="419" t="n">
        <f aca="false">IF(AND(L366&lt;L_rampe,Poussee&lt;Poids*SIN(M366)),0,(-W366+Poussee)/m*SIN(M366)+U366/m*COS(M366)-Poids/m)</f>
        <v>-27.1989825793143</v>
      </c>
      <c r="F367" s="417" t="n">
        <f aca="false">SQRT(acc_x^2+acc_z^2)</f>
        <v>27.5147565071346</v>
      </c>
      <c r="G367" s="418" t="n">
        <f aca="false">G366+acc_x*pas</f>
        <v>44.4550100872266</v>
      </c>
      <c r="H367" s="419" t="n">
        <f aca="false">H366+acc_z*pas</f>
        <v>185.878606904443</v>
      </c>
      <c r="I367" s="417" t="n">
        <f aca="false">SQRT(vit_x^2+vit_z^2)</f>
        <v>191.120654107796</v>
      </c>
      <c r="J367" s="418" t="n">
        <f aca="false">J366+0.5*(vit_x+G366)*pas*(K366&gt;=0)</f>
        <v>99.9782550730609</v>
      </c>
      <c r="K367" s="419" t="n">
        <f aca="false">K366+0.5*(vit_z+H366)*pas</f>
        <v>452.023898499902</v>
      </c>
      <c r="L367" s="417" t="n">
        <f aca="false">SQRT(pos_x^2+pos_z^2)</f>
        <v>462.948438060335</v>
      </c>
      <c r="M367" s="418" t="n">
        <f aca="false">IF(AND(L366&gt;L_rampe,G367&gt;0),ATAN2(G367,H367),$M$4)</f>
        <v>1.3360443110921</v>
      </c>
      <c r="N367" s="417" t="n">
        <f aca="false">DEGREES(Beta)</f>
        <v>76.5497002680409</v>
      </c>
      <c r="O367" s="401"/>
      <c r="P367" s="420" t="n">
        <f aca="false">MATCH(t-pas/2-T_ini,CdP_t)</f>
        <v>23</v>
      </c>
      <c r="Q367" s="417" t="n">
        <f aca="false">(INDEX(CdP,2,i_P+1)-INDEX(CdP,2,i_P+0))/(INDEX(CdP,1,i_P+1)-INDEX(CdP,1,i_P+0))*(t-pas/2-T_ini-INDEX(CdP,1,i_P+0))+INDEX(CdP,2,i_P+0)</f>
        <v>0</v>
      </c>
      <c r="R367" s="418" t="n">
        <f aca="false">Poussee/(g*ISP)</f>
        <v>0</v>
      </c>
      <c r="S367" s="419" t="n">
        <f aca="false">S366-Débit*pas</f>
        <v>7.37799999999998</v>
      </c>
      <c r="T367" s="417" t="n">
        <f aca="false">m*g</f>
        <v>72.3781799999998</v>
      </c>
      <c r="U367" s="421" t="n">
        <f aca="false">IF(pos_xz&lt;L_rampe,Poids*COS(Beta),0)</f>
        <v>0</v>
      </c>
      <c r="V367" s="418" t="n">
        <f aca="false">Rho_moyen*(20000-Alt_rampe-pos_z)/(20000+Alt_rampe+pos_z)</f>
        <v>1.17085090664763</v>
      </c>
      <c r="W367" s="417" t="n">
        <f aca="false">1/2*Rho*Sref*Cx*vit_xz^2</f>
        <v>131.508115667017</v>
      </c>
      <c r="X367" s="401"/>
      <c r="Y367" s="422" t="str">
        <f aca="false">IF(AND(pos_z&lt;=0,K366&gt;0),"Impact balistique","") &amp; IF(AND(H368&lt;0,vit_z&gt;=0),"Apogée","") &amp; IF(AND(Poussee=0,Q366&gt;0),"Fin de propulsion","") &amp; IF(AND(L368&gt;L_rampe,pos_xz&lt;=L_rampe),"Sortie de rampe","")</f>
        <v/>
      </c>
      <c r="Z367" s="423" t="str">
        <f aca="false">IF(ABS(t-T_para)&lt;pas/2,"Para","")</f>
        <v/>
      </c>
      <c r="AA367" s="424" t="str">
        <f aca="false">IF(ABS(t-T_satellite)&lt;pas/2,"Satellite","")</f>
        <v/>
      </c>
      <c r="AB367" s="412"/>
      <c r="AC367" s="420" t="e">
        <f aca="false">IF(ABS(t-ROUND(t,0))&lt;0.001,t,NA())</f>
        <v>#N/A</v>
      </c>
      <c r="AD367" s="425" t="e">
        <f aca="false">IF(ABS(t-ROUND(t,0))&lt;0.001,pos_x,NA())</f>
        <v>#N/A</v>
      </c>
      <c r="AE367" s="426" t="n">
        <f aca="false">IF(t&lt;T_para, pos_z, NA())</f>
        <v>452.023898499902</v>
      </c>
      <c r="AF367" s="412"/>
      <c r="AG367" s="418" t="n">
        <f aca="false">IF(AND(L366&lt;L_rampe,Poussee&lt;Poids*SIN(M366)),0,(-W366+Poussee)/m-Poids*SIN(M366)/m)</f>
        <v>-27.4200711280185</v>
      </c>
      <c r="AH367" s="417" t="n">
        <f aca="false">IF(AND(L366&lt;L_rampe,Poussee&lt;Poids*SIN(M366)), g*SIN(M366), (-W366+Poussee)/m)</f>
        <v>-17.8788670625619</v>
      </c>
    </row>
    <row r="368" customFormat="false" ht="12" hidden="false" customHeight="false" outlineLevel="0" collapsed="false">
      <c r="A368" s="416" t="n">
        <f aca="false">IF(B367+0.01&lt;=T_ini+ROUNDUP(Temps_fin_propu,0), 0.01, IF(K367&gt;0, 0.1, 0.0001))</f>
        <v>0.01</v>
      </c>
      <c r="B368" s="417" t="n">
        <f aca="false">B367+pas</f>
        <v>3.63999999999997</v>
      </c>
      <c r="C368" s="401"/>
      <c r="D368" s="418" t="n">
        <f aca="false">IF(AND(L367&lt;L_rampe,Poussee&lt;Poids*SIN(M367)),0,(-W367+Poussee)/m*COS(M367)-U367/m*SIN(M367))</f>
        <v>-4.14597800800173</v>
      </c>
      <c r="E368" s="419" t="n">
        <f aca="false">IF(AND(L367&lt;L_rampe,Poussee&lt;Poids*SIN(M367)),0,(-W367+Poussee)/m*SIN(M367)+U367/m*COS(M367)-Poids/m)</f>
        <v>-27.1454727593516</v>
      </c>
      <c r="F368" s="417" t="n">
        <f aca="false">SQRT(acc_x^2+acc_z^2)</f>
        <v>27.4602590113701</v>
      </c>
      <c r="G368" s="418" t="n">
        <f aca="false">G367+acc_x*pas</f>
        <v>44.4135503071466</v>
      </c>
      <c r="H368" s="419" t="n">
        <f aca="false">H367+acc_z*pas</f>
        <v>185.607152176849</v>
      </c>
      <c r="I368" s="417" t="n">
        <f aca="false">SQRT(vit_x^2+vit_z^2)</f>
        <v>190.847002570346</v>
      </c>
      <c r="J368" s="418" t="n">
        <f aca="false">J367+0.5*(vit_x+G367)*pas*(K367&gt;=0)</f>
        <v>100.422597875033</v>
      </c>
      <c r="K368" s="419" t="n">
        <f aca="false">K367+0.5*(vit_z+H367)*pas</f>
        <v>453.881327295308</v>
      </c>
      <c r="L368" s="417" t="n">
        <f aca="false">SQRT(pos_x^2+pos_z^2)</f>
        <v>464.857997060738</v>
      </c>
      <c r="M368" s="418" t="n">
        <f aca="false">IF(AND(L367&gt;L_rampe,G368&gt;0),ATAN2(G368,H368),$M$4)</f>
        <v>1.33592474810544</v>
      </c>
      <c r="N368" s="417" t="n">
        <f aca="false">DEGREES(Beta)</f>
        <v>76.5428498135194</v>
      </c>
      <c r="O368" s="401"/>
      <c r="P368" s="420" t="n">
        <f aca="false">MATCH(t-pas/2-T_ini,CdP_t)</f>
        <v>23</v>
      </c>
      <c r="Q368" s="417" t="n">
        <f aca="false">(INDEX(CdP,2,i_P+1)-INDEX(CdP,2,i_P+0))/(INDEX(CdP,1,i_P+1)-INDEX(CdP,1,i_P+0))*(t-pas/2-T_ini-INDEX(CdP,1,i_P+0))+INDEX(CdP,2,i_P+0)</f>
        <v>0</v>
      </c>
      <c r="R368" s="418" t="n">
        <f aca="false">Poussee/(g*ISP)</f>
        <v>0</v>
      </c>
      <c r="S368" s="419" t="n">
        <f aca="false">S367-Débit*pas</f>
        <v>7.37799999999998</v>
      </c>
      <c r="T368" s="417" t="n">
        <f aca="false">m*g</f>
        <v>72.3781799999998</v>
      </c>
      <c r="U368" s="421" t="n">
        <f aca="false">IF(pos_xz&lt;L_rampe,Poids*COS(Beta),0)</f>
        <v>0</v>
      </c>
      <c r="V368" s="418" t="n">
        <f aca="false">Rho_moyen*(20000-Alt_rampe-pos_z)/(20000+Alt_rampe+pos_z)</f>
        <v>1.17063333804086</v>
      </c>
      <c r="W368" s="417" t="n">
        <f aca="false">1/2*Rho*Sref*Cx*vit_xz^2</f>
        <v>131.107424743307</v>
      </c>
      <c r="X368" s="401"/>
      <c r="Y368" s="422" t="str">
        <f aca="false">IF(AND(pos_z&lt;=0,K367&gt;0),"Impact balistique","") &amp; IF(AND(H369&lt;0,vit_z&gt;=0),"Apogée","") &amp; IF(AND(Poussee=0,Q367&gt;0),"Fin de propulsion","") &amp; IF(AND(L369&gt;L_rampe,pos_xz&lt;=L_rampe),"Sortie de rampe","")</f>
        <v/>
      </c>
      <c r="Z368" s="423" t="str">
        <f aca="false">IF(ABS(t-T_para)&lt;pas/2,"Para","")</f>
        <v/>
      </c>
      <c r="AA368" s="424" t="str">
        <f aca="false">IF(ABS(t-T_satellite)&lt;pas/2,"Satellite","")</f>
        <v/>
      </c>
      <c r="AB368" s="412"/>
      <c r="AC368" s="420" t="e">
        <f aca="false">IF(ABS(t-ROUND(t,0))&lt;0.001,t,NA())</f>
        <v>#N/A</v>
      </c>
      <c r="AD368" s="425" t="e">
        <f aca="false">IF(ABS(t-ROUND(t,0))&lt;0.001,pos_x,NA())</f>
        <v>#N/A</v>
      </c>
      <c r="AE368" s="426" t="n">
        <f aca="false">IF(t&lt;T_para, pos_z, NA())</f>
        <v>453.881327295308</v>
      </c>
      <c r="AF368" s="412"/>
      <c r="AG368" s="418" t="n">
        <f aca="false">IF(AND(L367&lt;L_rampe,Poussee&lt;Poids*SIN(M367)),0,(-W367+Poussee)/m-Poids*SIN(M367)/m)</f>
        <v>-27.3652901558617</v>
      </c>
      <c r="AH368" s="417" t="n">
        <f aca="false">IF(AND(L367&lt;L_rampe,Poussee&lt;Poids*SIN(M367)), g*SIN(M367), (-W367+Poussee)/m)</f>
        <v>-17.824358317568</v>
      </c>
    </row>
    <row r="369" customFormat="false" ht="12" hidden="false" customHeight="false" outlineLevel="0" collapsed="false">
      <c r="A369" s="416" t="n">
        <f aca="false">IF(B368+0.01&lt;=T_ini+ROUNDUP(Temps_fin_propu,0), 0.01, IF(K368&gt;0, 0.1, 0.0001))</f>
        <v>0.01</v>
      </c>
      <c r="B369" s="417" t="n">
        <f aca="false">B368+pas</f>
        <v>3.64999999999997</v>
      </c>
      <c r="C369" s="401"/>
      <c r="D369" s="418" t="n">
        <f aca="false">IF(AND(L368&lt;L_rampe,Poussee&lt;Poids*SIN(M368)),0,(-W368+Poussee)/m*COS(M368)-U368/m*SIN(M368))</f>
        <v>-4.13541200010435</v>
      </c>
      <c r="E369" s="419" t="n">
        <f aca="false">IF(AND(L368&lt;L_rampe,Poussee&lt;Poids*SIN(M368)),0,(-W368+Poussee)/m*SIN(M368)+U368/m*COS(M368)-Poids/m)</f>
        <v>-27.0921591408294</v>
      </c>
      <c r="F369" s="417" t="n">
        <f aca="false">SQRT(acc_x^2+acc_z^2)</f>
        <v>27.4059613829296</v>
      </c>
      <c r="G369" s="418" t="n">
        <f aca="false">G368+acc_x*pas</f>
        <v>44.3721961871455</v>
      </c>
      <c r="H369" s="419" t="n">
        <f aca="false">H368+acc_z*pas</f>
        <v>185.336230585441</v>
      </c>
      <c r="I369" s="417" t="n">
        <f aca="false">SQRT(vit_x^2+vit_z^2)</f>
        <v>190.573896853925</v>
      </c>
      <c r="J369" s="418" t="n">
        <f aca="false">J368+0.5*(vit_x+G368)*pas*(K368&gt;=0)</f>
        <v>100.866526607504</v>
      </c>
      <c r="K369" s="419" t="n">
        <f aca="false">K368+0.5*(vit_z+H368)*pas</f>
        <v>455.73604420912</v>
      </c>
      <c r="L369" s="417" t="n">
        <f aca="false">SQRT(pos_x^2+pos_z^2)</f>
        <v>466.764821062212</v>
      </c>
      <c r="M369" s="418" t="n">
        <f aca="false">IF(AND(L368&gt;L_rampe,G369&gt;0),ATAN2(G369,H369),$M$4)</f>
        <v>1.33580495391925</v>
      </c>
      <c r="N369" s="417" t="n">
        <f aca="false">DEGREES(Beta)</f>
        <v>76.5359861122406</v>
      </c>
      <c r="O369" s="401"/>
      <c r="P369" s="420" t="n">
        <f aca="false">MATCH(t-pas/2-T_ini,CdP_t)</f>
        <v>23</v>
      </c>
      <c r="Q369" s="417" t="n">
        <f aca="false">(INDEX(CdP,2,i_P+1)-INDEX(CdP,2,i_P+0))/(INDEX(CdP,1,i_P+1)-INDEX(CdP,1,i_P+0))*(t-pas/2-T_ini-INDEX(CdP,1,i_P+0))+INDEX(CdP,2,i_P+0)</f>
        <v>0</v>
      </c>
      <c r="R369" s="418" t="n">
        <f aca="false">Poussee/(g*ISP)</f>
        <v>0</v>
      </c>
      <c r="S369" s="419" t="n">
        <f aca="false">S368-Débit*pas</f>
        <v>7.37799999999998</v>
      </c>
      <c r="T369" s="417" t="n">
        <f aca="false">m*g</f>
        <v>72.3781799999998</v>
      </c>
      <c r="U369" s="421" t="n">
        <f aca="false">IF(pos_xz&lt;L_rampe,Poids*COS(Beta),0)</f>
        <v>0</v>
      </c>
      <c r="V369" s="418" t="n">
        <f aca="false">Rho_moyen*(20000-Alt_rampe-pos_z)/(20000+Alt_rampe+pos_z)</f>
        <v>1.1704161265134</v>
      </c>
      <c r="W369" s="417" t="n">
        <f aca="false">1/2*Rho*Sref*Cx*vit_xz^2</f>
        <v>130.708201289878</v>
      </c>
      <c r="X369" s="401"/>
      <c r="Y369" s="422" t="str">
        <f aca="false">IF(AND(pos_z&lt;=0,K368&gt;0),"Impact balistique","") &amp; IF(AND(H370&lt;0,vit_z&gt;=0),"Apogée","") &amp; IF(AND(Poussee=0,Q368&gt;0),"Fin de propulsion","") &amp; IF(AND(L370&gt;L_rampe,pos_xz&lt;=L_rampe),"Sortie de rampe","")</f>
        <v/>
      </c>
      <c r="Z369" s="423" t="str">
        <f aca="false">IF(ABS(t-T_para)&lt;pas/2,"Para","")</f>
        <v/>
      </c>
      <c r="AA369" s="424" t="str">
        <f aca="false">IF(ABS(t-T_satellite)&lt;pas/2,"Satellite","")</f>
        <v/>
      </c>
      <c r="AB369" s="412"/>
      <c r="AC369" s="420" t="e">
        <f aca="false">IF(ABS(t-ROUND(t,0))&lt;0.001,t,NA())</f>
        <v>#N/A</v>
      </c>
      <c r="AD369" s="425" t="e">
        <f aca="false">IF(ABS(t-ROUND(t,0))&lt;0.001,pos_x,NA())</f>
        <v>#N/A</v>
      </c>
      <c r="AE369" s="426" t="n">
        <f aca="false">IF(t&lt;T_para, pos_z, NA())</f>
        <v>455.73604420912</v>
      </c>
      <c r="AF369" s="412"/>
      <c r="AG369" s="418" t="n">
        <f aca="false">IF(AND(L368&lt;L_rampe,Poussee&lt;Poids*SIN(M368)),0,(-W368+Poussee)/m-Poids*SIN(M368)/m)</f>
        <v>-27.3107083850455</v>
      </c>
      <c r="AH369" s="417" t="n">
        <f aca="false">IF(AND(L368&lt;L_rampe,Poussee&lt;Poids*SIN(M368)), g*SIN(M368), (-W368+Poussee)/m)</f>
        <v>-17.7700494366099</v>
      </c>
    </row>
    <row r="370" customFormat="false" ht="12" hidden="false" customHeight="false" outlineLevel="0" collapsed="false">
      <c r="A370" s="416" t="n">
        <f aca="false">IF(B369+0.01&lt;=T_ini+ROUNDUP(Temps_fin_propu,0), 0.01, IF(K369&gt;0, 0.1, 0.0001))</f>
        <v>0.01</v>
      </c>
      <c r="B370" s="417" t="n">
        <f aca="false">B369+pas</f>
        <v>3.65999999999997</v>
      </c>
      <c r="C370" s="401"/>
      <c r="D370" s="418" t="n">
        <f aca="false">IF(AND(L369&lt;L_rampe,Poussee&lt;Poids*SIN(M369)),0,(-W369+Poussee)/m*COS(M369)-U369/m*SIN(M369))</f>
        <v>-4.12488359664804</v>
      </c>
      <c r="E370" s="419" t="n">
        <f aca="false">IF(AND(L369&lt;L_rampe,Poussee&lt;Poids*SIN(M369)),0,(-W369+Poussee)/m*SIN(M369)+U369/m*COS(M369)-Poids/m)</f>
        <v>-27.0390407754921</v>
      </c>
      <c r="F370" s="417" t="n">
        <f aca="false">SQRT(acc_x^2+acc_z^2)</f>
        <v>27.3518626558526</v>
      </c>
      <c r="G370" s="418" t="n">
        <f aca="false">G369+acc_x*pas</f>
        <v>44.330947351179</v>
      </c>
      <c r="H370" s="419" t="n">
        <f aca="false">H369+acc_z*pas</f>
        <v>185.065840177686</v>
      </c>
      <c r="I370" s="417" t="n">
        <f aca="false">SQRT(vit_x^2+vit_z^2)</f>
        <v>190.301334976205</v>
      </c>
      <c r="J370" s="418" t="n">
        <f aca="false">J369+0.5*(vit_x+G369)*pas*(K369&gt;=0)</f>
        <v>101.310042325196</v>
      </c>
      <c r="K370" s="419" t="n">
        <f aca="false">K369+0.5*(vit_z+H369)*pas</f>
        <v>457.588054562936</v>
      </c>
      <c r="L370" s="417" t="n">
        <f aca="false">SQRT(pos_x^2+pos_z^2)</f>
        <v>468.668915498591</v>
      </c>
      <c r="M370" s="418" t="n">
        <f aca="false">IF(AND(L369&gt;L_rampe,G370&gt;0),ATAN2(G370,H370),$M$4)</f>
        <v>1.33568492809875</v>
      </c>
      <c r="N370" s="417" t="n">
        <f aca="false">DEGREES(Beta)</f>
        <v>76.5291091392931</v>
      </c>
      <c r="O370" s="401"/>
      <c r="P370" s="420" t="n">
        <f aca="false">MATCH(t-pas/2-T_ini,CdP_t)</f>
        <v>23</v>
      </c>
      <c r="Q370" s="417" t="n">
        <f aca="false">(INDEX(CdP,2,i_P+1)-INDEX(CdP,2,i_P+0))/(INDEX(CdP,1,i_P+1)-INDEX(CdP,1,i_P+0))*(t-pas/2-T_ini-INDEX(CdP,1,i_P+0))+INDEX(CdP,2,i_P+0)</f>
        <v>0</v>
      </c>
      <c r="R370" s="418" t="n">
        <f aca="false">Poussee/(g*ISP)</f>
        <v>0</v>
      </c>
      <c r="S370" s="419" t="n">
        <f aca="false">S369-Débit*pas</f>
        <v>7.37799999999998</v>
      </c>
      <c r="T370" s="417" t="n">
        <f aca="false">m*g</f>
        <v>72.3781799999998</v>
      </c>
      <c r="U370" s="421" t="n">
        <f aca="false">IF(pos_xz&lt;L_rampe,Poids*COS(Beta),0)</f>
        <v>0</v>
      </c>
      <c r="V370" s="418" t="n">
        <f aca="false">Rho_moyen*(20000-Alt_rampe-pos_z)/(20000+Alt_rampe+pos_z)</f>
        <v>1.17019927125871</v>
      </c>
      <c r="W370" s="417" t="n">
        <f aca="false">1/2*Rho*Sref*Cx*vit_xz^2</f>
        <v>130.310438223689</v>
      </c>
      <c r="X370" s="401"/>
      <c r="Y370" s="422" t="str">
        <f aca="false">IF(AND(pos_z&lt;=0,K369&gt;0),"Impact balistique","") &amp; IF(AND(H371&lt;0,vit_z&gt;=0),"Apogée","") &amp; IF(AND(Poussee=0,Q369&gt;0),"Fin de propulsion","") &amp; IF(AND(L371&gt;L_rampe,pos_xz&lt;=L_rampe),"Sortie de rampe","")</f>
        <v/>
      </c>
      <c r="Z370" s="423" t="str">
        <f aca="false">IF(ABS(t-T_para)&lt;pas/2,"Para","")</f>
        <v/>
      </c>
      <c r="AA370" s="424" t="str">
        <f aca="false">IF(ABS(t-T_satellite)&lt;pas/2,"Satellite","")</f>
        <v/>
      </c>
      <c r="AB370" s="412"/>
      <c r="AC370" s="420" t="e">
        <f aca="false">IF(ABS(t-ROUND(t,0))&lt;0.001,t,NA())</f>
        <v>#N/A</v>
      </c>
      <c r="AD370" s="425" t="e">
        <f aca="false">IF(ABS(t-ROUND(t,0))&lt;0.001,pos_x,NA())</f>
        <v>#N/A</v>
      </c>
      <c r="AE370" s="426" t="n">
        <f aca="false">IF(t&lt;T_para, pos_z, NA())</f>
        <v>457.588054562936</v>
      </c>
      <c r="AF370" s="412"/>
      <c r="AG370" s="418" t="n">
        <f aca="false">IF(AND(L369&lt;L_rampe,Poussee&lt;Poids*SIN(M369)),0,(-W369+Poussee)/m-Poids*SIN(M369)/m)</f>
        <v>-27.2563248478717</v>
      </c>
      <c r="AH370" s="417" t="n">
        <f aca="false">IF(AND(L369&lt;L_rampe,Poussee&lt;Poids*SIN(M369)), g*SIN(M369), (-W369+Poussee)/m)</f>
        <v>-17.715939453765</v>
      </c>
    </row>
    <row r="371" customFormat="false" ht="12" hidden="false" customHeight="false" outlineLevel="0" collapsed="false">
      <c r="A371" s="416" t="n">
        <f aca="false">IF(B370+0.01&lt;=T_ini+ROUNDUP(Temps_fin_propu,0), 0.01, IF(K370&gt;0, 0.1, 0.0001))</f>
        <v>0.01</v>
      </c>
      <c r="B371" s="417" t="n">
        <f aca="false">B370+pas</f>
        <v>3.66999999999997</v>
      </c>
      <c r="C371" s="401"/>
      <c r="D371" s="418" t="n">
        <f aca="false">IF(AND(L370&lt;L_rampe,Poussee&lt;Poids*SIN(M370)),0,(-W370+Poussee)/m*COS(M370)-U370/m*SIN(M370))</f>
        <v>-4.11439261464921</v>
      </c>
      <c r="E371" s="419" t="n">
        <f aca="false">IF(AND(L370&lt;L_rampe,Poussee&lt;Poids*SIN(M370)),0,(-W370+Poussee)/m*SIN(M370)+U370/m*COS(M370)-Poids/m)</f>
        <v>-26.9861167208774</v>
      </c>
      <c r="F371" s="417" t="n">
        <f aca="false">SQRT(acc_x^2+acc_z^2)</f>
        <v>27.2979618700793</v>
      </c>
      <c r="G371" s="418" t="n">
        <f aca="false">G370+acc_x*pas</f>
        <v>44.2898034250325</v>
      </c>
      <c r="H371" s="419" t="n">
        <f aca="false">H370+acc_z*pas</f>
        <v>184.795979010477</v>
      </c>
      <c r="I371" s="417" t="n">
        <f aca="false">SQRT(vit_x^2+vit_z^2)</f>
        <v>190.029314964478</v>
      </c>
      <c r="J371" s="418" t="n">
        <f aca="false">J370+0.5*(vit_x+G370)*pas*(K370&gt;=0)</f>
        <v>101.753146079077</v>
      </c>
      <c r="K371" s="419" t="n">
        <f aca="false">K370+0.5*(vit_z+H370)*pas</f>
        <v>459.437363658876</v>
      </c>
      <c r="L371" s="417" t="n">
        <f aca="false">SQRT(pos_x^2+pos_z^2)</f>
        <v>470.570285783971</v>
      </c>
      <c r="M371" s="418" t="n">
        <f aca="false">IF(AND(L370&gt;L_rampe,G371&gt;0),ATAN2(G371,H371),$M$4)</f>
        <v>1.33556467020781</v>
      </c>
      <c r="N371" s="417" t="n">
        <f aca="false">DEGREES(Beta)</f>
        <v>76.5222188696889</v>
      </c>
      <c r="O371" s="401"/>
      <c r="P371" s="420" t="n">
        <f aca="false">MATCH(t-pas/2-T_ini,CdP_t)</f>
        <v>23</v>
      </c>
      <c r="Q371" s="417" t="n">
        <f aca="false">(INDEX(CdP,2,i_P+1)-INDEX(CdP,2,i_P+0))/(INDEX(CdP,1,i_P+1)-INDEX(CdP,1,i_P+0))*(t-pas/2-T_ini-INDEX(CdP,1,i_P+0))+INDEX(CdP,2,i_P+0)</f>
        <v>0</v>
      </c>
      <c r="R371" s="418" t="n">
        <f aca="false">Poussee/(g*ISP)</f>
        <v>0</v>
      </c>
      <c r="S371" s="419" t="n">
        <f aca="false">S370-Débit*pas</f>
        <v>7.37799999999998</v>
      </c>
      <c r="T371" s="417" t="n">
        <f aca="false">m*g</f>
        <v>72.3781799999998</v>
      </c>
      <c r="U371" s="421" t="n">
        <f aca="false">IF(pos_xz&lt;L_rampe,Poids*COS(Beta),0)</f>
        <v>0</v>
      </c>
      <c r="V371" s="418" t="n">
        <f aca="false">Rho_moyen*(20000-Alt_rampe-pos_z)/(20000+Alt_rampe+pos_z)</f>
        <v>1.16998277147329</v>
      </c>
      <c r="W371" s="417" t="n">
        <f aca="false">1/2*Rho*Sref*Cx*vit_xz^2</f>
        <v>129.91412850492</v>
      </c>
      <c r="X371" s="401"/>
      <c r="Y371" s="422" t="str">
        <f aca="false">IF(AND(pos_z&lt;=0,K370&gt;0),"Impact balistique","") &amp; IF(AND(H372&lt;0,vit_z&gt;=0),"Apogée","") &amp; IF(AND(Poussee=0,Q370&gt;0),"Fin de propulsion","") &amp; IF(AND(L372&gt;L_rampe,pos_xz&lt;=L_rampe),"Sortie de rampe","")</f>
        <v/>
      </c>
      <c r="Z371" s="423" t="str">
        <f aca="false">IF(ABS(t-T_para)&lt;pas/2,"Para","")</f>
        <v/>
      </c>
      <c r="AA371" s="424" t="str">
        <f aca="false">IF(ABS(t-T_satellite)&lt;pas/2,"Satellite","")</f>
        <v/>
      </c>
      <c r="AB371" s="412"/>
      <c r="AC371" s="420" t="e">
        <f aca="false">IF(ABS(t-ROUND(t,0))&lt;0.001,t,NA())</f>
        <v>#N/A</v>
      </c>
      <c r="AD371" s="425" t="e">
        <f aca="false">IF(ABS(t-ROUND(t,0))&lt;0.001,pos_x,NA())</f>
        <v>#N/A</v>
      </c>
      <c r="AE371" s="426" t="n">
        <f aca="false">IF(t&lt;T_para, pos_z, NA())</f>
        <v>459.437363658876</v>
      </c>
      <c r="AF371" s="412"/>
      <c r="AG371" s="418" t="n">
        <f aca="false">IF(AND(L370&lt;L_rampe,Poussee&lt;Poids*SIN(M370)),0,(-W370+Poussee)/m-Poids*SIN(M370)/m)</f>
        <v>-27.2021385825362</v>
      </c>
      <c r="AH371" s="417" t="n">
        <f aca="false">IF(AND(L370&lt;L_rampe,Poussee&lt;Poids*SIN(M370)), g*SIN(M370), (-W370+Poussee)/m)</f>
        <v>-17.6620274090118</v>
      </c>
    </row>
    <row r="372" customFormat="false" ht="12" hidden="false" customHeight="false" outlineLevel="0" collapsed="false">
      <c r="A372" s="416" t="n">
        <f aca="false">IF(B371+0.01&lt;=T_ini+ROUNDUP(Temps_fin_propu,0), 0.01, IF(K371&gt;0, 0.1, 0.0001))</f>
        <v>0.01</v>
      </c>
      <c r="B372" s="417" t="n">
        <f aca="false">B371+pas</f>
        <v>3.67999999999997</v>
      </c>
      <c r="C372" s="401"/>
      <c r="D372" s="418" t="n">
        <f aca="false">IF(AND(L371&lt;L_rampe,Poussee&lt;Poids*SIN(M371)),0,(-W371+Poussee)/m*COS(M371)-U371/m*SIN(M371))</f>
        <v>-4.10393887223946</v>
      </c>
      <c r="E372" s="419" t="n">
        <f aca="false">IF(AND(L371&lt;L_rampe,Poussee&lt;Poids*SIN(M371)),0,(-W371+Poussee)/m*SIN(M371)+U371/m*COS(M371)-Poids/m)</f>
        <v>-26.9333860402732</v>
      </c>
      <c r="F372" s="417" t="n">
        <f aca="false">SQRT(acc_x^2+acc_z^2)</f>
        <v>27.2442580714076</v>
      </c>
      <c r="G372" s="418" t="n">
        <f aca="false">G371+acc_x*pas</f>
        <v>44.2487640363101</v>
      </c>
      <c r="H372" s="419" t="n">
        <f aca="false">H371+acc_z*pas</f>
        <v>184.526645150075</v>
      </c>
      <c r="I372" s="417" t="n">
        <f aca="false">SQRT(vit_x^2+vit_z^2)</f>
        <v>189.757834855593</v>
      </c>
      <c r="J372" s="418" t="n">
        <f aca="false">J371+0.5*(vit_x+G371)*pas*(K371&gt;=0)</f>
        <v>102.195838916384</v>
      </c>
      <c r="K372" s="419" t="n">
        <f aca="false">K371+0.5*(vit_z+H371)*pas</f>
        <v>461.283976779679</v>
      </c>
      <c r="L372" s="417" t="n">
        <f aca="false">SQRT(pos_x^2+pos_z^2)</f>
        <v>472.468937312813</v>
      </c>
      <c r="M372" s="418" t="n">
        <f aca="false">IF(AND(L371&gt;L_rampe,G372&gt;0),ATAN2(G372,H372),$M$4)</f>
        <v>1.33544417980896</v>
      </c>
      <c r="N372" s="417" t="n">
        <f aca="false">DEGREES(Beta)</f>
        <v>76.515315278363</v>
      </c>
      <c r="O372" s="401"/>
      <c r="P372" s="420" t="n">
        <f aca="false">MATCH(t-pas/2-T_ini,CdP_t)</f>
        <v>23</v>
      </c>
      <c r="Q372" s="417" t="n">
        <f aca="false">(INDEX(CdP,2,i_P+1)-INDEX(CdP,2,i_P+0))/(INDEX(CdP,1,i_P+1)-INDEX(CdP,1,i_P+0))*(t-pas/2-T_ini-INDEX(CdP,1,i_P+0))+INDEX(CdP,2,i_P+0)</f>
        <v>0</v>
      </c>
      <c r="R372" s="418" t="n">
        <f aca="false">Poussee/(g*ISP)</f>
        <v>0</v>
      </c>
      <c r="S372" s="419" t="n">
        <f aca="false">S371-Débit*pas</f>
        <v>7.37799999999998</v>
      </c>
      <c r="T372" s="417" t="n">
        <f aca="false">m*g</f>
        <v>72.3781799999998</v>
      </c>
      <c r="U372" s="421" t="n">
        <f aca="false">IF(pos_xz&lt;L_rampe,Poids*COS(Beta),0)</f>
        <v>0</v>
      </c>
      <c r="V372" s="418" t="n">
        <f aca="false">Rho_moyen*(20000-Alt_rampe-pos_z)/(20000+Alt_rampe+pos_z)</f>
        <v>1.16976662635675</v>
      </c>
      <c r="W372" s="417" t="n">
        <f aca="false">1/2*Rho*Sref*Cx*vit_xz^2</f>
        <v>129.519265136651</v>
      </c>
      <c r="X372" s="401"/>
      <c r="Y372" s="422" t="str">
        <f aca="false">IF(AND(pos_z&lt;=0,K371&gt;0),"Impact balistique","") &amp; IF(AND(H373&lt;0,vit_z&gt;=0),"Apogée","") &amp; IF(AND(Poussee=0,Q371&gt;0),"Fin de propulsion","") &amp; IF(AND(L373&gt;L_rampe,pos_xz&lt;=L_rampe),"Sortie de rampe","")</f>
        <v/>
      </c>
      <c r="Z372" s="423" t="str">
        <f aca="false">IF(ABS(t-T_para)&lt;pas/2,"Para","")</f>
        <v/>
      </c>
      <c r="AA372" s="424" t="str">
        <f aca="false">IF(ABS(t-T_satellite)&lt;pas/2,"Satellite","")</f>
        <v/>
      </c>
      <c r="AB372" s="412"/>
      <c r="AC372" s="420" t="e">
        <f aca="false">IF(ABS(t-ROUND(t,0))&lt;0.001,t,NA())</f>
        <v>#N/A</v>
      </c>
      <c r="AD372" s="425" t="e">
        <f aca="false">IF(ABS(t-ROUND(t,0))&lt;0.001,pos_x,NA())</f>
        <v>#N/A</v>
      </c>
      <c r="AE372" s="426" t="n">
        <f aca="false">IF(t&lt;T_para, pos_z, NA())</f>
        <v>461.283976779679</v>
      </c>
      <c r="AF372" s="412"/>
      <c r="AG372" s="418" t="n">
        <f aca="false">IF(AND(L371&lt;L_rampe,Poussee&lt;Poids*SIN(M371)),0,(-W371+Poussee)/m-Poids*SIN(M371)/m)</f>
        <v>-27.1481486330864</v>
      </c>
      <c r="AH372" s="417" t="n">
        <f aca="false">IF(AND(L371&lt;L_rampe,Poussee&lt;Poids*SIN(M371)), g*SIN(M371), (-W371+Poussee)/m)</f>
        <v>-17.6083123481866</v>
      </c>
    </row>
    <row r="373" customFormat="false" ht="12" hidden="false" customHeight="false" outlineLevel="0" collapsed="false">
      <c r="A373" s="416" t="n">
        <f aca="false">IF(B372+0.01&lt;=T_ini+ROUNDUP(Temps_fin_propu,0), 0.01, IF(K372&gt;0, 0.1, 0.0001))</f>
        <v>0.01</v>
      </c>
      <c r="B373" s="417" t="n">
        <f aca="false">B372+pas</f>
        <v>3.68999999999997</v>
      </c>
      <c r="C373" s="401"/>
      <c r="D373" s="418" t="n">
        <f aca="false">IF(AND(L372&lt;L_rampe,Poussee&lt;Poids*SIN(M372)),0,(-W372+Poussee)/m*COS(M372)-U372/m*SIN(M372))</f>
        <v>-4.09352218865745</v>
      </c>
      <c r="E373" s="419" t="n">
        <f aca="false">IF(AND(L372&lt;L_rampe,Poussee&lt;Poids*SIN(M372)),0,(-W372+Poussee)/m*SIN(M372)+U372/m*COS(M372)-Poids/m)</f>
        <v>-26.8808478026755</v>
      </c>
      <c r="F373" s="417" t="n">
        <f aca="false">SQRT(acc_x^2+acc_z^2)</f>
        <v>27.1907503114503</v>
      </c>
      <c r="G373" s="418" t="n">
        <f aca="false">G372+acc_x*pas</f>
        <v>44.2078288144236</v>
      </c>
      <c r="H373" s="419" t="n">
        <f aca="false">H372+acc_z*pas</f>
        <v>184.257836672048</v>
      </c>
      <c r="I373" s="417" t="n">
        <f aca="false">SQRT(vit_x^2+vit_z^2)</f>
        <v>189.486892695903</v>
      </c>
      <c r="J373" s="418" t="n">
        <f aca="false">J372+0.5*(vit_x+G372)*pas*(K372&gt;=0)</f>
        <v>102.638121880637</v>
      </c>
      <c r="K373" s="419" t="n">
        <f aca="false">K372+0.5*(vit_z+H372)*pas</f>
        <v>463.12789918879</v>
      </c>
      <c r="L373" s="417" t="n">
        <f aca="false">SQRT(pos_x^2+pos_z^2)</f>
        <v>474.364875460026</v>
      </c>
      <c r="M373" s="418" t="n">
        <f aca="false">IF(AND(L372&gt;L_rampe,G373&gt;0),ATAN2(G373,H373),$M$4)</f>
        <v>1.33532345646339</v>
      </c>
      <c r="N373" s="417" t="n">
        <f aca="false">DEGREES(Beta)</f>
        <v>76.5083983401732</v>
      </c>
      <c r="O373" s="401"/>
      <c r="P373" s="420" t="n">
        <f aca="false">MATCH(t-pas/2-T_ini,CdP_t)</f>
        <v>23</v>
      </c>
      <c r="Q373" s="417" t="n">
        <f aca="false">(INDEX(CdP,2,i_P+1)-INDEX(CdP,2,i_P+0))/(INDEX(CdP,1,i_P+1)-INDEX(CdP,1,i_P+0))*(t-pas/2-T_ini-INDEX(CdP,1,i_P+0))+INDEX(CdP,2,i_P+0)</f>
        <v>0</v>
      </c>
      <c r="R373" s="418" t="n">
        <f aca="false">Poussee/(g*ISP)</f>
        <v>0</v>
      </c>
      <c r="S373" s="419" t="n">
        <f aca="false">S372-Débit*pas</f>
        <v>7.37799999999998</v>
      </c>
      <c r="T373" s="417" t="n">
        <f aca="false">m*g</f>
        <v>72.3781799999998</v>
      </c>
      <c r="U373" s="421" t="n">
        <f aca="false">IF(pos_xz&lt;L_rampe,Poids*COS(Beta),0)</f>
        <v>0</v>
      </c>
      <c r="V373" s="418" t="n">
        <f aca="false">Rho_moyen*(20000-Alt_rampe-pos_z)/(20000+Alt_rampe+pos_z)</f>
        <v>1.1695508351117</v>
      </c>
      <c r="W373" s="417" t="n">
        <f aca="false">1/2*Rho*Sref*Cx*vit_xz^2</f>
        <v>129.125841164548</v>
      </c>
      <c r="X373" s="401"/>
      <c r="Y373" s="422" t="str">
        <f aca="false">IF(AND(pos_z&lt;=0,K372&gt;0),"Impact balistique","") &amp; IF(AND(H374&lt;0,vit_z&gt;=0),"Apogée","") &amp; IF(AND(Poussee=0,Q372&gt;0),"Fin de propulsion","") &amp; IF(AND(L374&gt;L_rampe,pos_xz&lt;=L_rampe),"Sortie de rampe","")</f>
        <v/>
      </c>
      <c r="Z373" s="423" t="str">
        <f aca="false">IF(ABS(t-T_para)&lt;pas/2,"Para","")</f>
        <v/>
      </c>
      <c r="AA373" s="424" t="str">
        <f aca="false">IF(ABS(t-T_satellite)&lt;pas/2,"Satellite","")</f>
        <v/>
      </c>
      <c r="AB373" s="412"/>
      <c r="AC373" s="420" t="e">
        <f aca="false">IF(ABS(t-ROUND(t,0))&lt;0.001,t,NA())</f>
        <v>#N/A</v>
      </c>
      <c r="AD373" s="425" t="e">
        <f aca="false">IF(ABS(t-ROUND(t,0))&lt;0.001,pos_x,NA())</f>
        <v>#N/A</v>
      </c>
      <c r="AE373" s="426" t="n">
        <f aca="false">IF(t&lt;T_para, pos_z, NA())</f>
        <v>463.12789918879</v>
      </c>
      <c r="AF373" s="412"/>
      <c r="AG373" s="418" t="n">
        <f aca="false">IF(AND(L372&lt;L_rampe,Poussee&lt;Poids*SIN(M372)),0,(-W372+Poussee)/m-Poids*SIN(M372)/m)</f>
        <v>-27.0943540493776</v>
      </c>
      <c r="AH373" s="417" t="n">
        <f aca="false">IF(AND(L372&lt;L_rampe,Poussee&lt;Poids*SIN(M372)), g*SIN(M372), (-W372+Poussee)/m)</f>
        <v>-17.5547933229401</v>
      </c>
    </row>
    <row r="374" customFormat="false" ht="12" hidden="false" customHeight="false" outlineLevel="0" collapsed="false">
      <c r="A374" s="416" t="n">
        <f aca="false">IF(B373+0.01&lt;=T_ini+ROUNDUP(Temps_fin_propu,0), 0.01, IF(K373&gt;0, 0.1, 0.0001))</f>
        <v>0.01</v>
      </c>
      <c r="B374" s="417" t="n">
        <f aca="false">B373+pas</f>
        <v>3.69999999999997</v>
      </c>
      <c r="C374" s="401"/>
      <c r="D374" s="418" t="n">
        <f aca="false">IF(AND(L373&lt;L_rampe,Poussee&lt;Poids*SIN(M373)),0,(-W373+Poussee)/m*COS(M373)-U373/m*SIN(M373))</f>
        <v>-4.08314238424076</v>
      </c>
      <c r="E374" s="419" t="n">
        <f aca="false">IF(AND(L373&lt;L_rampe,Poussee&lt;Poids*SIN(M373)),0,(-W373+Poussee)/m*SIN(M373)+U373/m*COS(M373)-Poids/m)</f>
        <v>-26.8285010827467</v>
      </c>
      <c r="F374" s="417" t="n">
        <f aca="false">SQRT(acc_x^2+acc_z^2)</f>
        <v>27.1374376475917</v>
      </c>
      <c r="G374" s="418" t="n">
        <f aca="false">G373+acc_x*pas</f>
        <v>44.1669973905812</v>
      </c>
      <c r="H374" s="419" t="n">
        <f aca="false">H373+acc_z*pas</f>
        <v>183.989551661221</v>
      </c>
      <c r="I374" s="417" t="n">
        <f aca="false">SQRT(vit_x^2+vit_z^2)</f>
        <v>189.216486541201</v>
      </c>
      <c r="J374" s="418" t="n">
        <f aca="false">J373+0.5*(vit_x+G373)*pas*(K373&gt;=0)</f>
        <v>103.079996011662</v>
      </c>
      <c r="K374" s="419" t="n">
        <f aca="false">K373+0.5*(vit_z+H373)*pas</f>
        <v>464.969136130456</v>
      </c>
      <c r="L374" s="417" t="n">
        <f aca="false">SQRT(pos_x^2+pos_z^2)</f>
        <v>476.258105581067</v>
      </c>
      <c r="M374" s="418" t="n">
        <f aca="false">IF(AND(L373&gt;L_rampe,G374&gt;0),ATAN2(G374,H374),$M$4)</f>
        <v>1.33520249973094</v>
      </c>
      <c r="N374" s="417" t="n">
        <f aca="false">DEGREES(Beta)</f>
        <v>76.5014680299001</v>
      </c>
      <c r="O374" s="401"/>
      <c r="P374" s="420" t="n">
        <f aca="false">MATCH(t-pas/2-T_ini,CdP_t)</f>
        <v>23</v>
      </c>
      <c r="Q374" s="417" t="n">
        <f aca="false">(INDEX(CdP,2,i_P+1)-INDEX(CdP,2,i_P+0))/(INDEX(CdP,1,i_P+1)-INDEX(CdP,1,i_P+0))*(t-pas/2-T_ini-INDEX(CdP,1,i_P+0))+INDEX(CdP,2,i_P+0)</f>
        <v>0</v>
      </c>
      <c r="R374" s="418" t="n">
        <f aca="false">Poussee/(g*ISP)</f>
        <v>0</v>
      </c>
      <c r="S374" s="419" t="n">
        <f aca="false">S373-Débit*pas</f>
        <v>7.37799999999998</v>
      </c>
      <c r="T374" s="417" t="n">
        <f aca="false">m*g</f>
        <v>72.3781799999998</v>
      </c>
      <c r="U374" s="421" t="n">
        <f aca="false">IF(pos_xz&lt;L_rampe,Poids*COS(Beta),0)</f>
        <v>0</v>
      </c>
      <c r="V374" s="418" t="n">
        <f aca="false">Rho_moyen*(20000-Alt_rampe-pos_z)/(20000+Alt_rampe+pos_z)</f>
        <v>1.16933539694382</v>
      </c>
      <c r="W374" s="417" t="n">
        <f aca="false">1/2*Rho*Sref*Cx*vit_xz^2</f>
        <v>128.733849676549</v>
      </c>
      <c r="X374" s="401"/>
      <c r="Y374" s="422" t="str">
        <f aca="false">IF(AND(pos_z&lt;=0,K373&gt;0),"Impact balistique","") &amp; IF(AND(H375&lt;0,vit_z&gt;=0),"Apogée","") &amp; IF(AND(Poussee=0,Q373&gt;0),"Fin de propulsion","") &amp; IF(AND(L375&gt;L_rampe,pos_xz&lt;=L_rampe),"Sortie de rampe","")</f>
        <v/>
      </c>
      <c r="Z374" s="423" t="str">
        <f aca="false">IF(ABS(t-T_para)&lt;pas/2,"Para","")</f>
        <v/>
      </c>
      <c r="AA374" s="424" t="str">
        <f aca="false">IF(ABS(t-T_satellite)&lt;pas/2,"Satellite","")</f>
        <v/>
      </c>
      <c r="AB374" s="412"/>
      <c r="AC374" s="420" t="e">
        <f aca="false">IF(ABS(t-ROUND(t,0))&lt;0.001,t,NA())</f>
        <v>#N/A</v>
      </c>
      <c r="AD374" s="425" t="e">
        <f aca="false">IF(ABS(t-ROUND(t,0))&lt;0.001,pos_x,NA())</f>
        <v>#N/A</v>
      </c>
      <c r="AE374" s="426" t="n">
        <f aca="false">IF(t&lt;T_para, pos_z, NA())</f>
        <v>464.969136130456</v>
      </c>
      <c r="AF374" s="412"/>
      <c r="AG374" s="418" t="n">
        <f aca="false">IF(AND(L373&lt;L_rampe,Poussee&lt;Poids*SIN(M373)),0,(-W373+Poussee)/m-Poids*SIN(M373)/m)</f>
        <v>-27.0407538870304</v>
      </c>
      <c r="AH374" s="417" t="n">
        <f aca="false">IF(AND(L373&lt;L_rampe,Poussee&lt;Poids*SIN(M373)), g*SIN(M373), (-W373+Poussee)/m)</f>
        <v>-17.501469390695</v>
      </c>
    </row>
    <row r="375" customFormat="false" ht="12" hidden="false" customHeight="false" outlineLevel="0" collapsed="false">
      <c r="A375" s="416" t="n">
        <f aca="false">IF(B374+0.01&lt;=T_ini+ROUNDUP(Temps_fin_propu,0), 0.01, IF(K374&gt;0, 0.1, 0.0001))</f>
        <v>0.01</v>
      </c>
      <c r="B375" s="417" t="n">
        <f aca="false">B374+pas</f>
        <v>3.70999999999997</v>
      </c>
      <c r="C375" s="401"/>
      <c r="D375" s="418" t="n">
        <f aca="false">IF(AND(L374&lt;L_rampe,Poussee&lt;Poids*SIN(M374)),0,(-W374+Poussee)/m*COS(M374)-U374/m*SIN(M374))</f>
        <v>-4.07279928041785</v>
      </c>
      <c r="E375" s="419" t="n">
        <f aca="false">IF(AND(L374&lt;L_rampe,Poussee&lt;Poids*SIN(M374)),0,(-W374+Poussee)/m*SIN(M374)+U374/m*COS(M374)-Poids/m)</f>
        <v>-26.7763449607744</v>
      </c>
      <c r="F375" s="417" t="n">
        <f aca="false">SQRT(acc_x^2+acc_z^2)</f>
        <v>27.0843191429461</v>
      </c>
      <c r="G375" s="418" t="n">
        <f aca="false">G374+acc_x*pas</f>
        <v>44.126269397777</v>
      </c>
      <c r="H375" s="419" t="n">
        <f aca="false">H374+acc_z*pas</f>
        <v>183.721788211613</v>
      </c>
      <c r="I375" s="417" t="n">
        <f aca="false">SQRT(vit_x^2+vit_z^2)</f>
        <v>188.946614456671</v>
      </c>
      <c r="J375" s="418" t="n">
        <f aca="false">J374+0.5*(vit_x+G374)*pas*(K374&gt;=0)</f>
        <v>103.521462345604</v>
      </c>
      <c r="K375" s="419" t="n">
        <f aca="false">K374+0.5*(vit_z+H374)*pas</f>
        <v>466.80769282982</v>
      </c>
      <c r="L375" s="417" t="n">
        <f aca="false">SQRT(pos_x^2+pos_z^2)</f>
        <v>478.148633012029</v>
      </c>
      <c r="M375" s="418" t="n">
        <f aca="false">IF(AND(L374&gt;L_rampe,G375&gt;0),ATAN2(G375,H375),$M$4)</f>
        <v>1.33508130917008</v>
      </c>
      <c r="N375" s="417" t="n">
        <f aca="false">DEGREES(Beta)</f>
        <v>76.4945243222463</v>
      </c>
      <c r="O375" s="401"/>
      <c r="P375" s="420" t="n">
        <f aca="false">MATCH(t-pas/2-T_ini,CdP_t)</f>
        <v>23</v>
      </c>
      <c r="Q375" s="417" t="n">
        <f aca="false">(INDEX(CdP,2,i_P+1)-INDEX(CdP,2,i_P+0))/(INDEX(CdP,1,i_P+1)-INDEX(CdP,1,i_P+0))*(t-pas/2-T_ini-INDEX(CdP,1,i_P+0))+INDEX(CdP,2,i_P+0)</f>
        <v>0</v>
      </c>
      <c r="R375" s="418" t="n">
        <f aca="false">Poussee/(g*ISP)</f>
        <v>0</v>
      </c>
      <c r="S375" s="419" t="n">
        <f aca="false">S374-Débit*pas</f>
        <v>7.37799999999998</v>
      </c>
      <c r="T375" s="417" t="n">
        <f aca="false">m*g</f>
        <v>72.3781799999998</v>
      </c>
      <c r="U375" s="421" t="n">
        <f aca="false">IF(pos_xz&lt;L_rampe,Poids*COS(Beta),0)</f>
        <v>0</v>
      </c>
      <c r="V375" s="418" t="n">
        <f aca="false">Rho_moyen*(20000-Alt_rampe-pos_z)/(20000+Alt_rampe+pos_z)</f>
        <v>1.16912031106181</v>
      </c>
      <c r="W375" s="417" t="n">
        <f aca="false">1/2*Rho*Sref*Cx*vit_xz^2</f>
        <v>128.343283802562</v>
      </c>
      <c r="X375" s="401"/>
      <c r="Y375" s="422" t="str">
        <f aca="false">IF(AND(pos_z&lt;=0,K374&gt;0),"Impact balistique","") &amp; IF(AND(H376&lt;0,vit_z&gt;=0),"Apogée","") &amp; IF(AND(Poussee=0,Q374&gt;0),"Fin de propulsion","") &amp; IF(AND(L376&gt;L_rampe,pos_xz&lt;=L_rampe),"Sortie de rampe","")</f>
        <v/>
      </c>
      <c r="Z375" s="423" t="str">
        <f aca="false">IF(ABS(t-T_para)&lt;pas/2,"Para","")</f>
        <v/>
      </c>
      <c r="AA375" s="424" t="str">
        <f aca="false">IF(ABS(t-T_satellite)&lt;pas/2,"Satellite","")</f>
        <v/>
      </c>
      <c r="AB375" s="412"/>
      <c r="AC375" s="420" t="e">
        <f aca="false">IF(ABS(t-ROUND(t,0))&lt;0.001,t,NA())</f>
        <v>#N/A</v>
      </c>
      <c r="AD375" s="425" t="e">
        <f aca="false">IF(ABS(t-ROUND(t,0))&lt;0.001,pos_x,NA())</f>
        <v>#N/A</v>
      </c>
      <c r="AE375" s="426" t="n">
        <f aca="false">IF(t&lt;T_para, pos_z, NA())</f>
        <v>466.80769282982</v>
      </c>
      <c r="AF375" s="412"/>
      <c r="AG375" s="418" t="n">
        <f aca="false">IF(AND(L374&lt;L_rampe,Poussee&lt;Poids*SIN(M374)),0,(-W374+Poussee)/m-Poids*SIN(M374)/m)</f>
        <v>-26.987347207389</v>
      </c>
      <c r="AH375" s="417" t="n">
        <f aca="false">IF(AND(L374&lt;L_rampe,Poussee&lt;Poids*SIN(M374)), g*SIN(M374), (-W374+Poussee)/m)</f>
        <v>-17.4483396146042</v>
      </c>
    </row>
    <row r="376" customFormat="false" ht="12" hidden="false" customHeight="false" outlineLevel="0" collapsed="false">
      <c r="A376" s="416" t="n">
        <f aca="false">IF(B375+0.01&lt;=T_ini+ROUNDUP(Temps_fin_propu,0), 0.01, IF(K375&gt;0, 0.1, 0.0001))</f>
        <v>0.01</v>
      </c>
      <c r="B376" s="417" t="n">
        <f aca="false">B375+pas</f>
        <v>3.71999999999996</v>
      </c>
      <c r="C376" s="401"/>
      <c r="D376" s="418" t="n">
        <f aca="false">IF(AND(L375&lt;L_rampe,Poussee&lt;Poids*SIN(M375)),0,(-W375+Poussee)/m*COS(M375)-U375/m*SIN(M375))</f>
        <v>-4.06249269970008</v>
      </c>
      <c r="E376" s="419" t="n">
        <f aca="false">IF(AND(L375&lt;L_rampe,Poussee&lt;Poids*SIN(M375)),0,(-W375+Poussee)/m*SIN(M375)+U375/m*COS(M375)-Poids/m)</f>
        <v>-26.7243785226295</v>
      </c>
      <c r="F376" s="417" t="n">
        <f aca="false">SQRT(acc_x^2+acc_z^2)</f>
        <v>27.0313938663158</v>
      </c>
      <c r="G376" s="418" t="n">
        <f aca="false">G375+acc_x*pas</f>
        <v>44.08564447078</v>
      </c>
      <c r="H376" s="419" t="n">
        <f aca="false">H375+acc_z*pas</f>
        <v>183.454544426386</v>
      </c>
      <c r="I376" s="417" t="n">
        <f aca="false">SQRT(vit_x^2+vit_z^2)</f>
        <v>188.677274516824</v>
      </c>
      <c r="J376" s="418" t="n">
        <f aca="false">J375+0.5*(vit_x+G375)*pas*(K375&gt;=0)</f>
        <v>103.962521914947</v>
      </c>
      <c r="K376" s="419" t="n">
        <f aca="false">K375+0.5*(vit_z+H375)*pas</f>
        <v>468.64357449301</v>
      </c>
      <c r="L376" s="417" t="n">
        <f aca="false">SQRT(pos_x^2+pos_z^2)</f>
        <v>480.036463069735</v>
      </c>
      <c r="M376" s="418" t="n">
        <f aca="false">IF(AND(L375&gt;L_rampe,G376&gt;0),ATAN2(G376,H376),$M$4)</f>
        <v>1.33495988433794</v>
      </c>
      <c r="N376" s="417" t="n">
        <f aca="false">DEGREES(Beta)</f>
        <v>76.4875671918367</v>
      </c>
      <c r="O376" s="401"/>
      <c r="P376" s="420" t="n">
        <f aca="false">MATCH(t-pas/2-T_ini,CdP_t)</f>
        <v>23</v>
      </c>
      <c r="Q376" s="417" t="n">
        <f aca="false">(INDEX(CdP,2,i_P+1)-INDEX(CdP,2,i_P+0))/(INDEX(CdP,1,i_P+1)-INDEX(CdP,1,i_P+0))*(t-pas/2-T_ini-INDEX(CdP,1,i_P+0))+INDEX(CdP,2,i_P+0)</f>
        <v>0</v>
      </c>
      <c r="R376" s="418" t="n">
        <f aca="false">Poussee/(g*ISP)</f>
        <v>0</v>
      </c>
      <c r="S376" s="419" t="n">
        <f aca="false">S375-Débit*pas</f>
        <v>7.37799999999998</v>
      </c>
      <c r="T376" s="417" t="n">
        <f aca="false">m*g</f>
        <v>72.3781799999998</v>
      </c>
      <c r="U376" s="421" t="n">
        <f aca="false">IF(pos_xz&lt;L_rampe,Poids*COS(Beta),0)</f>
        <v>0</v>
      </c>
      <c r="V376" s="418" t="n">
        <f aca="false">Rho_moyen*(20000-Alt_rampe-pos_z)/(20000+Alt_rampe+pos_z)</f>
        <v>1.16890557667736</v>
      </c>
      <c r="W376" s="417" t="n">
        <f aca="false">1/2*Rho*Sref*Cx*vit_xz^2</f>
        <v>127.954136714151</v>
      </c>
      <c r="X376" s="401"/>
      <c r="Y376" s="422" t="str">
        <f aca="false">IF(AND(pos_z&lt;=0,K375&gt;0),"Impact balistique","") &amp; IF(AND(H377&lt;0,vit_z&gt;=0),"Apogée","") &amp; IF(AND(Poussee=0,Q375&gt;0),"Fin de propulsion","") &amp; IF(AND(L377&gt;L_rampe,pos_xz&lt;=L_rampe),"Sortie de rampe","")</f>
        <v/>
      </c>
      <c r="Z376" s="423" t="str">
        <f aca="false">IF(ABS(t-T_para)&lt;pas/2,"Para","")</f>
        <v/>
      </c>
      <c r="AA376" s="424" t="str">
        <f aca="false">IF(ABS(t-T_satellite)&lt;pas/2,"Satellite","")</f>
        <v/>
      </c>
      <c r="AB376" s="412"/>
      <c r="AC376" s="420" t="e">
        <f aca="false">IF(ABS(t-ROUND(t,0))&lt;0.001,t,NA())</f>
        <v>#N/A</v>
      </c>
      <c r="AD376" s="425" t="e">
        <f aca="false">IF(ABS(t-ROUND(t,0))&lt;0.001,pos_x,NA())</f>
        <v>#N/A</v>
      </c>
      <c r="AE376" s="426" t="n">
        <f aca="false">IF(t&lt;T_para, pos_z, NA())</f>
        <v>468.64357449301</v>
      </c>
      <c r="AF376" s="412"/>
      <c r="AG376" s="418" t="n">
        <f aca="false">IF(AND(L375&lt;L_rampe,Poussee&lt;Poids*SIN(M375)),0,(-W375+Poussee)/m-Poids*SIN(M375)/m)</f>
        <v>-26.9341330774784</v>
      </c>
      <c r="AH376" s="417" t="n">
        <f aca="false">IF(AND(L375&lt;L_rampe,Poussee&lt;Poids*SIN(M375)), g*SIN(M375), (-W375+Poussee)/m)</f>
        <v>-17.3954030635081</v>
      </c>
    </row>
    <row r="377" customFormat="false" ht="12" hidden="false" customHeight="false" outlineLevel="0" collapsed="false">
      <c r="A377" s="416" t="n">
        <f aca="false">IF(B376+0.01&lt;=T_ini+ROUNDUP(Temps_fin_propu,0), 0.01, IF(K376&gt;0, 0.1, 0.0001))</f>
        <v>0.01</v>
      </c>
      <c r="B377" s="417" t="n">
        <f aca="false">B376+pas</f>
        <v>3.72999999999996</v>
      </c>
      <c r="C377" s="401"/>
      <c r="D377" s="418" t="n">
        <f aca="false">IF(AND(L376&lt;L_rampe,Poussee&lt;Poids*SIN(M376)),0,(-W376+Poussee)/m*COS(M376)-U376/m*SIN(M376))</f>
        <v>-4.05222246567382</v>
      </c>
      <c r="E377" s="419" t="n">
        <f aca="false">IF(AND(L376&lt;L_rampe,Poussee&lt;Poids*SIN(M376)),0,(-W376+Poussee)/m*SIN(M376)+U376/m*COS(M376)-Poids/m)</f>
        <v>-26.6726008597262</v>
      </c>
      <c r="F377" s="417" t="n">
        <f aca="false">SQRT(acc_x^2+acc_z^2)</f>
        <v>26.9786608921492</v>
      </c>
      <c r="G377" s="418" t="n">
        <f aca="false">G376+acc_x*pas</f>
        <v>44.0451222461232</v>
      </c>
      <c r="H377" s="419" t="n">
        <f aca="false">H376+acc_z*pas</f>
        <v>183.187818417789</v>
      </c>
      <c r="I377" s="417" t="n">
        <f aca="false">SQRT(vit_x^2+vit_z^2)</f>
        <v>188.408464805446</v>
      </c>
      <c r="J377" s="418" t="n">
        <f aca="false">J376+0.5*(vit_x+G376)*pas*(K376&gt;=0)</f>
        <v>104.403175748531</v>
      </c>
      <c r="K377" s="419" t="n">
        <f aca="false">K376+0.5*(vit_z+H376)*pas</f>
        <v>470.476786307231</v>
      </c>
      <c r="L377" s="417" t="n">
        <f aca="false">SQRT(pos_x^2+pos_z^2)</f>
        <v>481.92160105183</v>
      </c>
      <c r="M377" s="418" t="n">
        <f aca="false">IF(AND(L376&gt;L_rampe,G377&gt;0),ATAN2(G377,H377),$M$4)</f>
        <v>1.33483822479028</v>
      </c>
      <c r="N377" s="417" t="n">
        <f aca="false">DEGREES(Beta)</f>
        <v>76.480596613218</v>
      </c>
      <c r="O377" s="401"/>
      <c r="P377" s="420" t="n">
        <f aca="false">MATCH(t-pas/2-T_ini,CdP_t)</f>
        <v>23</v>
      </c>
      <c r="Q377" s="417" t="n">
        <f aca="false">(INDEX(CdP,2,i_P+1)-INDEX(CdP,2,i_P+0))/(INDEX(CdP,1,i_P+1)-INDEX(CdP,1,i_P+0))*(t-pas/2-T_ini-INDEX(CdP,1,i_P+0))+INDEX(CdP,2,i_P+0)</f>
        <v>0</v>
      </c>
      <c r="R377" s="418" t="n">
        <f aca="false">Poussee/(g*ISP)</f>
        <v>0</v>
      </c>
      <c r="S377" s="419" t="n">
        <f aca="false">S376-Débit*pas</f>
        <v>7.37799999999998</v>
      </c>
      <c r="T377" s="417" t="n">
        <f aca="false">m*g</f>
        <v>72.3781799999998</v>
      </c>
      <c r="U377" s="421" t="n">
        <f aca="false">IF(pos_xz&lt;L_rampe,Poids*COS(Beta),0)</f>
        <v>0</v>
      </c>
      <c r="V377" s="418" t="n">
        <f aca="false">Rho_moyen*(20000-Alt_rampe-pos_z)/(20000+Alt_rampe+pos_z)</f>
        <v>1.16869119300515</v>
      </c>
      <c r="W377" s="417" t="n">
        <f aca="false">1/2*Rho*Sref*Cx*vit_xz^2</f>
        <v>127.566401624235</v>
      </c>
      <c r="X377" s="401"/>
      <c r="Y377" s="422" t="str">
        <f aca="false">IF(AND(pos_z&lt;=0,K376&gt;0),"Impact balistique","") &amp; IF(AND(H378&lt;0,vit_z&gt;=0),"Apogée","") &amp; IF(AND(Poussee=0,Q376&gt;0),"Fin de propulsion","") &amp; IF(AND(L378&gt;L_rampe,pos_xz&lt;=L_rampe),"Sortie de rampe","")</f>
        <v/>
      </c>
      <c r="Z377" s="423" t="str">
        <f aca="false">IF(ABS(t-T_para)&lt;pas/2,"Para","")</f>
        <v/>
      </c>
      <c r="AA377" s="424" t="str">
        <f aca="false">IF(ABS(t-T_satellite)&lt;pas/2,"Satellite","")</f>
        <v/>
      </c>
      <c r="AB377" s="412"/>
      <c r="AC377" s="420" t="e">
        <f aca="false">IF(ABS(t-ROUND(t,0))&lt;0.001,t,NA())</f>
        <v>#N/A</v>
      </c>
      <c r="AD377" s="425" t="e">
        <f aca="false">IF(ABS(t-ROUND(t,0))&lt;0.001,pos_x,NA())</f>
        <v>#N/A</v>
      </c>
      <c r="AE377" s="426" t="n">
        <f aca="false">IF(t&lt;T_para, pos_z, NA())</f>
        <v>470.476786307231</v>
      </c>
      <c r="AF377" s="412"/>
      <c r="AG377" s="418" t="n">
        <f aca="false">IF(AND(L376&lt;L_rampe,Poussee&lt;Poids*SIN(M376)),0,(-W376+Poussee)/m-Poids*SIN(M376)/m)</f>
        <v>-26.8811105699636</v>
      </c>
      <c r="AH377" s="417" t="n">
        <f aca="false">IF(AND(L376&lt;L_rampe,Poussee&lt;Poids*SIN(M376)), g*SIN(M376), (-W376+Poussee)/m)</f>
        <v>-17.3426588118936</v>
      </c>
    </row>
    <row r="378" customFormat="false" ht="12" hidden="false" customHeight="false" outlineLevel="0" collapsed="false">
      <c r="A378" s="416" t="n">
        <f aca="false">IF(B377+0.01&lt;=T_ini+ROUNDUP(Temps_fin_propu,0), 0.01, IF(K377&gt;0, 0.1, 0.0001))</f>
        <v>0.01</v>
      </c>
      <c r="B378" s="417" t="n">
        <f aca="false">B377+pas</f>
        <v>3.73999999999996</v>
      </c>
      <c r="C378" s="401"/>
      <c r="D378" s="418" t="n">
        <f aca="false">IF(AND(L377&lt;L_rampe,Poussee&lt;Poids*SIN(M377)),0,(-W377+Poussee)/m*COS(M377)-U377/m*SIN(M377))</f>
        <v>-4.04198840299258</v>
      </c>
      <c r="E378" s="419" t="n">
        <f aca="false">IF(AND(L377&lt;L_rampe,Poussee&lt;Poids*SIN(M377)),0,(-W377+Poussee)/m*SIN(M377)+U377/m*COS(M377)-Poids/m)</f>
        <v>-26.6210110689814</v>
      </c>
      <c r="F378" s="417" t="n">
        <f aca="false">SQRT(acc_x^2+acc_z^2)</f>
        <v>26.9261193004999</v>
      </c>
      <c r="G378" s="418" t="n">
        <f aca="false">G377+acc_x*pas</f>
        <v>44.0047023620933</v>
      </c>
      <c r="H378" s="419" t="n">
        <f aca="false">H377+acc_z*pas</f>
        <v>182.921608307099</v>
      </c>
      <c r="I378" s="417" t="n">
        <f aca="false">SQRT(vit_x^2+vit_z^2)</f>
        <v>188.140183415538</v>
      </c>
      <c r="J378" s="418" t="n">
        <f aca="false">J377+0.5*(vit_x+G377)*pas*(K377&gt;=0)</f>
        <v>104.843424871572</v>
      </c>
      <c r="K378" s="419" t="n">
        <f aca="false">K377+0.5*(vit_z+H377)*pas</f>
        <v>472.307333440856</v>
      </c>
      <c r="L378" s="417" t="n">
        <f aca="false">SQRT(pos_x^2+pos_z^2)</f>
        <v>483.804052236866</v>
      </c>
      <c r="M378" s="418" t="n">
        <f aca="false">IF(AND(L377&gt;L_rampe,G378&gt;0),ATAN2(G378,H378),$M$4)</f>
        <v>1.33471633008147</v>
      </c>
      <c r="N378" s="417" t="n">
        <f aca="false">DEGREES(Beta)</f>
        <v>76.4736125608583</v>
      </c>
      <c r="O378" s="401"/>
      <c r="P378" s="420" t="n">
        <f aca="false">MATCH(t-pas/2-T_ini,CdP_t)</f>
        <v>23</v>
      </c>
      <c r="Q378" s="417" t="n">
        <f aca="false">(INDEX(CdP,2,i_P+1)-INDEX(CdP,2,i_P+0))/(INDEX(CdP,1,i_P+1)-INDEX(CdP,1,i_P+0))*(t-pas/2-T_ini-INDEX(CdP,1,i_P+0))+INDEX(CdP,2,i_P+0)</f>
        <v>0</v>
      </c>
      <c r="R378" s="418" t="n">
        <f aca="false">Poussee/(g*ISP)</f>
        <v>0</v>
      </c>
      <c r="S378" s="419" t="n">
        <f aca="false">S377-Débit*pas</f>
        <v>7.37799999999998</v>
      </c>
      <c r="T378" s="417" t="n">
        <f aca="false">m*g</f>
        <v>72.3781799999998</v>
      </c>
      <c r="U378" s="421" t="n">
        <f aca="false">IF(pos_xz&lt;L_rampe,Poids*COS(Beta),0)</f>
        <v>0</v>
      </c>
      <c r="V378" s="418" t="n">
        <f aca="false">Rho_moyen*(20000-Alt_rampe-pos_z)/(20000+Alt_rampe+pos_z)</f>
        <v>1.16847715926285</v>
      </c>
      <c r="W378" s="417" t="n">
        <f aca="false">1/2*Rho*Sref*Cx*vit_xz^2</f>
        <v>127.18007178679</v>
      </c>
      <c r="X378" s="401"/>
      <c r="Y378" s="422" t="str">
        <f aca="false">IF(AND(pos_z&lt;=0,K377&gt;0),"Impact balistique","") &amp; IF(AND(H379&lt;0,vit_z&gt;=0),"Apogée","") &amp; IF(AND(Poussee=0,Q377&gt;0),"Fin de propulsion","") &amp; IF(AND(L379&gt;L_rampe,pos_xz&lt;=L_rampe),"Sortie de rampe","")</f>
        <v/>
      </c>
      <c r="Z378" s="423" t="str">
        <f aca="false">IF(ABS(t-T_para)&lt;pas/2,"Para","")</f>
        <v/>
      </c>
      <c r="AA378" s="424" t="str">
        <f aca="false">IF(ABS(t-T_satellite)&lt;pas/2,"Satellite","")</f>
        <v/>
      </c>
      <c r="AB378" s="412"/>
      <c r="AC378" s="420" t="e">
        <f aca="false">IF(ABS(t-ROUND(t,0))&lt;0.001,t,NA())</f>
        <v>#N/A</v>
      </c>
      <c r="AD378" s="425" t="e">
        <f aca="false">IF(ABS(t-ROUND(t,0))&lt;0.001,pos_x,NA())</f>
        <v>#N/A</v>
      </c>
      <c r="AE378" s="426" t="n">
        <f aca="false">IF(t&lt;T_para, pos_z, NA())</f>
        <v>472.307333440856</v>
      </c>
      <c r="AF378" s="412"/>
      <c r="AG378" s="418" t="n">
        <f aca="false">IF(AND(L377&lt;L_rampe,Poussee&lt;Poids*SIN(M377)),0,(-W377+Poussee)/m-Poids*SIN(M377)/m)</f>
        <v>-26.8282787631081</v>
      </c>
      <c r="AH378" s="417" t="n">
        <f aca="false">IF(AND(L377&lt;L_rampe,Poussee&lt;Poids*SIN(M377)), g*SIN(M377), (-W377+Poussee)/m)</f>
        <v>-17.290105939853</v>
      </c>
    </row>
    <row r="379" customFormat="false" ht="12" hidden="false" customHeight="false" outlineLevel="0" collapsed="false">
      <c r="A379" s="416" t="n">
        <f aca="false">IF(B378+0.01&lt;=T_ini+ROUNDUP(Temps_fin_propu,0), 0.01, IF(K378&gt;0, 0.1, 0.0001))</f>
        <v>0.01</v>
      </c>
      <c r="B379" s="417" t="n">
        <f aca="false">B378+pas</f>
        <v>3.74999999999996</v>
      </c>
      <c r="C379" s="401"/>
      <c r="D379" s="418" t="n">
        <f aca="false">IF(AND(L378&lt;L_rampe,Poussee&lt;Poids*SIN(M378)),0,(-W378+Poussee)/m*COS(M378)-U378/m*SIN(M378))</f>
        <v>-4.03179033736928</v>
      </c>
      <c r="E379" s="419" t="n">
        <f aca="false">IF(AND(L378&lt;L_rampe,Poussee&lt;Poids*SIN(M378)),0,(-W378+Poussee)/m*SIN(M378)+U378/m*COS(M378)-Poids/m)</f>
        <v>-26.5696082527742</v>
      </c>
      <c r="F379" s="417" t="n">
        <f aca="false">SQRT(acc_x^2+acc_z^2)</f>
        <v>26.8737681769861</v>
      </c>
      <c r="G379" s="418" t="n">
        <f aca="false">G378+acc_x*pas</f>
        <v>43.9643844587196</v>
      </c>
      <c r="H379" s="419" t="n">
        <f aca="false">H378+acc_z*pas</f>
        <v>182.655912224572</v>
      </c>
      <c r="I379" s="417" t="n">
        <f aca="false">SQRT(vit_x^2+vit_z^2)</f>
        <v>187.872428449266</v>
      </c>
      <c r="J379" s="418" t="n">
        <f aca="false">J378+0.5*(vit_x+G378)*pas*(K378&gt;=0)</f>
        <v>105.283270305677</v>
      </c>
      <c r="K379" s="419" t="n">
        <f aca="false">K378+0.5*(vit_z+H378)*pas</f>
        <v>474.135221043514</v>
      </c>
      <c r="L379" s="417" t="n">
        <f aca="false">SQRT(pos_x^2+pos_z^2)</f>
        <v>485.683821884402</v>
      </c>
      <c r="M379" s="418" t="n">
        <f aca="false">IF(AND(L378&gt;L_rampe,G379&gt;0),ATAN2(G379,H379),$M$4)</f>
        <v>1.33459419976453</v>
      </c>
      <c r="N379" s="417" t="n">
        <f aca="false">DEGREES(Beta)</f>
        <v>76.4666150091472</v>
      </c>
      <c r="O379" s="401"/>
      <c r="P379" s="420" t="n">
        <f aca="false">MATCH(t-pas/2-T_ini,CdP_t)</f>
        <v>23</v>
      </c>
      <c r="Q379" s="417" t="n">
        <f aca="false">(INDEX(CdP,2,i_P+1)-INDEX(CdP,2,i_P+0))/(INDEX(CdP,1,i_P+1)-INDEX(CdP,1,i_P+0))*(t-pas/2-T_ini-INDEX(CdP,1,i_P+0))+INDEX(CdP,2,i_P+0)</f>
        <v>0</v>
      </c>
      <c r="R379" s="418" t="n">
        <f aca="false">Poussee/(g*ISP)</f>
        <v>0</v>
      </c>
      <c r="S379" s="419" t="n">
        <f aca="false">S378-Débit*pas</f>
        <v>7.37799999999998</v>
      </c>
      <c r="T379" s="417" t="n">
        <f aca="false">m*g</f>
        <v>72.3781799999998</v>
      </c>
      <c r="U379" s="421" t="n">
        <f aca="false">IF(pos_xz&lt;L_rampe,Poids*COS(Beta),0)</f>
        <v>0</v>
      </c>
      <c r="V379" s="418" t="n">
        <f aca="false">Rho_moyen*(20000-Alt_rampe-pos_z)/(20000+Alt_rampe+pos_z)</f>
        <v>1.16826347467107</v>
      </c>
      <c r="W379" s="417" t="n">
        <f aca="false">1/2*Rho*Sref*Cx*vit_xz^2</f>
        <v>126.795140496545</v>
      </c>
      <c r="X379" s="401"/>
      <c r="Y379" s="422" t="str">
        <f aca="false">IF(AND(pos_z&lt;=0,K378&gt;0),"Impact balistique","") &amp; IF(AND(H380&lt;0,vit_z&gt;=0),"Apogée","") &amp; IF(AND(Poussee=0,Q378&gt;0),"Fin de propulsion","") &amp; IF(AND(L380&gt;L_rampe,pos_xz&lt;=L_rampe),"Sortie de rampe","")</f>
        <v/>
      </c>
      <c r="Z379" s="423" t="str">
        <f aca="false">IF(ABS(t-T_para)&lt;pas/2,"Para","")</f>
        <v/>
      </c>
      <c r="AA379" s="424" t="str">
        <f aca="false">IF(ABS(t-T_satellite)&lt;pas/2,"Satellite","")</f>
        <v/>
      </c>
      <c r="AB379" s="412"/>
      <c r="AC379" s="420" t="e">
        <f aca="false">IF(ABS(t-ROUND(t,0))&lt;0.001,t,NA())</f>
        <v>#N/A</v>
      </c>
      <c r="AD379" s="425" t="e">
        <f aca="false">IF(ABS(t-ROUND(t,0))&lt;0.001,pos_x,NA())</f>
        <v>#N/A</v>
      </c>
      <c r="AE379" s="426" t="n">
        <f aca="false">IF(t&lt;T_para, pos_z, NA())</f>
        <v>474.135221043514</v>
      </c>
      <c r="AF379" s="412"/>
      <c r="AG379" s="418" t="n">
        <f aca="false">IF(AND(L378&lt;L_rampe,Poussee&lt;Poids*SIN(M378)),0,(-W378+Poussee)/m-Poids*SIN(M378)/m)</f>
        <v>-26.7756367407331</v>
      </c>
      <c r="AH379" s="417" t="n">
        <f aca="false">IF(AND(L378&lt;L_rampe,Poussee&lt;Poids*SIN(M378)), g*SIN(M378), (-W378+Poussee)/m)</f>
        <v>-17.2377435330429</v>
      </c>
    </row>
    <row r="380" customFormat="false" ht="12" hidden="false" customHeight="false" outlineLevel="0" collapsed="false">
      <c r="A380" s="416" t="n">
        <f aca="false">IF(B379+0.01&lt;=T_ini+ROUNDUP(Temps_fin_propu,0), 0.01, IF(K379&gt;0, 0.1, 0.0001))</f>
        <v>0.01</v>
      </c>
      <c r="B380" s="417" t="n">
        <f aca="false">B379+pas</f>
        <v>3.75999999999996</v>
      </c>
      <c r="C380" s="401"/>
      <c r="D380" s="418" t="n">
        <f aca="false">IF(AND(L379&lt;L_rampe,Poussee&lt;Poids*SIN(M379)),0,(-W379+Poussee)/m*COS(M379)-U379/m*SIN(M379))</f>
        <v>-4.02162809556849</v>
      </c>
      <c r="E380" s="419" t="n">
        <f aca="false">IF(AND(L379&lt;L_rampe,Poussee&lt;Poids*SIN(M379)),0,(-W379+Poussee)/m*SIN(M379)+U379/m*COS(M379)-Poids/m)</f>
        <v>-26.5183915189068</v>
      </c>
      <c r="F380" s="417" t="n">
        <f aca="false">SQRT(acc_x^2+acc_z^2)</f>
        <v>26.8216066127496</v>
      </c>
      <c r="G380" s="418" t="n">
        <f aca="false">G379+acc_x*pas</f>
        <v>43.9241681777639</v>
      </c>
      <c r="H380" s="419" t="n">
        <f aca="false">H379+acc_z*pas</f>
        <v>182.390728309383</v>
      </c>
      <c r="I380" s="417" t="n">
        <f aca="false">SQRT(vit_x^2+vit_z^2)</f>
        <v>187.6051980179</v>
      </c>
      <c r="J380" s="418" t="n">
        <f aca="false">J379+0.5*(vit_x+G379)*pas*(K379&gt;=0)</f>
        <v>105.722713068859</v>
      </c>
      <c r="K380" s="419" t="n">
        <f aca="false">K379+0.5*(vit_z+H379)*pas</f>
        <v>475.960454246184</v>
      </c>
      <c r="L380" s="417" t="n">
        <f aca="false">SQRT(pos_x^2+pos_z^2)</f>
        <v>487.560915235085</v>
      </c>
      <c r="M380" s="418" t="n">
        <f aca="false">IF(AND(L379&gt;L_rampe,G380&gt;0),ATAN2(G380,H380),$M$4)</f>
        <v>1.3344718333911</v>
      </c>
      <c r="N380" s="417" t="n">
        <f aca="false">DEGREES(Beta)</f>
        <v>76.4596039323951</v>
      </c>
      <c r="O380" s="401"/>
      <c r="P380" s="420" t="n">
        <f aca="false">MATCH(t-pas/2-T_ini,CdP_t)</f>
        <v>23</v>
      </c>
      <c r="Q380" s="417" t="n">
        <f aca="false">(INDEX(CdP,2,i_P+1)-INDEX(CdP,2,i_P+0))/(INDEX(CdP,1,i_P+1)-INDEX(CdP,1,i_P+0))*(t-pas/2-T_ini-INDEX(CdP,1,i_P+0))+INDEX(CdP,2,i_P+0)</f>
        <v>0</v>
      </c>
      <c r="R380" s="418" t="n">
        <f aca="false">Poussee/(g*ISP)</f>
        <v>0</v>
      </c>
      <c r="S380" s="419" t="n">
        <f aca="false">S379-Débit*pas</f>
        <v>7.37799999999998</v>
      </c>
      <c r="T380" s="417" t="n">
        <f aca="false">m*g</f>
        <v>72.3781799999998</v>
      </c>
      <c r="U380" s="421" t="n">
        <f aca="false">IF(pos_xz&lt;L_rampe,Poids*COS(Beta),0)</f>
        <v>0</v>
      </c>
      <c r="V380" s="418" t="n">
        <f aca="false">Rho_moyen*(20000-Alt_rampe-pos_z)/(20000+Alt_rampe+pos_z)</f>
        <v>1.16805013845339</v>
      </c>
      <c r="W380" s="417" t="n">
        <f aca="false">1/2*Rho*Sref*Cx*vit_xz^2</f>
        <v>126.41160108869</v>
      </c>
      <c r="X380" s="401"/>
      <c r="Y380" s="422" t="str">
        <f aca="false">IF(AND(pos_z&lt;=0,K379&gt;0),"Impact balistique","") &amp; IF(AND(H381&lt;0,vit_z&gt;=0),"Apogée","") &amp; IF(AND(Poussee=0,Q379&gt;0),"Fin de propulsion","") &amp; IF(AND(L381&gt;L_rampe,pos_xz&lt;=L_rampe),"Sortie de rampe","")</f>
        <v/>
      </c>
      <c r="Z380" s="423" t="str">
        <f aca="false">IF(ABS(t-T_para)&lt;pas/2,"Para","")</f>
        <v/>
      </c>
      <c r="AA380" s="424" t="str">
        <f aca="false">IF(ABS(t-T_satellite)&lt;pas/2,"Satellite","")</f>
        <v/>
      </c>
      <c r="AB380" s="412"/>
      <c r="AC380" s="420" t="e">
        <f aca="false">IF(ABS(t-ROUND(t,0))&lt;0.001,t,NA())</f>
        <v>#N/A</v>
      </c>
      <c r="AD380" s="425" t="e">
        <f aca="false">IF(ABS(t-ROUND(t,0))&lt;0.001,pos_x,NA())</f>
        <v>#N/A</v>
      </c>
      <c r="AE380" s="426" t="n">
        <f aca="false">IF(t&lt;T_para, pos_z, NA())</f>
        <v>475.960454246184</v>
      </c>
      <c r="AF380" s="412"/>
      <c r="AG380" s="418" t="n">
        <f aca="false">IF(AND(L379&lt;L_rampe,Poussee&lt;Poids*SIN(M379)),0,(-W379+Poussee)/m-Poids*SIN(M379)/m)</f>
        <v>-26.7231835921768</v>
      </c>
      <c r="AH380" s="417" t="n">
        <f aca="false">IF(AND(L379&lt;L_rampe,Poussee&lt;Poids*SIN(M379)), g*SIN(M379), (-W379+Poussee)/m)</f>
        <v>-17.1855706826437</v>
      </c>
    </row>
    <row r="381" customFormat="false" ht="12" hidden="false" customHeight="false" outlineLevel="0" collapsed="false">
      <c r="A381" s="416" t="n">
        <f aca="false">IF(B380+0.01&lt;=T_ini+ROUNDUP(Temps_fin_propu,0), 0.01, IF(K380&gt;0, 0.1, 0.0001))</f>
        <v>0.01</v>
      </c>
      <c r="B381" s="417" t="n">
        <f aca="false">B380+pas</f>
        <v>3.76999999999996</v>
      </c>
      <c r="C381" s="401"/>
      <c r="D381" s="418" t="n">
        <f aca="false">IF(AND(L380&lt;L_rampe,Poussee&lt;Poids*SIN(M380)),0,(-W380+Poussee)/m*COS(M380)-U380/m*SIN(M380))</f>
        <v>-4.01150150539885</v>
      </c>
      <c r="E381" s="419" t="n">
        <f aca="false">IF(AND(L380&lt;L_rampe,Poussee&lt;Poids*SIN(M380)),0,(-W380+Poussee)/m*SIN(M380)+U380/m*COS(M380)-Poids/m)</f>
        <v>-26.4673599805647</v>
      </c>
      <c r="F381" s="417" t="n">
        <f aca="false">SQRT(acc_x^2+acc_z^2)</f>
        <v>26.7696337044162</v>
      </c>
      <c r="G381" s="418" t="n">
        <f aca="false">G380+acc_x*pas</f>
        <v>43.88405316271</v>
      </c>
      <c r="H381" s="419" t="n">
        <f aca="false">H380+acc_z*pas</f>
        <v>182.126054709577</v>
      </c>
      <c r="I381" s="417" t="n">
        <f aca="false">SQRT(vit_x^2+vit_z^2)</f>
        <v>187.338490241764</v>
      </c>
      <c r="J381" s="418" t="n">
        <f aca="false">J380+0.5*(vit_x+G380)*pas*(K380&gt;=0)</f>
        <v>106.161754175561</v>
      </c>
      <c r="K381" s="419" t="n">
        <f aca="false">K380+0.5*(vit_z+H380)*pas</f>
        <v>477.783038161279</v>
      </c>
      <c r="L381" s="417" t="n">
        <f aca="false">SQRT(pos_x^2+pos_z^2)</f>
        <v>489.435337510742</v>
      </c>
      <c r="M381" s="418" t="n">
        <f aca="false">IF(AND(L380&gt;L_rampe,G381&gt;0),ATAN2(G381,H381),$M$4)</f>
        <v>1.33434923051142</v>
      </c>
      <c r="N381" s="417" t="n">
        <f aca="false">DEGREES(Beta)</f>
        <v>76.4525793048335</v>
      </c>
      <c r="O381" s="401"/>
      <c r="P381" s="420" t="n">
        <f aca="false">MATCH(t-pas/2-T_ini,CdP_t)</f>
        <v>23</v>
      </c>
      <c r="Q381" s="417" t="n">
        <f aca="false">(INDEX(CdP,2,i_P+1)-INDEX(CdP,2,i_P+0))/(INDEX(CdP,1,i_P+1)-INDEX(CdP,1,i_P+0))*(t-pas/2-T_ini-INDEX(CdP,1,i_P+0))+INDEX(CdP,2,i_P+0)</f>
        <v>0</v>
      </c>
      <c r="R381" s="418" t="n">
        <f aca="false">Poussee/(g*ISP)</f>
        <v>0</v>
      </c>
      <c r="S381" s="419" t="n">
        <f aca="false">S380-Débit*pas</f>
        <v>7.37799999999998</v>
      </c>
      <c r="T381" s="417" t="n">
        <f aca="false">m*g</f>
        <v>72.3781799999998</v>
      </c>
      <c r="U381" s="421" t="n">
        <f aca="false">IF(pos_xz&lt;L_rampe,Poids*COS(Beta),0)</f>
        <v>0</v>
      </c>
      <c r="V381" s="418" t="n">
        <f aca="false">Rho_moyen*(20000-Alt_rampe-pos_z)/(20000+Alt_rampe+pos_z)</f>
        <v>1.1678371498363</v>
      </c>
      <c r="W381" s="417" t="n">
        <f aca="false">1/2*Rho*Sref*Cx*vit_xz^2</f>
        <v>126.02944693858</v>
      </c>
      <c r="X381" s="401"/>
      <c r="Y381" s="422" t="str">
        <f aca="false">IF(AND(pos_z&lt;=0,K380&gt;0),"Impact balistique","") &amp; IF(AND(H382&lt;0,vit_z&gt;=0),"Apogée","") &amp; IF(AND(Poussee=0,Q380&gt;0),"Fin de propulsion","") &amp; IF(AND(L382&gt;L_rampe,pos_xz&lt;=L_rampe),"Sortie de rampe","")</f>
        <v/>
      </c>
      <c r="Z381" s="423" t="str">
        <f aca="false">IF(ABS(t-T_para)&lt;pas/2,"Para","")</f>
        <v/>
      </c>
      <c r="AA381" s="424" t="str">
        <f aca="false">IF(ABS(t-T_satellite)&lt;pas/2,"Satellite","")</f>
        <v/>
      </c>
      <c r="AB381" s="412"/>
      <c r="AC381" s="420" t="e">
        <f aca="false">IF(ABS(t-ROUND(t,0))&lt;0.001,t,NA())</f>
        <v>#N/A</v>
      </c>
      <c r="AD381" s="425" t="e">
        <f aca="false">IF(ABS(t-ROUND(t,0))&lt;0.001,pos_x,NA())</f>
        <v>#N/A</v>
      </c>
      <c r="AE381" s="426" t="n">
        <f aca="false">IF(t&lt;T_para, pos_z, NA())</f>
        <v>477.783038161279</v>
      </c>
      <c r="AF381" s="412"/>
      <c r="AG381" s="418" t="n">
        <f aca="false">IF(AND(L380&lt;L_rampe,Poussee&lt;Poids*SIN(M380)),0,(-W380+Poussee)/m-Poids*SIN(M380)/m)</f>
        <v>-26.6709184122547</v>
      </c>
      <c r="AH381" s="417" t="n">
        <f aca="false">IF(AND(L380&lt;L_rampe,Poussee&lt;Poids*SIN(M380)), g*SIN(M380), (-W380+Poussee)/m)</f>
        <v>-17.1335864853199</v>
      </c>
    </row>
    <row r="382" customFormat="false" ht="12" hidden="false" customHeight="false" outlineLevel="0" collapsed="false">
      <c r="A382" s="416" t="n">
        <f aca="false">IF(B381+0.01&lt;=T_ini+ROUNDUP(Temps_fin_propu,0), 0.01, IF(K381&gt;0, 0.1, 0.0001))</f>
        <v>0.01</v>
      </c>
      <c r="B382" s="417" t="n">
        <f aca="false">B381+pas</f>
        <v>3.77999999999996</v>
      </c>
      <c r="C382" s="401"/>
      <c r="D382" s="418" t="n">
        <f aca="false">IF(AND(L381&lt;L_rampe,Poussee&lt;Poids*SIN(M381)),0,(-W381+Poussee)/m*COS(M381)-U381/m*SIN(M381))</f>
        <v>-4.00141039570542</v>
      </c>
      <c r="E382" s="419" t="n">
        <f aca="false">IF(AND(L381&lt;L_rampe,Poussee&lt;Poids*SIN(M381)),0,(-W381+Poussee)/m*SIN(M381)+U381/m*COS(M381)-Poids/m)</f>
        <v>-26.4165127562778</v>
      </c>
      <c r="F382" s="417" t="n">
        <f aca="false">SQRT(acc_x^2+acc_z^2)</f>
        <v>26.7178485540555</v>
      </c>
      <c r="G382" s="418" t="n">
        <f aca="false">G381+acc_x*pas</f>
        <v>43.8440390587529</v>
      </c>
      <c r="H382" s="419" t="n">
        <f aca="false">H381+acc_z*pas</f>
        <v>181.861889582014</v>
      </c>
      <c r="I382" s="417" t="n">
        <f aca="false">SQRT(vit_x^2+vit_z^2)</f>
        <v>187.072303250177</v>
      </c>
      <c r="J382" s="418" t="n">
        <f aca="false">J381+0.5*(vit_x+G381)*pas*(K381&gt;=0)</f>
        <v>106.600394636669</v>
      </c>
      <c r="K382" s="419" t="n">
        <f aca="false">K381+0.5*(vit_z+H381)*pas</f>
        <v>479.602977882736</v>
      </c>
      <c r="L382" s="417" t="n">
        <f aca="false">SQRT(pos_x^2+pos_z^2)</f>
        <v>491.30709391447</v>
      </c>
      <c r="M382" s="418" t="n">
        <f aca="false">IF(AND(L381&gt;L_rampe,G382&gt;0),ATAN2(G382,H382),$M$4)</f>
        <v>1.33422639067436</v>
      </c>
      <c r="N382" s="417" t="n">
        <f aca="false">DEGREES(Beta)</f>
        <v>76.445541100614</v>
      </c>
      <c r="O382" s="401"/>
      <c r="P382" s="420" t="n">
        <f aca="false">MATCH(t-pas/2-T_ini,CdP_t)</f>
        <v>23</v>
      </c>
      <c r="Q382" s="417" t="n">
        <f aca="false">(INDEX(CdP,2,i_P+1)-INDEX(CdP,2,i_P+0))/(INDEX(CdP,1,i_P+1)-INDEX(CdP,1,i_P+0))*(t-pas/2-T_ini-INDEX(CdP,1,i_P+0))+INDEX(CdP,2,i_P+0)</f>
        <v>0</v>
      </c>
      <c r="R382" s="418" t="n">
        <f aca="false">Poussee/(g*ISP)</f>
        <v>0</v>
      </c>
      <c r="S382" s="419" t="n">
        <f aca="false">S381-Débit*pas</f>
        <v>7.37799999999998</v>
      </c>
      <c r="T382" s="417" t="n">
        <f aca="false">m*g</f>
        <v>72.3781799999998</v>
      </c>
      <c r="U382" s="421" t="n">
        <f aca="false">IF(pos_xz&lt;L_rampe,Poids*COS(Beta),0)</f>
        <v>0</v>
      </c>
      <c r="V382" s="418" t="n">
        <f aca="false">Rho_moyen*(20000-Alt_rampe-pos_z)/(20000+Alt_rampe+pos_z)</f>
        <v>1.16762450804922</v>
      </c>
      <c r="W382" s="417" t="n">
        <f aca="false">1/2*Rho*Sref*Cx*vit_xz^2</f>
        <v>125.648671461447</v>
      </c>
      <c r="X382" s="401"/>
      <c r="Y382" s="422" t="str">
        <f aca="false">IF(AND(pos_z&lt;=0,K381&gt;0),"Impact balistique","") &amp; IF(AND(H383&lt;0,vit_z&gt;=0),"Apogée","") &amp; IF(AND(Poussee=0,Q381&gt;0),"Fin de propulsion","") &amp; IF(AND(L383&gt;L_rampe,pos_xz&lt;=L_rampe),"Sortie de rampe","")</f>
        <v/>
      </c>
      <c r="Z382" s="423" t="str">
        <f aca="false">IF(ABS(t-T_para)&lt;pas/2,"Para","")</f>
        <v/>
      </c>
      <c r="AA382" s="424" t="str">
        <f aca="false">IF(ABS(t-T_satellite)&lt;pas/2,"Satellite","")</f>
        <v/>
      </c>
      <c r="AB382" s="412"/>
      <c r="AC382" s="420" t="e">
        <f aca="false">IF(ABS(t-ROUND(t,0))&lt;0.001,t,NA())</f>
        <v>#N/A</v>
      </c>
      <c r="AD382" s="425" t="e">
        <f aca="false">IF(ABS(t-ROUND(t,0))&lt;0.001,pos_x,NA())</f>
        <v>#N/A</v>
      </c>
      <c r="AE382" s="426" t="n">
        <f aca="false">IF(t&lt;T_para, pos_z, NA())</f>
        <v>479.602977882736</v>
      </c>
      <c r="AF382" s="412"/>
      <c r="AG382" s="418" t="n">
        <f aca="false">IF(AND(L381&lt;L_rampe,Poussee&lt;Poids*SIN(M381)),0,(-W381+Poussee)/m-Poids*SIN(M381)/m)</f>
        <v>-26.6188403012193</v>
      </c>
      <c r="AH382" s="417" t="n">
        <f aca="false">IF(AND(L381&lt;L_rampe,Poussee&lt;Poids*SIN(M381)), g*SIN(M381), (-W381+Poussee)/m)</f>
        <v>-17.0817900431798</v>
      </c>
    </row>
    <row r="383" customFormat="false" ht="12" hidden="false" customHeight="false" outlineLevel="0" collapsed="false">
      <c r="A383" s="416" t="n">
        <f aca="false">IF(B382+0.01&lt;=T_ini+ROUNDUP(Temps_fin_propu,0), 0.01, IF(K382&gt;0, 0.1, 0.0001))</f>
        <v>0.01</v>
      </c>
      <c r="B383" s="417" t="n">
        <f aca="false">B382+pas</f>
        <v>3.78999999999996</v>
      </c>
      <c r="C383" s="401"/>
      <c r="D383" s="418" t="n">
        <f aca="false">IF(AND(L382&lt;L_rampe,Poussee&lt;Poids*SIN(M382)),0,(-W382+Poussee)/m*COS(M382)-U382/m*SIN(M382))</f>
        <v>-3.99135459636226</v>
      </c>
      <c r="E383" s="419" t="n">
        <f aca="false">IF(AND(L382&lt;L_rampe,Poussee&lt;Poids*SIN(M382)),0,(-W382+Poussee)/m*SIN(M382)+U382/m*COS(M382)-Poids/m)</f>
        <v>-26.3658489698815</v>
      </c>
      <c r="F383" s="417" t="n">
        <f aca="false">SQRT(acc_x^2+acc_z^2)</f>
        <v>26.6662502691417</v>
      </c>
      <c r="G383" s="418" t="n">
        <f aca="false">G382+acc_x*pas</f>
        <v>43.8041255127893</v>
      </c>
      <c r="H383" s="419" t="n">
        <f aca="false">H382+acc_z*pas</f>
        <v>181.598231092315</v>
      </c>
      <c r="I383" s="417" t="n">
        <f aca="false">SQRT(vit_x^2+vit_z^2)</f>
        <v>186.806635181404</v>
      </c>
      <c r="J383" s="418" t="n">
        <f aca="false">J382+0.5*(vit_x+G382)*pas*(K382&gt;=0)</f>
        <v>107.038635459526</v>
      </c>
      <c r="K383" s="419" t="n">
        <f aca="false">K382+0.5*(vit_z+H382)*pas</f>
        <v>481.420278486108</v>
      </c>
      <c r="L383" s="417" t="n">
        <f aca="false">SQRT(pos_x^2+pos_z^2)</f>
        <v>493.176189630723</v>
      </c>
      <c r="M383" s="418" t="n">
        <f aca="false">IF(AND(L382&gt;L_rampe,G383&gt;0),ATAN2(G383,H383),$M$4)</f>
        <v>1.3341033134274</v>
      </c>
      <c r="N383" s="417" t="n">
        <f aca="false">DEGREES(Beta)</f>
        <v>76.4384892938088</v>
      </c>
      <c r="O383" s="401"/>
      <c r="P383" s="420" t="n">
        <f aca="false">MATCH(t-pas/2-T_ini,CdP_t)</f>
        <v>23</v>
      </c>
      <c r="Q383" s="417" t="n">
        <f aca="false">(INDEX(CdP,2,i_P+1)-INDEX(CdP,2,i_P+0))/(INDEX(CdP,1,i_P+1)-INDEX(CdP,1,i_P+0))*(t-pas/2-T_ini-INDEX(CdP,1,i_P+0))+INDEX(CdP,2,i_P+0)</f>
        <v>0</v>
      </c>
      <c r="R383" s="418" t="n">
        <f aca="false">Poussee/(g*ISP)</f>
        <v>0</v>
      </c>
      <c r="S383" s="419" t="n">
        <f aca="false">S382-Débit*pas</f>
        <v>7.37799999999998</v>
      </c>
      <c r="T383" s="417" t="n">
        <f aca="false">m*g</f>
        <v>72.3781799999998</v>
      </c>
      <c r="U383" s="421" t="n">
        <f aca="false">IF(pos_xz&lt;L_rampe,Poids*COS(Beta),0)</f>
        <v>0</v>
      </c>
      <c r="V383" s="418" t="n">
        <f aca="false">Rho_moyen*(20000-Alt_rampe-pos_z)/(20000+Alt_rampe+pos_z)</f>
        <v>1.16741221232446</v>
      </c>
      <c r="W383" s="417" t="n">
        <f aca="false">1/2*Rho*Sref*Cx*vit_xz^2</f>
        <v>125.269268112106</v>
      </c>
      <c r="X383" s="401"/>
      <c r="Y383" s="422" t="str">
        <f aca="false">IF(AND(pos_z&lt;=0,K382&gt;0),"Impact balistique","") &amp; IF(AND(H384&lt;0,vit_z&gt;=0),"Apogée","") &amp; IF(AND(Poussee=0,Q382&gt;0),"Fin de propulsion","") &amp; IF(AND(L384&gt;L_rampe,pos_xz&lt;=L_rampe),"Sortie de rampe","")</f>
        <v/>
      </c>
      <c r="Z383" s="423" t="str">
        <f aca="false">IF(ABS(t-T_para)&lt;pas/2,"Para","")</f>
        <v/>
      </c>
      <c r="AA383" s="424" t="str">
        <f aca="false">IF(ABS(t-T_satellite)&lt;pas/2,"Satellite","")</f>
        <v/>
      </c>
      <c r="AB383" s="412"/>
      <c r="AC383" s="420" t="e">
        <f aca="false">IF(ABS(t-ROUND(t,0))&lt;0.001,t,NA())</f>
        <v>#N/A</v>
      </c>
      <c r="AD383" s="425" t="e">
        <f aca="false">IF(ABS(t-ROUND(t,0))&lt;0.001,pos_x,NA())</f>
        <v>#N/A</v>
      </c>
      <c r="AE383" s="426" t="n">
        <f aca="false">IF(t&lt;T_para, pos_z, NA())</f>
        <v>481.420278486108</v>
      </c>
      <c r="AF383" s="412"/>
      <c r="AG383" s="418" t="n">
        <f aca="false">IF(AND(L382&lt;L_rampe,Poussee&lt;Poids*SIN(M382)),0,(-W382+Poussee)/m-Poids*SIN(M382)/m)</f>
        <v>-26.566948364721</v>
      </c>
      <c r="AH383" s="417" t="n">
        <f aca="false">IF(AND(L382&lt;L_rampe,Poussee&lt;Poids*SIN(M382)), g*SIN(M382), (-W382+Poussee)/m)</f>
        <v>-17.0301804637364</v>
      </c>
    </row>
    <row r="384" customFormat="false" ht="12" hidden="false" customHeight="false" outlineLevel="0" collapsed="false">
      <c r="A384" s="416" t="n">
        <f aca="false">IF(B383+0.01&lt;=T_ini+ROUNDUP(Temps_fin_propu,0), 0.01, IF(K383&gt;0, 0.1, 0.0001))</f>
        <v>0.01</v>
      </c>
      <c r="B384" s="417" t="n">
        <f aca="false">B383+pas</f>
        <v>3.79999999999996</v>
      </c>
      <c r="C384" s="401"/>
      <c r="D384" s="418" t="n">
        <f aca="false">IF(AND(L383&lt;L_rampe,Poussee&lt;Poids*SIN(M383)),0,(-W383+Poussee)/m*COS(M383)-U383/m*SIN(M383))</f>
        <v>-3.98133393826489</v>
      </c>
      <c r="E384" s="419" t="n">
        <f aca="false">IF(AND(L383&lt;L_rampe,Poussee&lt;Poids*SIN(M383)),0,(-W383+Poussee)/m*SIN(M383)+U383/m*COS(M383)-Poids/m)</f>
        <v>-26.3153677504785</v>
      </c>
      <c r="F384" s="417" t="n">
        <f aca="false">SQRT(acc_x^2+acc_z^2)</f>
        <v>26.6148379625145</v>
      </c>
      <c r="G384" s="418" t="n">
        <f aca="false">G383+acc_x*pas</f>
        <v>43.7643121734066</v>
      </c>
      <c r="H384" s="419" t="n">
        <f aca="false">H383+acc_z*pas</f>
        <v>181.335077414811</v>
      </c>
      <c r="I384" s="417" t="n">
        <f aca="false">SQRT(vit_x^2+vit_z^2)</f>
        <v>186.541484182599</v>
      </c>
      <c r="J384" s="418" t="n">
        <f aca="false">J383+0.5*(vit_x+G383)*pas*(K383&gt;=0)</f>
        <v>107.476477647957</v>
      </c>
      <c r="K384" s="419" t="n">
        <f aca="false">K383+0.5*(vit_z+H383)*pas</f>
        <v>483.234945028644</v>
      </c>
      <c r="L384" s="417" t="n">
        <f aca="false">SQRT(pos_x^2+pos_z^2)</f>
        <v>495.0426298254</v>
      </c>
      <c r="M384" s="418" t="n">
        <f aca="false">IF(AND(L383&gt;L_rampe,G384&gt;0),ATAN2(G384,H384),$M$4)</f>
        <v>1.3339799983166</v>
      </c>
      <c r="N384" s="417" t="n">
        <f aca="false">DEGREES(Beta)</f>
        <v>76.4314238584098</v>
      </c>
      <c r="O384" s="401"/>
      <c r="P384" s="420" t="n">
        <f aca="false">MATCH(t-pas/2-T_ini,CdP_t)</f>
        <v>23</v>
      </c>
      <c r="Q384" s="417" t="n">
        <f aca="false">(INDEX(CdP,2,i_P+1)-INDEX(CdP,2,i_P+0))/(INDEX(CdP,1,i_P+1)-INDEX(CdP,1,i_P+0))*(t-pas/2-T_ini-INDEX(CdP,1,i_P+0))+INDEX(CdP,2,i_P+0)</f>
        <v>0</v>
      </c>
      <c r="R384" s="418" t="n">
        <f aca="false">Poussee/(g*ISP)</f>
        <v>0</v>
      </c>
      <c r="S384" s="419" t="n">
        <f aca="false">S383-Débit*pas</f>
        <v>7.37799999999998</v>
      </c>
      <c r="T384" s="417" t="n">
        <f aca="false">m*g</f>
        <v>72.3781799999998</v>
      </c>
      <c r="U384" s="421" t="n">
        <f aca="false">IF(pos_xz&lt;L_rampe,Poids*COS(Beta),0)</f>
        <v>0</v>
      </c>
      <c r="V384" s="418" t="n">
        <f aca="false">Rho_moyen*(20000-Alt_rampe-pos_z)/(20000+Alt_rampe+pos_z)</f>
        <v>1.16720026189723</v>
      </c>
      <c r="W384" s="417" t="n">
        <f aca="false">1/2*Rho*Sref*Cx*vit_xz^2</f>
        <v>124.891230384676</v>
      </c>
      <c r="X384" s="401"/>
      <c r="Y384" s="422" t="str">
        <f aca="false">IF(AND(pos_z&lt;=0,K383&gt;0),"Impact balistique","") &amp; IF(AND(H385&lt;0,vit_z&gt;=0),"Apogée","") &amp; IF(AND(Poussee=0,Q383&gt;0),"Fin de propulsion","") &amp; IF(AND(L385&gt;L_rampe,pos_xz&lt;=L_rampe),"Sortie de rampe","")</f>
        <v/>
      </c>
      <c r="Z384" s="423" t="str">
        <f aca="false">IF(ABS(t-T_para)&lt;pas/2,"Para","")</f>
        <v/>
      </c>
      <c r="AA384" s="424" t="str">
        <f aca="false">IF(ABS(t-T_satellite)&lt;pas/2,"Satellite","")</f>
        <v/>
      </c>
      <c r="AB384" s="412"/>
      <c r="AC384" s="420" t="e">
        <f aca="false">IF(ABS(t-ROUND(t,0))&lt;0.001,t,NA())</f>
        <v>#N/A</v>
      </c>
      <c r="AD384" s="425" t="e">
        <f aca="false">IF(ABS(t-ROUND(t,0))&lt;0.001,pos_x,NA())</f>
        <v>#N/A</v>
      </c>
      <c r="AE384" s="426" t="n">
        <f aca="false">IF(t&lt;T_para, pos_z, NA())</f>
        <v>483.234945028644</v>
      </c>
      <c r="AF384" s="412"/>
      <c r="AG384" s="418" t="n">
        <f aca="false">IF(AND(L383&lt;L_rampe,Poussee&lt;Poids*SIN(M383)),0,(-W383+Poussee)/m-Poids*SIN(M383)/m)</f>
        <v>-26.5152417137688</v>
      </c>
      <c r="AH384" s="417" t="n">
        <f aca="false">IF(AND(L383&lt;L_rampe,Poussee&lt;Poids*SIN(M383)), g*SIN(M383), (-W383+Poussee)/m)</f>
        <v>-16.9787568598681</v>
      </c>
    </row>
    <row r="385" customFormat="false" ht="12" hidden="false" customHeight="false" outlineLevel="0" collapsed="false">
      <c r="A385" s="416" t="n">
        <f aca="false">IF(B384+0.01&lt;=T_ini+ROUNDUP(Temps_fin_propu,0), 0.01, IF(K384&gt;0, 0.1, 0.0001))</f>
        <v>0.01</v>
      </c>
      <c r="B385" s="417" t="n">
        <f aca="false">B384+pas</f>
        <v>3.80999999999996</v>
      </c>
      <c r="C385" s="401"/>
      <c r="D385" s="418" t="n">
        <f aca="false">IF(AND(L384&lt;L_rampe,Poussee&lt;Poids*SIN(M384)),0,(-W384+Poussee)/m*COS(M384)-U384/m*SIN(M384))</f>
        <v>-3.97134825332298</v>
      </c>
      <c r="E385" s="419" t="n">
        <f aca="false">IF(AND(L384&lt;L_rampe,Poussee&lt;Poids*SIN(M384)),0,(-W384+Poussee)/m*SIN(M384)+U384/m*COS(M384)-Poids/m)</f>
        <v>-26.2650682324008</v>
      </c>
      <c r="F385" s="417" t="n">
        <f aca="false">SQRT(acc_x^2+acc_z^2)</f>
        <v>26.5636107523402</v>
      </c>
      <c r="G385" s="418" t="n">
        <f aca="false">G384+acc_x*pas</f>
        <v>43.7245986908734</v>
      </c>
      <c r="H385" s="419" t="n">
        <f aca="false">H384+acc_z*pas</f>
        <v>181.072426732487</v>
      </c>
      <c r="I385" s="417" t="n">
        <f aca="false">SQRT(vit_x^2+vit_z^2)</f>
        <v>186.276848409752</v>
      </c>
      <c r="J385" s="418" t="n">
        <f aca="false">J384+0.5*(vit_x+G384)*pas*(K384&gt;=0)</f>
        <v>107.913922202279</v>
      </c>
      <c r="K385" s="419" t="n">
        <f aca="false">K384+0.5*(vit_z+H384)*pas</f>
        <v>485.04698254938</v>
      </c>
      <c r="L385" s="417" t="n">
        <f aca="false">SQRT(pos_x^2+pos_z^2)</f>
        <v>496.906419645931</v>
      </c>
      <c r="M385" s="418" t="n">
        <f aca="false">IF(AND(L384&gt;L_rampe,G385&gt;0),ATAN2(G385,H385),$M$4)</f>
        <v>1.33385644488664</v>
      </c>
      <c r="N385" s="417" t="n">
        <f aca="false">DEGREES(Beta)</f>
        <v>76.4243447683289</v>
      </c>
      <c r="O385" s="401"/>
      <c r="P385" s="420" t="n">
        <f aca="false">MATCH(t-pas/2-T_ini,CdP_t)</f>
        <v>23</v>
      </c>
      <c r="Q385" s="417" t="n">
        <f aca="false">(INDEX(CdP,2,i_P+1)-INDEX(CdP,2,i_P+0))/(INDEX(CdP,1,i_P+1)-INDEX(CdP,1,i_P+0))*(t-pas/2-T_ini-INDEX(CdP,1,i_P+0))+INDEX(CdP,2,i_P+0)</f>
        <v>0</v>
      </c>
      <c r="R385" s="418" t="n">
        <f aca="false">Poussee/(g*ISP)</f>
        <v>0</v>
      </c>
      <c r="S385" s="419" t="n">
        <f aca="false">S384-Débit*pas</f>
        <v>7.37799999999998</v>
      </c>
      <c r="T385" s="417" t="n">
        <f aca="false">m*g</f>
        <v>72.3781799999998</v>
      </c>
      <c r="U385" s="421" t="n">
        <f aca="false">IF(pos_xz&lt;L_rampe,Poids*COS(Beta),0)</f>
        <v>0</v>
      </c>
      <c r="V385" s="418" t="n">
        <f aca="false">Rho_moyen*(20000-Alt_rampe-pos_z)/(20000+Alt_rampe+pos_z)</f>
        <v>1.16698865600561</v>
      </c>
      <c r="W385" s="417" t="n">
        <f aca="false">1/2*Rho*Sref*Cx*vit_xz^2</f>
        <v>124.514551812291</v>
      </c>
      <c r="X385" s="401"/>
      <c r="Y385" s="422" t="str">
        <f aca="false">IF(AND(pos_z&lt;=0,K384&gt;0),"Impact balistique","") &amp; IF(AND(H386&lt;0,vit_z&gt;=0),"Apogée","") &amp; IF(AND(Poussee=0,Q384&gt;0),"Fin de propulsion","") &amp; IF(AND(L386&gt;L_rampe,pos_xz&lt;=L_rampe),"Sortie de rampe","")</f>
        <v/>
      </c>
      <c r="Z385" s="423" t="str">
        <f aca="false">IF(ABS(t-T_para)&lt;pas/2,"Para","")</f>
        <v/>
      </c>
      <c r="AA385" s="424" t="str">
        <f aca="false">IF(ABS(t-T_satellite)&lt;pas/2,"Satellite","")</f>
        <v/>
      </c>
      <c r="AB385" s="412"/>
      <c r="AC385" s="420" t="e">
        <f aca="false">IF(ABS(t-ROUND(t,0))&lt;0.001,t,NA())</f>
        <v>#N/A</v>
      </c>
      <c r="AD385" s="425" t="e">
        <f aca="false">IF(ABS(t-ROUND(t,0))&lt;0.001,pos_x,NA())</f>
        <v>#N/A</v>
      </c>
      <c r="AE385" s="426" t="n">
        <f aca="false">IF(t&lt;T_para, pos_z, NA())</f>
        <v>485.04698254938</v>
      </c>
      <c r="AF385" s="412"/>
      <c r="AG385" s="418" t="n">
        <f aca="false">IF(AND(L384&lt;L_rampe,Poussee&lt;Poids*SIN(M384)),0,(-W384+Poussee)/m-Poids*SIN(M384)/m)</f>
        <v>-26.4637194646912</v>
      </c>
      <c r="AH385" s="417" t="n">
        <f aca="false">IF(AND(L384&lt;L_rampe,Poussee&lt;Poids*SIN(M384)), g*SIN(M384), (-W384+Poussee)/m)</f>
        <v>-16.92751834978</v>
      </c>
    </row>
    <row r="386" customFormat="false" ht="12" hidden="false" customHeight="false" outlineLevel="0" collapsed="false">
      <c r="A386" s="416" t="n">
        <f aca="false">IF(B385+0.01&lt;=T_ini+ROUNDUP(Temps_fin_propu,0), 0.01, IF(K385&gt;0, 0.1, 0.0001))</f>
        <v>0.01</v>
      </c>
      <c r="B386" s="417" t="n">
        <f aca="false">B385+pas</f>
        <v>3.81999999999996</v>
      </c>
      <c r="C386" s="401"/>
      <c r="D386" s="418" t="n">
        <f aca="false">IF(AND(L385&lt;L_rampe,Poussee&lt;Poids*SIN(M385)),0,(-W385+Poussee)/m*COS(M385)-U385/m*SIN(M385))</f>
        <v>-3.96139737445297</v>
      </c>
      <c r="E386" s="419" t="n">
        <f aca="false">IF(AND(L385&lt;L_rampe,Poussee&lt;Poids*SIN(M385)),0,(-W385+Poussee)/m*SIN(M385)+U385/m*COS(M385)-Poids/m)</f>
        <v>-26.2149495551716</v>
      </c>
      <c r="F386" s="417" t="n">
        <f aca="false">SQRT(acc_x^2+acc_z^2)</f>
        <v>26.512567762073</v>
      </c>
      <c r="G386" s="418" t="n">
        <f aca="false">G385+acc_x*pas</f>
        <v>43.6849847171289</v>
      </c>
      <c r="H386" s="419" t="n">
        <f aca="false">H385+acc_z*pas</f>
        <v>180.810277236935</v>
      </c>
      <c r="I386" s="417" t="n">
        <f aca="false">SQRT(vit_x^2+vit_z^2)</f>
        <v>186.012726027638</v>
      </c>
      <c r="J386" s="418" t="n">
        <f aca="false">J385+0.5*(vit_x+G385)*pas*(K385&gt;=0)</f>
        <v>108.350970119319</v>
      </c>
      <c r="K386" s="419" t="n">
        <f aca="false">K385+0.5*(vit_z+H385)*pas</f>
        <v>486.856396069227</v>
      </c>
      <c r="L386" s="417" t="n">
        <f aca="false">SQRT(pos_x^2+pos_z^2)</f>
        <v>498.767564221365</v>
      </c>
      <c r="M386" s="418" t="n">
        <f aca="false">IF(AND(L385&gt;L_rampe,G386&gt;0),ATAN2(G386,H386),$M$4)</f>
        <v>1.33373265268079</v>
      </c>
      <c r="N386" s="417" t="n">
        <f aca="false">DEGREES(Beta)</f>
        <v>76.4172519973972</v>
      </c>
      <c r="O386" s="401"/>
      <c r="P386" s="420" t="n">
        <f aca="false">MATCH(t-pas/2-T_ini,CdP_t)</f>
        <v>23</v>
      </c>
      <c r="Q386" s="417" t="n">
        <f aca="false">(INDEX(CdP,2,i_P+1)-INDEX(CdP,2,i_P+0))/(INDEX(CdP,1,i_P+1)-INDEX(CdP,1,i_P+0))*(t-pas/2-T_ini-INDEX(CdP,1,i_P+0))+INDEX(CdP,2,i_P+0)</f>
        <v>0</v>
      </c>
      <c r="R386" s="418" t="n">
        <f aca="false">Poussee/(g*ISP)</f>
        <v>0</v>
      </c>
      <c r="S386" s="419" t="n">
        <f aca="false">S385-Débit*pas</f>
        <v>7.37799999999998</v>
      </c>
      <c r="T386" s="417" t="n">
        <f aca="false">m*g</f>
        <v>72.3781799999998</v>
      </c>
      <c r="U386" s="421" t="n">
        <f aca="false">IF(pos_xz&lt;L_rampe,Poids*COS(Beta),0)</f>
        <v>0</v>
      </c>
      <c r="V386" s="418" t="n">
        <f aca="false">Rho_moyen*(20000-Alt_rampe-pos_z)/(20000+Alt_rampe+pos_z)</f>
        <v>1.16677739389053</v>
      </c>
      <c r="W386" s="417" t="n">
        <f aca="false">1/2*Rho*Sref*Cx*vit_xz^2</f>
        <v>124.139225966819</v>
      </c>
      <c r="X386" s="401"/>
      <c r="Y386" s="422" t="str">
        <f aca="false">IF(AND(pos_z&lt;=0,K385&gt;0),"Impact balistique","") &amp; IF(AND(H387&lt;0,vit_z&gt;=0),"Apogée","") &amp; IF(AND(Poussee=0,Q385&gt;0),"Fin de propulsion","") &amp; IF(AND(L387&gt;L_rampe,pos_xz&lt;=L_rampe),"Sortie de rampe","")</f>
        <v/>
      </c>
      <c r="Z386" s="423" t="str">
        <f aca="false">IF(ABS(t-T_para)&lt;pas/2,"Para","")</f>
        <v/>
      </c>
      <c r="AA386" s="424" t="str">
        <f aca="false">IF(ABS(t-T_satellite)&lt;pas/2,"Satellite","")</f>
        <v/>
      </c>
      <c r="AB386" s="412"/>
      <c r="AC386" s="420" t="e">
        <f aca="false">IF(ABS(t-ROUND(t,0))&lt;0.001,t,NA())</f>
        <v>#N/A</v>
      </c>
      <c r="AD386" s="425" t="e">
        <f aca="false">IF(ABS(t-ROUND(t,0))&lt;0.001,pos_x,NA())</f>
        <v>#N/A</v>
      </c>
      <c r="AE386" s="426" t="n">
        <f aca="false">IF(t&lt;T_para, pos_z, NA())</f>
        <v>486.856396069227</v>
      </c>
      <c r="AF386" s="412"/>
      <c r="AG386" s="418" t="n">
        <f aca="false">IF(AND(L385&lt;L_rampe,Poussee&lt;Poids*SIN(M385)),0,(-W385+Poussee)/m-Poids*SIN(M385)/m)</f>
        <v>-26.4123807390984</v>
      </c>
      <c r="AH386" s="417" t="n">
        <f aca="false">IF(AND(L385&lt;L_rampe,Poussee&lt;Poids*SIN(M385)), g*SIN(M385), (-W385+Poussee)/m)</f>
        <v>-16.8764640569655</v>
      </c>
    </row>
    <row r="387" customFormat="false" ht="12" hidden="false" customHeight="false" outlineLevel="0" collapsed="false">
      <c r="A387" s="416" t="n">
        <f aca="false">IF(B386+0.01&lt;=T_ini+ROUNDUP(Temps_fin_propu,0), 0.01, IF(K386&gt;0, 0.1, 0.0001))</f>
        <v>0.01</v>
      </c>
      <c r="B387" s="417" t="n">
        <f aca="false">B386+pas</f>
        <v>3.82999999999996</v>
      </c>
      <c r="C387" s="401"/>
      <c r="D387" s="418" t="n">
        <f aca="false">IF(AND(L386&lt;L_rampe,Poussee&lt;Poids*SIN(M386)),0,(-W386+Poussee)/m*COS(M386)-U386/m*SIN(M386))</f>
        <v>-3.95148113557085</v>
      </c>
      <c r="E387" s="419" t="n">
        <f aca="false">IF(AND(L386&lt;L_rampe,Poussee&lt;Poids*SIN(M386)),0,(-W386+Poussee)/m*SIN(M386)+U386/m*COS(M386)-Poids/m)</f>
        <v>-26.1650108634681</v>
      </c>
      <c r="F387" s="417" t="n">
        <f aca="false">SQRT(acc_x^2+acc_z^2)</f>
        <v>26.4617081204177</v>
      </c>
      <c r="G387" s="418" t="n">
        <f aca="false">G386+acc_x*pas</f>
        <v>43.6454699057732</v>
      </c>
      <c r="H387" s="419" t="n">
        <f aca="false">H386+acc_z*pas</f>
        <v>180.5486271283</v>
      </c>
      <c r="I387" s="417" t="n">
        <f aca="false">SQRT(vit_x^2+vit_z^2)</f>
        <v>185.749115209763</v>
      </c>
      <c r="J387" s="418" t="n">
        <f aca="false">J386+0.5*(vit_x+G386)*pas*(K386&gt;=0)</f>
        <v>108.787622392433</v>
      </c>
      <c r="K387" s="419" t="n">
        <f aca="false">K386+0.5*(vit_z+H386)*pas</f>
        <v>488.663190591054</v>
      </c>
      <c r="L387" s="417" t="n">
        <f aca="false">SQRT(pos_x^2+pos_z^2)</f>
        <v>500.626068662457</v>
      </c>
      <c r="M387" s="418" t="n">
        <f aca="false">IF(AND(L386&gt;L_rampe,G387&gt;0),ATAN2(G387,H387),$M$4)</f>
        <v>1.33360862124091</v>
      </c>
      <c r="N387" s="417" t="n">
        <f aca="false">DEGREES(Beta)</f>
        <v>76.410145519365</v>
      </c>
      <c r="O387" s="401"/>
      <c r="P387" s="420" t="n">
        <f aca="false">MATCH(t-pas/2-T_ini,CdP_t)</f>
        <v>23</v>
      </c>
      <c r="Q387" s="417" t="n">
        <f aca="false">(INDEX(CdP,2,i_P+1)-INDEX(CdP,2,i_P+0))/(INDEX(CdP,1,i_P+1)-INDEX(CdP,1,i_P+0))*(t-pas/2-T_ini-INDEX(CdP,1,i_P+0))+INDEX(CdP,2,i_P+0)</f>
        <v>0</v>
      </c>
      <c r="R387" s="418" t="n">
        <f aca="false">Poussee/(g*ISP)</f>
        <v>0</v>
      </c>
      <c r="S387" s="419" t="n">
        <f aca="false">S386-Débit*pas</f>
        <v>7.37799999999998</v>
      </c>
      <c r="T387" s="417" t="n">
        <f aca="false">m*g</f>
        <v>72.3781799999998</v>
      </c>
      <c r="U387" s="421" t="n">
        <f aca="false">IF(pos_xz&lt;L_rampe,Poids*COS(Beta),0)</f>
        <v>0</v>
      </c>
      <c r="V387" s="418" t="n">
        <f aca="false">Rho_moyen*(20000-Alt_rampe-pos_z)/(20000+Alt_rampe+pos_z)</f>
        <v>1.16656647479578</v>
      </c>
      <c r="W387" s="417" t="n">
        <f aca="false">1/2*Rho*Sref*Cx*vit_xz^2</f>
        <v>123.765246458587</v>
      </c>
      <c r="X387" s="401"/>
      <c r="Y387" s="422" t="str">
        <f aca="false">IF(AND(pos_z&lt;=0,K386&gt;0),"Impact balistique","") &amp; IF(AND(H388&lt;0,vit_z&gt;=0),"Apogée","") &amp; IF(AND(Poussee=0,Q386&gt;0),"Fin de propulsion","") &amp; IF(AND(L388&gt;L_rampe,pos_xz&lt;=L_rampe),"Sortie de rampe","")</f>
        <v/>
      </c>
      <c r="Z387" s="423" t="str">
        <f aca="false">IF(ABS(t-T_para)&lt;pas/2,"Para","")</f>
        <v/>
      </c>
      <c r="AA387" s="424" t="str">
        <f aca="false">IF(ABS(t-T_satellite)&lt;pas/2,"Satellite","")</f>
        <v/>
      </c>
      <c r="AB387" s="412"/>
      <c r="AC387" s="420" t="e">
        <f aca="false">IF(ABS(t-ROUND(t,0))&lt;0.001,t,NA())</f>
        <v>#N/A</v>
      </c>
      <c r="AD387" s="425" t="e">
        <f aca="false">IF(ABS(t-ROUND(t,0))&lt;0.001,pos_x,NA())</f>
        <v>#N/A</v>
      </c>
      <c r="AE387" s="426" t="n">
        <f aca="false">IF(t&lt;T_para, pos_z, NA())</f>
        <v>488.663190591054</v>
      </c>
      <c r="AF387" s="412"/>
      <c r="AG387" s="418" t="n">
        <f aca="false">IF(AND(L386&lt;L_rampe,Poussee&lt;Poids*SIN(M386)),0,(-W386+Poussee)/m-Poids*SIN(M386)/m)</f>
        <v>-26.3612246638435</v>
      </c>
      <c r="AH387" s="417" t="n">
        <f aca="false">IF(AND(L386&lt;L_rampe,Poussee&lt;Poids*SIN(M386)), g*SIN(M386), (-W386+Poussee)/m)</f>
        <v>-16.825593110168</v>
      </c>
    </row>
    <row r="388" customFormat="false" ht="12" hidden="false" customHeight="false" outlineLevel="0" collapsed="false">
      <c r="A388" s="416" t="n">
        <f aca="false">IF(B387+0.01&lt;=T_ini+ROUNDUP(Temps_fin_propu,0), 0.01, IF(K387&gt;0, 0.1, 0.0001))</f>
        <v>0.01</v>
      </c>
      <c r="B388" s="417" t="n">
        <f aca="false">B387+pas</f>
        <v>3.83999999999996</v>
      </c>
      <c r="C388" s="401"/>
      <c r="D388" s="418" t="n">
        <f aca="false">IF(AND(L387&lt;L_rampe,Poussee&lt;Poids*SIN(M387)),0,(-W387+Poussee)/m*COS(M387)-U387/m*SIN(M387))</f>
        <v>-3.94159937158493</v>
      </c>
      <c r="E388" s="419" t="n">
        <f aca="false">IF(AND(L387&lt;L_rampe,Poussee&lt;Poids*SIN(M387)),0,(-W387+Poussee)/m*SIN(M387)+U387/m*COS(M387)-Poids/m)</f>
        <v>-26.1152513070846</v>
      </c>
      <c r="F388" s="417" t="n">
        <f aca="false">SQRT(acc_x^2+acc_z^2)</f>
        <v>26.4110309612908</v>
      </c>
      <c r="G388" s="418" t="n">
        <f aca="false">G387+acc_x*pas</f>
        <v>43.6060539120573</v>
      </c>
      <c r="H388" s="419" t="n">
        <f aca="false">H387+acc_z*pas</f>
        <v>180.287474615229</v>
      </c>
      <c r="I388" s="417" t="n">
        <f aca="false">SQRT(vit_x^2+vit_z^2)</f>
        <v>185.486014138312</v>
      </c>
      <c r="J388" s="418" t="n">
        <f aca="false">J387+0.5*(vit_x+G387)*pas*(K387&gt;=0)</f>
        <v>109.223880011522</v>
      </c>
      <c r="K388" s="419" t="n">
        <f aca="false">K387+0.5*(vit_z+H387)*pas</f>
        <v>490.467371099771</v>
      </c>
      <c r="L388" s="417" t="n">
        <f aca="false">SQRT(pos_x^2+pos_z^2)</f>
        <v>502.48193806175</v>
      </c>
      <c r="M388" s="418" t="n">
        <f aca="false">IF(AND(L387&gt;L_rampe,G388&gt;0),ATAN2(G388,H388),$M$4)</f>
        <v>1.33348435010744</v>
      </c>
      <c r="N388" s="417" t="n">
        <f aca="false">DEGREES(Beta)</f>
        <v>76.4030253079017</v>
      </c>
      <c r="O388" s="401"/>
      <c r="P388" s="420" t="n">
        <f aca="false">MATCH(t-pas/2-T_ini,CdP_t)</f>
        <v>23</v>
      </c>
      <c r="Q388" s="417" t="n">
        <f aca="false">(INDEX(CdP,2,i_P+1)-INDEX(CdP,2,i_P+0))/(INDEX(CdP,1,i_P+1)-INDEX(CdP,1,i_P+0))*(t-pas/2-T_ini-INDEX(CdP,1,i_P+0))+INDEX(CdP,2,i_P+0)</f>
        <v>0</v>
      </c>
      <c r="R388" s="418" t="n">
        <f aca="false">Poussee/(g*ISP)</f>
        <v>0</v>
      </c>
      <c r="S388" s="419" t="n">
        <f aca="false">S387-Débit*pas</f>
        <v>7.37799999999998</v>
      </c>
      <c r="T388" s="417" t="n">
        <f aca="false">m*g</f>
        <v>72.3781799999998</v>
      </c>
      <c r="U388" s="421" t="n">
        <f aca="false">IF(pos_xz&lt;L_rampe,Poids*COS(Beta),0)</f>
        <v>0</v>
      </c>
      <c r="V388" s="418" t="n">
        <f aca="false">Rho_moyen*(20000-Alt_rampe-pos_z)/(20000+Alt_rampe+pos_z)</f>
        <v>1.16635589796799</v>
      </c>
      <c r="W388" s="417" t="n">
        <f aca="false">1/2*Rho*Sref*Cx*vit_xz^2</f>
        <v>123.392606936099</v>
      </c>
      <c r="X388" s="401"/>
      <c r="Y388" s="422" t="str">
        <f aca="false">IF(AND(pos_z&lt;=0,K387&gt;0),"Impact balistique","") &amp; IF(AND(H389&lt;0,vit_z&gt;=0),"Apogée","") &amp; IF(AND(Poussee=0,Q387&gt;0),"Fin de propulsion","") &amp; IF(AND(L389&gt;L_rampe,pos_xz&lt;=L_rampe),"Sortie de rampe","")</f>
        <v/>
      </c>
      <c r="Z388" s="423" t="str">
        <f aca="false">IF(ABS(t-T_para)&lt;pas/2,"Para","")</f>
        <v/>
      </c>
      <c r="AA388" s="424" t="str">
        <f aca="false">IF(ABS(t-T_satellite)&lt;pas/2,"Satellite","")</f>
        <v/>
      </c>
      <c r="AB388" s="412"/>
      <c r="AC388" s="420" t="e">
        <f aca="false">IF(ABS(t-ROUND(t,0))&lt;0.001,t,NA())</f>
        <v>#N/A</v>
      </c>
      <c r="AD388" s="425" t="e">
        <f aca="false">IF(ABS(t-ROUND(t,0))&lt;0.001,pos_x,NA())</f>
        <v>#N/A</v>
      </c>
      <c r="AE388" s="426" t="n">
        <f aca="false">IF(t&lt;T_para, pos_z, NA())</f>
        <v>490.467371099771</v>
      </c>
      <c r="AF388" s="412"/>
      <c r="AG388" s="418" t="n">
        <f aca="false">IF(AND(L387&lt;L_rampe,Poussee&lt;Poids*SIN(M387)),0,(-W387+Poussee)/m-Poids*SIN(M387)/m)</f>
        <v>-26.310250370985</v>
      </c>
      <c r="AH388" s="417" t="n">
        <f aca="false">IF(AND(L387&lt;L_rampe,Poussee&lt;Poids*SIN(M387)), g*SIN(M387), (-W387+Poussee)/m)</f>
        <v>-16.7749046433433</v>
      </c>
    </row>
    <row r="389" customFormat="false" ht="12" hidden="false" customHeight="false" outlineLevel="0" collapsed="false">
      <c r="A389" s="416" t="n">
        <f aca="false">IF(B388+0.01&lt;=T_ini+ROUNDUP(Temps_fin_propu,0), 0.01, IF(K388&gt;0, 0.1, 0.0001))</f>
        <v>0.01</v>
      </c>
      <c r="B389" s="417" t="n">
        <f aca="false">B388+pas</f>
        <v>3.84999999999996</v>
      </c>
      <c r="C389" s="401"/>
      <c r="D389" s="418" t="n">
        <f aca="false">IF(AND(L388&lt;L_rampe,Poussee&lt;Poids*SIN(M388)),0,(-W388+Poussee)/m*COS(M388)-U388/m*SIN(M388))</f>
        <v>-3.93175191838872</v>
      </c>
      <c r="E389" s="419" t="n">
        <f aca="false">IF(AND(L388&lt;L_rampe,Poussee&lt;Poids*SIN(M388)),0,(-W388+Poussee)/m*SIN(M388)+U388/m*COS(M388)-Poids/m)</f>
        <v>-26.0656700408951</v>
      </c>
      <c r="F389" s="417" t="n">
        <f aca="false">SQRT(acc_x^2+acc_z^2)</f>
        <v>26.3605354237839</v>
      </c>
      <c r="G389" s="418" t="n">
        <f aca="false">G388+acc_x*pas</f>
        <v>43.5667363928734</v>
      </c>
      <c r="H389" s="419" t="n">
        <f aca="false">H388+acc_z*pas</f>
        <v>180.02681791482</v>
      </c>
      <c r="I389" s="417" t="n">
        <f aca="false">SQRT(vit_x^2+vit_z^2)</f>
        <v>185.2234210041</v>
      </c>
      <c r="J389" s="418" t="n">
        <f aca="false">J388+0.5*(vit_x+G388)*pas*(K388&gt;=0)</f>
        <v>109.659743963047</v>
      </c>
      <c r="K389" s="419" t="n">
        <f aca="false">K388+0.5*(vit_z+H388)*pas</f>
        <v>492.268942562421</v>
      </c>
      <c r="L389" s="417" t="n">
        <f aca="false">SQRT(pos_x^2+pos_z^2)</f>
        <v>504.335177493664</v>
      </c>
      <c r="M389" s="418" t="n">
        <f aca="false">IF(AND(L388&gt;L_rampe,G389&gt;0),ATAN2(G389,H389),$M$4)</f>
        <v>1.3333598388194</v>
      </c>
      <c r="N389" s="417" t="n">
        <f aca="false">DEGREES(Beta)</f>
        <v>76.3958913365951</v>
      </c>
      <c r="O389" s="401"/>
      <c r="P389" s="420" t="n">
        <f aca="false">MATCH(t-pas/2-T_ini,CdP_t)</f>
        <v>23</v>
      </c>
      <c r="Q389" s="417" t="n">
        <f aca="false">(INDEX(CdP,2,i_P+1)-INDEX(CdP,2,i_P+0))/(INDEX(CdP,1,i_P+1)-INDEX(CdP,1,i_P+0))*(t-pas/2-T_ini-INDEX(CdP,1,i_P+0))+INDEX(CdP,2,i_P+0)</f>
        <v>0</v>
      </c>
      <c r="R389" s="418" t="n">
        <f aca="false">Poussee/(g*ISP)</f>
        <v>0</v>
      </c>
      <c r="S389" s="419" t="n">
        <f aca="false">S388-Débit*pas</f>
        <v>7.37799999999998</v>
      </c>
      <c r="T389" s="417" t="n">
        <f aca="false">m*g</f>
        <v>72.3781799999998</v>
      </c>
      <c r="U389" s="421" t="n">
        <f aca="false">IF(pos_xz&lt;L_rampe,Poids*COS(Beta),0)</f>
        <v>0</v>
      </c>
      <c r="V389" s="418" t="n">
        <f aca="false">Rho_moyen*(20000-Alt_rampe-pos_z)/(20000+Alt_rampe+pos_z)</f>
        <v>1.16614566265657</v>
      </c>
      <c r="W389" s="417" t="n">
        <f aca="false">1/2*Rho*Sref*Cx*vit_xz^2</f>
        <v>123.021301085766</v>
      </c>
      <c r="X389" s="401"/>
      <c r="Y389" s="422" t="str">
        <f aca="false">IF(AND(pos_z&lt;=0,K388&gt;0),"Impact balistique","") &amp; IF(AND(H390&lt;0,vit_z&gt;=0),"Apogée","") &amp; IF(AND(Poussee=0,Q388&gt;0),"Fin de propulsion","") &amp; IF(AND(L390&gt;L_rampe,pos_xz&lt;=L_rampe),"Sortie de rampe","")</f>
        <v/>
      </c>
      <c r="Z389" s="423" t="str">
        <f aca="false">IF(ABS(t-T_para)&lt;pas/2,"Para","")</f>
        <v/>
      </c>
      <c r="AA389" s="424" t="str">
        <f aca="false">IF(ABS(t-T_satellite)&lt;pas/2,"Satellite","")</f>
        <v/>
      </c>
      <c r="AB389" s="412"/>
      <c r="AC389" s="420" t="e">
        <f aca="false">IF(ABS(t-ROUND(t,0))&lt;0.001,t,NA())</f>
        <v>#N/A</v>
      </c>
      <c r="AD389" s="425" t="e">
        <f aca="false">IF(ABS(t-ROUND(t,0))&lt;0.001,pos_x,NA())</f>
        <v>#N/A</v>
      </c>
      <c r="AE389" s="426" t="n">
        <f aca="false">IF(t&lt;T_para, pos_z, NA())</f>
        <v>492.268942562421</v>
      </c>
      <c r="AF389" s="412"/>
      <c r="AG389" s="418" t="n">
        <f aca="false">IF(AND(L388&lt;L_rampe,Poussee&lt;Poids*SIN(M388)),0,(-W388+Poussee)/m-Poids*SIN(M388)/m)</f>
        <v>-26.2594569977492</v>
      </c>
      <c r="AH389" s="417" t="n">
        <f aca="false">IF(AND(L388&lt;L_rampe,Poussee&lt;Poids*SIN(M388)), g*SIN(M388), (-W388+Poussee)/m)</f>
        <v>-16.724397795622</v>
      </c>
    </row>
    <row r="390" customFormat="false" ht="12" hidden="false" customHeight="false" outlineLevel="0" collapsed="false">
      <c r="A390" s="416" t="n">
        <f aca="false">IF(B389+0.01&lt;=T_ini+ROUNDUP(Temps_fin_propu,0), 0.01, IF(K389&gt;0, 0.1, 0.0001))</f>
        <v>0.01</v>
      </c>
      <c r="B390" s="417" t="n">
        <f aca="false">B389+pas</f>
        <v>3.85999999999996</v>
      </c>
      <c r="C390" s="401"/>
      <c r="D390" s="418" t="n">
        <f aca="false">IF(AND(L389&lt;L_rampe,Poussee&lt;Poids*SIN(M389)),0,(-W389+Poussee)/m*COS(M389)-U389/m*SIN(M389))</f>
        <v>-3.92193861285385</v>
      </c>
      <c r="E390" s="419" t="n">
        <f aca="false">IF(AND(L389&lt;L_rampe,Poussee&lt;Poids*SIN(M389)),0,(-W389+Poussee)/m*SIN(M389)+U389/m*COS(M389)-Poids/m)</f>
        <v>-26.0162662248173</v>
      </c>
      <c r="F390" s="417" t="n">
        <f aca="false">SQRT(acc_x^2+acc_z^2)</f>
        <v>26.3102206521261</v>
      </c>
      <c r="G390" s="418" t="n">
        <f aca="false">G389+acc_x*pas</f>
        <v>43.5275170067449</v>
      </c>
      <c r="H390" s="419" t="n">
        <f aca="false">H389+acc_z*pas</f>
        <v>179.766655252572</v>
      </c>
      <c r="I390" s="417" t="n">
        <f aca="false">SQRT(vit_x^2+vit_z^2)</f>
        <v>184.961334006515</v>
      </c>
      <c r="J390" s="418" t="n">
        <f aca="false">J389+0.5*(vit_x+G389)*pas*(K389&gt;=0)</f>
        <v>110.095215230045</v>
      </c>
      <c r="K390" s="419" t="n">
        <f aca="false">K389+0.5*(vit_z+H389)*pas</f>
        <v>494.067909928258</v>
      </c>
      <c r="L390" s="417" t="n">
        <f aca="false">SQRT(pos_x^2+pos_z^2)</f>
        <v>506.18579201458</v>
      </c>
      <c r="M390" s="418" t="n">
        <f aca="false">IF(AND(L389&gt;L_rampe,G390&gt;0),ATAN2(G390,H390),$M$4)</f>
        <v>1.33323508691438</v>
      </c>
      <c r="N390" s="417" t="n">
        <f aca="false">DEGREES(Beta)</f>
        <v>76.3887435789516</v>
      </c>
      <c r="O390" s="401"/>
      <c r="P390" s="420" t="n">
        <f aca="false">MATCH(t-pas/2-T_ini,CdP_t)</f>
        <v>23</v>
      </c>
      <c r="Q390" s="417" t="n">
        <f aca="false">(INDEX(CdP,2,i_P+1)-INDEX(CdP,2,i_P+0))/(INDEX(CdP,1,i_P+1)-INDEX(CdP,1,i_P+0))*(t-pas/2-T_ini-INDEX(CdP,1,i_P+0))+INDEX(CdP,2,i_P+0)</f>
        <v>0</v>
      </c>
      <c r="R390" s="418" t="n">
        <f aca="false">Poussee/(g*ISP)</f>
        <v>0</v>
      </c>
      <c r="S390" s="419" t="n">
        <f aca="false">S389-Débit*pas</f>
        <v>7.37799999999998</v>
      </c>
      <c r="T390" s="417" t="n">
        <f aca="false">m*g</f>
        <v>72.3781799999998</v>
      </c>
      <c r="U390" s="421" t="n">
        <f aca="false">IF(pos_xz&lt;L_rampe,Poids*COS(Beta),0)</f>
        <v>0</v>
      </c>
      <c r="V390" s="418" t="n">
        <f aca="false">Rho_moyen*(20000-Alt_rampe-pos_z)/(20000+Alt_rampe+pos_z)</f>
        <v>1.16593576811377</v>
      </c>
      <c r="W390" s="417" t="n">
        <f aca="false">1/2*Rho*Sref*Cx*vit_xz^2</f>
        <v>122.651322631632</v>
      </c>
      <c r="X390" s="401"/>
      <c r="Y390" s="422" t="str">
        <f aca="false">IF(AND(pos_z&lt;=0,K389&gt;0),"Impact balistique","") &amp; IF(AND(H391&lt;0,vit_z&gt;=0),"Apogée","") &amp; IF(AND(Poussee=0,Q389&gt;0),"Fin de propulsion","") &amp; IF(AND(L391&gt;L_rampe,pos_xz&lt;=L_rampe),"Sortie de rampe","")</f>
        <v/>
      </c>
      <c r="Z390" s="423" t="str">
        <f aca="false">IF(ABS(t-T_para)&lt;pas/2,"Para","")</f>
        <v/>
      </c>
      <c r="AA390" s="424" t="str">
        <f aca="false">IF(ABS(t-T_satellite)&lt;pas/2,"Satellite","")</f>
        <v/>
      </c>
      <c r="AB390" s="412"/>
      <c r="AC390" s="420" t="e">
        <f aca="false">IF(ABS(t-ROUND(t,0))&lt;0.001,t,NA())</f>
        <v>#N/A</v>
      </c>
      <c r="AD390" s="425" t="e">
        <f aca="false">IF(ABS(t-ROUND(t,0))&lt;0.001,pos_x,NA())</f>
        <v>#N/A</v>
      </c>
      <c r="AE390" s="426" t="n">
        <f aca="false">IF(t&lt;T_para, pos_z, NA())</f>
        <v>494.067909928258</v>
      </c>
      <c r="AF390" s="412"/>
      <c r="AG390" s="418" t="n">
        <f aca="false">IF(AND(L389&lt;L_rampe,Poussee&lt;Poids*SIN(M389)),0,(-W389+Poussee)/m-Poids*SIN(M389)/m)</f>
        <v>-26.2088436864929</v>
      </c>
      <c r="AH390" s="417" t="n">
        <f aca="false">IF(AND(L389&lt;L_rampe,Poussee&lt;Poids*SIN(M389)), g*SIN(M389), (-W389+Poussee)/m)</f>
        <v>-16.6740717112722</v>
      </c>
    </row>
    <row r="391" customFormat="false" ht="12" hidden="false" customHeight="false" outlineLevel="0" collapsed="false">
      <c r="A391" s="416" t="n">
        <f aca="false">IF(B390+0.01&lt;=T_ini+ROUNDUP(Temps_fin_propu,0), 0.01, IF(K390&gt;0, 0.1, 0.0001))</f>
        <v>0.01</v>
      </c>
      <c r="B391" s="417" t="n">
        <f aca="false">B390+pas</f>
        <v>3.86999999999996</v>
      </c>
      <c r="C391" s="401"/>
      <c r="D391" s="418" t="n">
        <f aca="false">IF(AND(L390&lt;L_rampe,Poussee&lt;Poids*SIN(M390)),0,(-W390+Poussee)/m*COS(M390)-U390/m*SIN(M390))</f>
        <v>-3.91215929282305</v>
      </c>
      <c r="E391" s="419" t="n">
        <f aca="false">IF(AND(L390&lt;L_rampe,Poussee&lt;Poids*SIN(M390)),0,(-W390+Poussee)/m*SIN(M390)+U390/m*COS(M390)-Poids/m)</f>
        <v>-25.9670390237764</v>
      </c>
      <c r="F391" s="417" t="n">
        <f aca="false">SQRT(acc_x^2+acc_z^2)</f>
        <v>26.2600857956471</v>
      </c>
      <c r="G391" s="418" t="n">
        <f aca="false">G390+acc_x*pas</f>
        <v>43.4883954138167</v>
      </c>
      <c r="H391" s="419" t="n">
        <f aca="false">H390+acc_z*pas</f>
        <v>179.506984862334</v>
      </c>
      <c r="I391" s="417" t="n">
        <f aca="false">SQRT(vit_x^2+vit_z^2)</f>
        <v>184.699751353473</v>
      </c>
      <c r="J391" s="418" t="n">
        <f aca="false">J390+0.5*(vit_x+G390)*pas*(K390&gt;=0)</f>
        <v>110.530294792148</v>
      </c>
      <c r="K391" s="419" t="n">
        <f aca="false">K390+0.5*(vit_z+H390)*pas</f>
        <v>495.864278128833</v>
      </c>
      <c r="L391" s="417" t="n">
        <f aca="false">SQRT(pos_x^2+pos_z^2)</f>
        <v>508.033786662922</v>
      </c>
      <c r="M391" s="418" t="n">
        <f aca="false">IF(AND(L390&gt;L_rampe,G391&gt;0),ATAN2(G391,H391),$M$4)</f>
        <v>1.33311009392856</v>
      </c>
      <c r="N391" s="417" t="n">
        <f aca="false">DEGREES(Beta)</f>
        <v>76.3815820083954</v>
      </c>
      <c r="O391" s="401"/>
      <c r="P391" s="420" t="n">
        <f aca="false">MATCH(t-pas/2-T_ini,CdP_t)</f>
        <v>23</v>
      </c>
      <c r="Q391" s="417" t="n">
        <f aca="false">(INDEX(CdP,2,i_P+1)-INDEX(CdP,2,i_P+0))/(INDEX(CdP,1,i_P+1)-INDEX(CdP,1,i_P+0))*(t-pas/2-T_ini-INDEX(CdP,1,i_P+0))+INDEX(CdP,2,i_P+0)</f>
        <v>0</v>
      </c>
      <c r="R391" s="418" t="n">
        <f aca="false">Poussee/(g*ISP)</f>
        <v>0</v>
      </c>
      <c r="S391" s="419" t="n">
        <f aca="false">S390-Débit*pas</f>
        <v>7.37799999999998</v>
      </c>
      <c r="T391" s="417" t="n">
        <f aca="false">m*g</f>
        <v>72.3781799999998</v>
      </c>
      <c r="U391" s="421" t="n">
        <f aca="false">IF(pos_xz&lt;L_rampe,Poids*COS(Beta),0)</f>
        <v>0</v>
      </c>
      <c r="V391" s="418" t="n">
        <f aca="false">Rho_moyen*(20000-Alt_rampe-pos_z)/(20000+Alt_rampe+pos_z)</f>
        <v>1.16572621359461</v>
      </c>
      <c r="W391" s="417" t="n">
        <f aca="false">1/2*Rho*Sref*Cx*vit_xz^2</f>
        <v>122.282665335106</v>
      </c>
      <c r="X391" s="401"/>
      <c r="Y391" s="422" t="str">
        <f aca="false">IF(AND(pos_z&lt;=0,K390&gt;0),"Impact balistique","") &amp; IF(AND(H392&lt;0,vit_z&gt;=0),"Apogée","") &amp; IF(AND(Poussee=0,Q390&gt;0),"Fin de propulsion","") &amp; IF(AND(L392&gt;L_rampe,pos_xz&lt;=L_rampe),"Sortie de rampe","")</f>
        <v/>
      </c>
      <c r="Z391" s="423" t="str">
        <f aca="false">IF(ABS(t-T_para)&lt;pas/2,"Para","")</f>
        <v/>
      </c>
      <c r="AA391" s="424" t="str">
        <f aca="false">IF(ABS(t-T_satellite)&lt;pas/2,"Satellite","")</f>
        <v/>
      </c>
      <c r="AB391" s="412"/>
      <c r="AC391" s="420" t="e">
        <f aca="false">IF(ABS(t-ROUND(t,0))&lt;0.001,t,NA())</f>
        <v>#N/A</v>
      </c>
      <c r="AD391" s="425" t="e">
        <f aca="false">IF(ABS(t-ROUND(t,0))&lt;0.001,pos_x,NA())</f>
        <v>#N/A</v>
      </c>
      <c r="AE391" s="426" t="n">
        <f aca="false">IF(t&lt;T_para, pos_z, NA())</f>
        <v>495.864278128833</v>
      </c>
      <c r="AF391" s="412"/>
      <c r="AG391" s="418" t="n">
        <f aca="false">IF(AND(L390&lt;L_rampe,Poussee&lt;Poids*SIN(M390)),0,(-W390+Poussee)/m-Poids*SIN(M390)/m)</f>
        <v>-26.1584095846667</v>
      </c>
      <c r="AH391" s="417" t="n">
        <f aca="false">IF(AND(L390&lt;L_rampe,Poussee&lt;Poids*SIN(M390)), g*SIN(M390), (-W390+Poussee)/m)</f>
        <v>-16.6239255396629</v>
      </c>
    </row>
    <row r="392" customFormat="false" ht="12" hidden="false" customHeight="false" outlineLevel="0" collapsed="false">
      <c r="A392" s="416" t="n">
        <f aca="false">IF(B391+0.01&lt;=T_ini+ROUNDUP(Temps_fin_propu,0), 0.01, IF(K391&gt;0, 0.1, 0.0001))</f>
        <v>0.01</v>
      </c>
      <c r="B392" s="417" t="n">
        <f aca="false">B391+pas</f>
        <v>3.87999999999996</v>
      </c>
      <c r="C392" s="401"/>
      <c r="D392" s="418" t="n">
        <f aca="false">IF(AND(L391&lt;L_rampe,Poussee&lt;Poids*SIN(M391)),0,(-W391+Poussee)/m*COS(M391)-U391/m*SIN(M391))</f>
        <v>-3.90241379710319</v>
      </c>
      <c r="E392" s="419" t="n">
        <f aca="false">IF(AND(L391&lt;L_rampe,Poussee&lt;Poids*SIN(M391)),0,(-W391+Poussee)/m*SIN(M391)+U391/m*COS(M391)-Poids/m)</f>
        <v>-25.917987607669</v>
      </c>
      <c r="F392" s="417" t="n">
        <f aca="false">SQRT(acc_x^2+acc_z^2)</f>
        <v>26.2101300087409</v>
      </c>
      <c r="G392" s="418" t="n">
        <f aca="false">G391+acc_x*pas</f>
        <v>43.4493712758456</v>
      </c>
      <c r="H392" s="419" t="n">
        <f aca="false">H391+acc_z*pas</f>
        <v>179.247804986258</v>
      </c>
      <c r="I392" s="417" t="n">
        <f aca="false">SQRT(vit_x^2+vit_z^2)</f>
        <v>184.438671261365</v>
      </c>
      <c r="J392" s="418" t="n">
        <f aca="false">J391+0.5*(vit_x+G391)*pas*(K391&gt;=0)</f>
        <v>110.964983625596</v>
      </c>
      <c r="K392" s="419" t="n">
        <f aca="false">K391+0.5*(vit_z+H391)*pas</f>
        <v>497.658052078076</v>
      </c>
      <c r="L392" s="417" t="n">
        <f aca="false">SQRT(pos_x^2+pos_z^2)</f>
        <v>509.879166459244</v>
      </c>
      <c r="M392" s="418" t="n">
        <f aca="false">IF(AND(L391&gt;L_rampe,G392&gt;0),ATAN2(G392,H392),$M$4)</f>
        <v>1.33298485939667</v>
      </c>
      <c r="N392" s="417" t="n">
        <f aca="false">DEGREES(Beta)</f>
        <v>76.3744065982688</v>
      </c>
      <c r="O392" s="401"/>
      <c r="P392" s="420" t="n">
        <f aca="false">MATCH(t-pas/2-T_ini,CdP_t)</f>
        <v>23</v>
      </c>
      <c r="Q392" s="417" t="n">
        <f aca="false">(INDEX(CdP,2,i_P+1)-INDEX(CdP,2,i_P+0))/(INDEX(CdP,1,i_P+1)-INDEX(CdP,1,i_P+0))*(t-pas/2-T_ini-INDEX(CdP,1,i_P+0))+INDEX(CdP,2,i_P+0)</f>
        <v>0</v>
      </c>
      <c r="R392" s="418" t="n">
        <f aca="false">Poussee/(g*ISP)</f>
        <v>0</v>
      </c>
      <c r="S392" s="419" t="n">
        <f aca="false">S391-Débit*pas</f>
        <v>7.37799999999998</v>
      </c>
      <c r="T392" s="417" t="n">
        <f aca="false">m*g</f>
        <v>72.3781799999998</v>
      </c>
      <c r="U392" s="421" t="n">
        <f aca="false">IF(pos_xz&lt;L_rampe,Poids*COS(Beta),0)</f>
        <v>0</v>
      </c>
      <c r="V392" s="418" t="n">
        <f aca="false">Rho_moyen*(20000-Alt_rampe-pos_z)/(20000+Alt_rampe+pos_z)</f>
        <v>1.16551699835691</v>
      </c>
      <c r="W392" s="417" t="n">
        <f aca="false">1/2*Rho*Sref*Cx*vit_xz^2</f>
        <v>121.91532299469</v>
      </c>
      <c r="X392" s="401"/>
      <c r="Y392" s="422" t="str">
        <f aca="false">IF(AND(pos_z&lt;=0,K391&gt;0),"Impact balistique","") &amp; IF(AND(H393&lt;0,vit_z&gt;=0),"Apogée","") &amp; IF(AND(Poussee=0,Q391&gt;0),"Fin de propulsion","") &amp; IF(AND(L393&gt;L_rampe,pos_xz&lt;=L_rampe),"Sortie de rampe","")</f>
        <v/>
      </c>
      <c r="Z392" s="423" t="str">
        <f aca="false">IF(ABS(t-T_para)&lt;pas/2,"Para","")</f>
        <v/>
      </c>
      <c r="AA392" s="424" t="str">
        <f aca="false">IF(ABS(t-T_satellite)&lt;pas/2,"Satellite","")</f>
        <v/>
      </c>
      <c r="AB392" s="412"/>
      <c r="AC392" s="420" t="e">
        <f aca="false">IF(ABS(t-ROUND(t,0))&lt;0.001,t,NA())</f>
        <v>#N/A</v>
      </c>
      <c r="AD392" s="425" t="e">
        <f aca="false">IF(ABS(t-ROUND(t,0))&lt;0.001,pos_x,NA())</f>
        <v>#N/A</v>
      </c>
      <c r="AE392" s="426" t="n">
        <f aca="false">IF(t&lt;T_para, pos_z, NA())</f>
        <v>497.658052078076</v>
      </c>
      <c r="AF392" s="412"/>
      <c r="AG392" s="418" t="n">
        <f aca="false">IF(AND(L391&lt;L_rampe,Poussee&lt;Poids*SIN(M391)),0,(-W391+Poussee)/m-Poids*SIN(M391)/m)</f>
        <v>-26.1081538447782</v>
      </c>
      <c r="AH392" s="417" t="n">
        <f aca="false">IF(AND(L391&lt;L_rampe,Poussee&lt;Poids*SIN(M391)), g*SIN(M391), (-W391+Poussee)/m)</f>
        <v>-16.5739584352272</v>
      </c>
    </row>
    <row r="393" customFormat="false" ht="12" hidden="false" customHeight="false" outlineLevel="0" collapsed="false">
      <c r="A393" s="416" t="n">
        <f aca="false">IF(B392+0.01&lt;=T_ini+ROUNDUP(Temps_fin_propu,0), 0.01, IF(K392&gt;0, 0.1, 0.0001))</f>
        <v>0.01</v>
      </c>
      <c r="B393" s="417" t="n">
        <f aca="false">B392+pas</f>
        <v>3.88999999999996</v>
      </c>
      <c r="C393" s="401"/>
      <c r="D393" s="418" t="n">
        <f aca="false">IF(AND(L392&lt;L_rampe,Poussee&lt;Poids*SIN(M392)),0,(-W392+Poussee)/m*COS(M392)-U392/m*SIN(M392))</f>
        <v>-3.89270196545833</v>
      </c>
      <c r="E393" s="419" t="n">
        <f aca="false">IF(AND(L392&lt;L_rampe,Poussee&lt;Poids*SIN(M392)),0,(-W392+Poussee)/m*SIN(M392)+U392/m*COS(M392)-Poids/m)</f>
        <v>-25.8691111513274</v>
      </c>
      <c r="F393" s="417" t="n">
        <f aca="false">SQRT(acc_x^2+acc_z^2)</f>
        <v>26.1603524508294</v>
      </c>
      <c r="G393" s="418" t="n">
        <f aca="false">G392+acc_x*pas</f>
        <v>43.410444256191</v>
      </c>
      <c r="H393" s="419" t="n">
        <f aca="false">H392+acc_z*pas</f>
        <v>178.989113874744</v>
      </c>
      <c r="I393" s="417" t="n">
        <f aca="false">SQRT(vit_x^2+vit_z^2)</f>
        <v>184.178091955004</v>
      </c>
      <c r="J393" s="418" t="n">
        <f aca="false">J392+0.5*(vit_x+G392)*pas*(K392&gt;=0)</f>
        <v>111.399282703256</v>
      </c>
      <c r="K393" s="419" t="n">
        <f aca="false">K392+0.5*(vit_z+H392)*pas</f>
        <v>499.449236672381</v>
      </c>
      <c r="L393" s="417" t="n">
        <f aca="false">SQRT(pos_x^2+pos_z^2)</f>
        <v>511.721936406311</v>
      </c>
      <c r="M393" s="418" t="n">
        <f aca="false">IF(AND(L392&gt;L_rampe,G393&gt;0),ATAN2(G393,H393),$M$4)</f>
        <v>1.33285938285201</v>
      </c>
      <c r="N393" s="417" t="n">
        <f aca="false">DEGREES(Beta)</f>
        <v>76.3672173218315</v>
      </c>
      <c r="O393" s="401"/>
      <c r="P393" s="420" t="n">
        <f aca="false">MATCH(t-pas/2-T_ini,CdP_t)</f>
        <v>23</v>
      </c>
      <c r="Q393" s="417" t="n">
        <f aca="false">(INDEX(CdP,2,i_P+1)-INDEX(CdP,2,i_P+0))/(INDEX(CdP,1,i_P+1)-INDEX(CdP,1,i_P+0))*(t-pas/2-T_ini-INDEX(CdP,1,i_P+0))+INDEX(CdP,2,i_P+0)</f>
        <v>0</v>
      </c>
      <c r="R393" s="418" t="n">
        <f aca="false">Poussee/(g*ISP)</f>
        <v>0</v>
      </c>
      <c r="S393" s="419" t="n">
        <f aca="false">S392-Débit*pas</f>
        <v>7.37799999999998</v>
      </c>
      <c r="T393" s="417" t="n">
        <f aca="false">m*g</f>
        <v>72.3781799999998</v>
      </c>
      <c r="U393" s="421" t="n">
        <f aca="false">IF(pos_xz&lt;L_rampe,Poids*COS(Beta),0)</f>
        <v>0</v>
      </c>
      <c r="V393" s="418" t="n">
        <f aca="false">Rho_moyen*(20000-Alt_rampe-pos_z)/(20000+Alt_rampe+pos_z)</f>
        <v>1.16530812166123</v>
      </c>
      <c r="W393" s="417" t="n">
        <f aca="false">1/2*Rho*Sref*Cx*vit_xz^2</f>
        <v>121.549289445722</v>
      </c>
      <c r="X393" s="401"/>
      <c r="Y393" s="422" t="str">
        <f aca="false">IF(AND(pos_z&lt;=0,K392&gt;0),"Impact balistique","") &amp; IF(AND(H394&lt;0,vit_z&gt;=0),"Apogée","") &amp; IF(AND(Poussee=0,Q392&gt;0),"Fin de propulsion","") &amp; IF(AND(L394&gt;L_rampe,pos_xz&lt;=L_rampe),"Sortie de rampe","")</f>
        <v/>
      </c>
      <c r="Z393" s="423" t="str">
        <f aca="false">IF(ABS(t-T_para)&lt;pas/2,"Para","")</f>
        <v/>
      </c>
      <c r="AA393" s="424" t="str">
        <f aca="false">IF(ABS(t-T_satellite)&lt;pas/2,"Satellite","")</f>
        <v/>
      </c>
      <c r="AB393" s="412"/>
      <c r="AC393" s="420" t="e">
        <f aca="false">IF(ABS(t-ROUND(t,0))&lt;0.001,t,NA())</f>
        <v>#N/A</v>
      </c>
      <c r="AD393" s="425" t="e">
        <f aca="false">IF(ABS(t-ROUND(t,0))&lt;0.001,pos_x,NA())</f>
        <v>#N/A</v>
      </c>
      <c r="AE393" s="426" t="n">
        <f aca="false">IF(t&lt;T_para, pos_z, NA())</f>
        <v>499.449236672381</v>
      </c>
      <c r="AF393" s="412"/>
      <c r="AG393" s="418" t="n">
        <f aca="false">IF(AND(L392&lt;L_rampe,Poussee&lt;Poids*SIN(M392)),0,(-W392+Poussee)/m-Poids*SIN(M392)/m)</f>
        <v>-26.058075624356</v>
      </c>
      <c r="AH393" s="417" t="n">
        <f aca="false">IF(AND(L392&lt;L_rampe,Poussee&lt;Poids*SIN(M392)), g*SIN(M392), (-W392+Poussee)/m)</f>
        <v>-16.5241695574262</v>
      </c>
    </row>
    <row r="394" customFormat="false" ht="12" hidden="false" customHeight="false" outlineLevel="0" collapsed="false">
      <c r="A394" s="416" t="n">
        <f aca="false">IF(B393+0.01&lt;=T_ini+ROUNDUP(Temps_fin_propu,0), 0.01, IF(K393&gt;0, 0.1, 0.0001))</f>
        <v>0.01</v>
      </c>
      <c r="B394" s="417" t="n">
        <f aca="false">B393+pas</f>
        <v>3.89999999999996</v>
      </c>
      <c r="C394" s="401"/>
      <c r="D394" s="418" t="n">
        <f aca="false">IF(AND(L393&lt;L_rampe,Poussee&lt;Poids*SIN(M393)),0,(-W393+Poussee)/m*COS(M393)-U393/m*SIN(M393))</f>
        <v>-3.88302363860299</v>
      </c>
      <c r="E394" s="419" t="n">
        <f aca="false">IF(AND(L393&lt;L_rampe,Poussee&lt;Poids*SIN(M393)),0,(-W393+Poussee)/m*SIN(M393)+U393/m*COS(M393)-Poids/m)</f>
        <v>-25.8204088344849</v>
      </c>
      <c r="F394" s="417" t="n">
        <f aca="false">SQRT(acc_x^2+acc_z^2)</f>
        <v>26.1107522863263</v>
      </c>
      <c r="G394" s="418" t="n">
        <f aca="false">G393+acc_x*pas</f>
        <v>43.371614019805</v>
      </c>
      <c r="H394" s="419" t="n">
        <f aca="false">H393+acc_z*pas</f>
        <v>178.7309097864</v>
      </c>
      <c r="I394" s="417" t="n">
        <f aca="false">SQRT(vit_x^2+vit_z^2)</f>
        <v>183.918011667583</v>
      </c>
      <c r="J394" s="418" t="n">
        <f aca="false">J393+0.5*(vit_x+G393)*pas*(K393&gt;=0)</f>
        <v>111.833192994636</v>
      </c>
      <c r="K394" s="419" t="n">
        <f aca="false">K393+0.5*(vit_z+H393)*pas</f>
        <v>501.237836790687</v>
      </c>
      <c r="L394" s="417" t="n">
        <f aca="false">SQRT(pos_x^2+pos_z^2)</f>
        <v>513.56210148918</v>
      </c>
      <c r="M394" s="418" t="n">
        <f aca="false">IF(AND(L393&gt;L_rampe,G394&gt;0),ATAN2(G394,H394),$M$4)</f>
        <v>1.33273366382641</v>
      </c>
      <c r="N394" s="417" t="n">
        <f aca="false">DEGREES(Beta)</f>
        <v>76.3600141522604</v>
      </c>
      <c r="O394" s="401"/>
      <c r="P394" s="420" t="n">
        <f aca="false">MATCH(t-pas/2-T_ini,CdP_t)</f>
        <v>23</v>
      </c>
      <c r="Q394" s="417" t="n">
        <f aca="false">(INDEX(CdP,2,i_P+1)-INDEX(CdP,2,i_P+0))/(INDEX(CdP,1,i_P+1)-INDEX(CdP,1,i_P+0))*(t-pas/2-T_ini-INDEX(CdP,1,i_P+0))+INDEX(CdP,2,i_P+0)</f>
        <v>0</v>
      </c>
      <c r="R394" s="418" t="n">
        <f aca="false">Poussee/(g*ISP)</f>
        <v>0</v>
      </c>
      <c r="S394" s="419" t="n">
        <f aca="false">S393-Débit*pas</f>
        <v>7.37799999999998</v>
      </c>
      <c r="T394" s="417" t="n">
        <f aca="false">m*g</f>
        <v>72.3781799999998</v>
      </c>
      <c r="U394" s="421" t="n">
        <f aca="false">IF(pos_xz&lt;L_rampe,Poids*COS(Beta),0)</f>
        <v>0</v>
      </c>
      <c r="V394" s="418" t="n">
        <f aca="false">Rho_moyen*(20000-Alt_rampe-pos_z)/(20000+Alt_rampe+pos_z)</f>
        <v>1.16509958277088</v>
      </c>
      <c r="W394" s="417" t="n">
        <f aca="false">1/2*Rho*Sref*Cx*vit_xz^2</f>
        <v>121.184558560103</v>
      </c>
      <c r="X394" s="401"/>
      <c r="Y394" s="422" t="str">
        <f aca="false">IF(AND(pos_z&lt;=0,K393&gt;0),"Impact balistique","") &amp; IF(AND(H395&lt;0,vit_z&gt;=0),"Apogée","") &amp; IF(AND(Poussee=0,Q393&gt;0),"Fin de propulsion","") &amp; IF(AND(L395&gt;L_rampe,pos_xz&lt;=L_rampe),"Sortie de rampe","")</f>
        <v/>
      </c>
      <c r="Z394" s="423" t="str">
        <f aca="false">IF(ABS(t-T_para)&lt;pas/2,"Para","")</f>
        <v/>
      </c>
      <c r="AA394" s="424" t="str">
        <f aca="false">IF(ABS(t-T_satellite)&lt;pas/2,"Satellite","")</f>
        <v/>
      </c>
      <c r="AB394" s="412"/>
      <c r="AC394" s="420" t="e">
        <f aca="false">IF(ABS(t-ROUND(t,0))&lt;0.001,t,NA())</f>
        <v>#N/A</v>
      </c>
      <c r="AD394" s="425" t="e">
        <f aca="false">IF(ABS(t-ROUND(t,0))&lt;0.001,pos_x,NA())</f>
        <v>#N/A</v>
      </c>
      <c r="AE394" s="426" t="n">
        <f aca="false">IF(t&lt;T_para, pos_z, NA())</f>
        <v>501.237836790687</v>
      </c>
      <c r="AF394" s="412"/>
      <c r="AG394" s="418" t="n">
        <f aca="false">IF(AND(L393&lt;L_rampe,Poussee&lt;Poids*SIN(M393)),0,(-W393+Poussee)/m-Poids*SIN(M393)/m)</f>
        <v>-26.0081740859134</v>
      </c>
      <c r="AH394" s="417" t="n">
        <f aca="false">IF(AND(L393&lt;L_rampe,Poussee&lt;Poids*SIN(M393)), g*SIN(M393), (-W393+Poussee)/m)</f>
        <v>-16.4745580707132</v>
      </c>
    </row>
    <row r="395" customFormat="false" ht="12" hidden="false" customHeight="false" outlineLevel="0" collapsed="false">
      <c r="A395" s="416" t="n">
        <f aca="false">IF(B394+0.01&lt;=T_ini+ROUNDUP(Temps_fin_propu,0), 0.01, IF(K394&gt;0, 0.1, 0.0001))</f>
        <v>0.01</v>
      </c>
      <c r="B395" s="417" t="n">
        <f aca="false">B394+pas</f>
        <v>3.90999999999996</v>
      </c>
      <c r="C395" s="401"/>
      <c r="D395" s="418" t="n">
        <f aca="false">IF(AND(L394&lt;L_rampe,Poussee&lt;Poids*SIN(M394)),0,(-W394+Poussee)/m*COS(M394)-U394/m*SIN(M394))</f>
        <v>-3.87337865819524</v>
      </c>
      <c r="E395" s="419" t="n">
        <f aca="false">IF(AND(L394&lt;L_rampe,Poussee&lt;Poids*SIN(M394)),0,(-W394+Poussee)/m*SIN(M394)+U394/m*COS(M394)-Poids/m)</f>
        <v>-25.7718798417401</v>
      </c>
      <c r="F395" s="417" t="n">
        <f aca="false">SQRT(acc_x^2+acc_z^2)</f>
        <v>26.0613286846019</v>
      </c>
      <c r="G395" s="418" t="n">
        <f aca="false">G394+acc_x*pas</f>
        <v>43.3328802332231</v>
      </c>
      <c r="H395" s="419" t="n">
        <f aca="false">H394+acc_z*pas</f>
        <v>178.473190987982</v>
      </c>
      <c r="I395" s="417" t="n">
        <f aca="false">SQRT(vit_x^2+vit_z^2)</f>
        <v>183.658428640614</v>
      </c>
      <c r="J395" s="418" t="n">
        <f aca="false">J394+0.5*(vit_x+G394)*pas*(K394&gt;=0)</f>
        <v>112.266715465902</v>
      </c>
      <c r="K395" s="419" t="n">
        <f aca="false">K394+0.5*(vit_z+H394)*pas</f>
        <v>503.023857294559</v>
      </c>
      <c r="L395" s="417" t="n">
        <f aca="false">SQRT(pos_x^2+pos_z^2)</f>
        <v>515.399666675288</v>
      </c>
      <c r="M395" s="418" t="n">
        <f aca="false">IF(AND(L394&gt;L_rampe,G395&gt;0),ATAN2(G395,H395),$M$4)</f>
        <v>1.33260770185029</v>
      </c>
      <c r="N395" s="417" t="n">
        <f aca="false">DEGREES(Beta)</f>
        <v>76.3527970626495</v>
      </c>
      <c r="O395" s="401"/>
      <c r="P395" s="420" t="n">
        <f aca="false">MATCH(t-pas/2-T_ini,CdP_t)</f>
        <v>23</v>
      </c>
      <c r="Q395" s="417" t="n">
        <f aca="false">(INDEX(CdP,2,i_P+1)-INDEX(CdP,2,i_P+0))/(INDEX(CdP,1,i_P+1)-INDEX(CdP,1,i_P+0))*(t-pas/2-T_ini-INDEX(CdP,1,i_P+0))+INDEX(CdP,2,i_P+0)</f>
        <v>0</v>
      </c>
      <c r="R395" s="418" t="n">
        <f aca="false">Poussee/(g*ISP)</f>
        <v>0</v>
      </c>
      <c r="S395" s="419" t="n">
        <f aca="false">S394-Débit*pas</f>
        <v>7.37799999999998</v>
      </c>
      <c r="T395" s="417" t="n">
        <f aca="false">m*g</f>
        <v>72.3781799999998</v>
      </c>
      <c r="U395" s="421" t="n">
        <f aca="false">IF(pos_xz&lt;L_rampe,Poids*COS(Beta),0)</f>
        <v>0</v>
      </c>
      <c r="V395" s="418" t="n">
        <f aca="false">Rho_moyen*(20000-Alt_rampe-pos_z)/(20000+Alt_rampe+pos_z)</f>
        <v>1.16489138095193</v>
      </c>
      <c r="W395" s="417" t="n">
        <f aca="false">1/2*Rho*Sref*Cx*vit_xz^2</f>
        <v>120.821124246046</v>
      </c>
      <c r="X395" s="401"/>
      <c r="Y395" s="422" t="str">
        <f aca="false">IF(AND(pos_z&lt;=0,K394&gt;0),"Impact balistique","") &amp; IF(AND(H396&lt;0,vit_z&gt;=0),"Apogée","") &amp; IF(AND(Poussee=0,Q394&gt;0),"Fin de propulsion","") &amp; IF(AND(L396&gt;L_rampe,pos_xz&lt;=L_rampe),"Sortie de rampe","")</f>
        <v/>
      </c>
      <c r="Z395" s="423" t="str">
        <f aca="false">IF(ABS(t-T_para)&lt;pas/2,"Para","")</f>
        <v/>
      </c>
      <c r="AA395" s="424" t="str">
        <f aca="false">IF(ABS(t-T_satellite)&lt;pas/2,"Satellite","")</f>
        <v/>
      </c>
      <c r="AB395" s="412"/>
      <c r="AC395" s="420" t="e">
        <f aca="false">IF(ABS(t-ROUND(t,0))&lt;0.001,t,NA())</f>
        <v>#N/A</v>
      </c>
      <c r="AD395" s="425" t="e">
        <f aca="false">IF(ABS(t-ROUND(t,0))&lt;0.001,pos_x,NA())</f>
        <v>#N/A</v>
      </c>
      <c r="AE395" s="426" t="n">
        <f aca="false">IF(t&lt;T_para, pos_z, NA())</f>
        <v>503.023857294559</v>
      </c>
      <c r="AF395" s="412"/>
      <c r="AG395" s="418" t="n">
        <f aca="false">IF(AND(L394&lt;L_rampe,Poussee&lt;Poids*SIN(M394)),0,(-W394+Poussee)/m-Poids*SIN(M394)/m)</f>
        <v>-25.958448396913</v>
      </c>
      <c r="AH395" s="417" t="n">
        <f aca="false">IF(AND(L394&lt;L_rampe,Poussee&lt;Poids*SIN(M394)), g*SIN(M394), (-W394+Poussee)/m)</f>
        <v>-16.4251231444976</v>
      </c>
    </row>
    <row r="396" customFormat="false" ht="12" hidden="false" customHeight="false" outlineLevel="0" collapsed="false">
      <c r="A396" s="416" t="n">
        <f aca="false">IF(B395+0.01&lt;=T_ini+ROUNDUP(Temps_fin_propu,0), 0.01, IF(K395&gt;0, 0.1, 0.0001))</f>
        <v>0.01</v>
      </c>
      <c r="B396" s="417" t="n">
        <f aca="false">B395+pas</f>
        <v>3.91999999999996</v>
      </c>
      <c r="C396" s="401"/>
      <c r="D396" s="418" t="n">
        <f aca="false">IF(AND(L395&lt;L_rampe,Poussee&lt;Poids*SIN(M395)),0,(-W395+Poussee)/m*COS(M395)-U395/m*SIN(M395))</f>
        <v>-3.86376686683003</v>
      </c>
      <c r="E396" s="419" t="n">
        <f aca="false">IF(AND(L395&lt;L_rampe,Poussee&lt;Poids*SIN(M395)),0,(-W395+Poussee)/m*SIN(M395)+U395/m*COS(M395)-Poids/m)</f>
        <v>-25.7235233625227</v>
      </c>
      <c r="F396" s="417" t="n">
        <f aca="false">SQRT(acc_x^2+acc_z^2)</f>
        <v>26.0120808199472</v>
      </c>
      <c r="G396" s="418" t="n">
        <f aca="false">G395+acc_x*pas</f>
        <v>43.2942425645548</v>
      </c>
      <c r="H396" s="419" t="n">
        <f aca="false">H395+acc_z*pas</f>
        <v>178.215955754357</v>
      </c>
      <c r="I396" s="417" t="n">
        <f aca="false">SQRT(vit_x^2+vit_z^2)</f>
        <v>183.399341123891</v>
      </c>
      <c r="J396" s="418" t="n">
        <f aca="false">J395+0.5*(vit_x+G395)*pas*(K395&gt;=0)</f>
        <v>112.69985107989</v>
      </c>
      <c r="K396" s="419" t="n">
        <f aca="false">K395+0.5*(vit_z+H395)*pas</f>
        <v>504.80730302827</v>
      </c>
      <c r="L396" s="417" t="n">
        <f aca="false">SQRT(pos_x^2+pos_z^2)</f>
        <v>517.23463691453</v>
      </c>
      <c r="M396" s="418" t="n">
        <f aca="false">IF(AND(L395&gt;L_rampe,G396&gt;0),ATAN2(G396,H396),$M$4)</f>
        <v>1.33248149645259</v>
      </c>
      <c r="N396" s="417" t="n">
        <f aca="false">DEGREES(Beta)</f>
        <v>76.3455660260096</v>
      </c>
      <c r="O396" s="401"/>
      <c r="P396" s="420" t="n">
        <f aca="false">MATCH(t-pas/2-T_ini,CdP_t)</f>
        <v>23</v>
      </c>
      <c r="Q396" s="417" t="n">
        <f aca="false">(INDEX(CdP,2,i_P+1)-INDEX(CdP,2,i_P+0))/(INDEX(CdP,1,i_P+1)-INDEX(CdP,1,i_P+0))*(t-pas/2-T_ini-INDEX(CdP,1,i_P+0))+INDEX(CdP,2,i_P+0)</f>
        <v>0</v>
      </c>
      <c r="R396" s="418" t="n">
        <f aca="false">Poussee/(g*ISP)</f>
        <v>0</v>
      </c>
      <c r="S396" s="419" t="n">
        <f aca="false">S395-Débit*pas</f>
        <v>7.37799999999998</v>
      </c>
      <c r="T396" s="417" t="n">
        <f aca="false">m*g</f>
        <v>72.3781799999998</v>
      </c>
      <c r="U396" s="421" t="n">
        <f aca="false">IF(pos_xz&lt;L_rampe,Poids*COS(Beta),0)</f>
        <v>0</v>
      </c>
      <c r="V396" s="418" t="n">
        <f aca="false">Rho_moyen*(20000-Alt_rampe-pos_z)/(20000+Alt_rampe+pos_z)</f>
        <v>1.16468351547314</v>
      </c>
      <c r="W396" s="417" t="n">
        <f aca="false">1/2*Rho*Sref*Cx*vit_xz^2</f>
        <v>120.458980447809</v>
      </c>
      <c r="X396" s="401"/>
      <c r="Y396" s="422" t="str">
        <f aca="false">IF(AND(pos_z&lt;=0,K395&gt;0),"Impact balistique","") &amp; IF(AND(H397&lt;0,vit_z&gt;=0),"Apogée","") &amp; IF(AND(Poussee=0,Q395&gt;0),"Fin de propulsion","") &amp; IF(AND(L397&gt;L_rampe,pos_xz&lt;=L_rampe),"Sortie de rampe","")</f>
        <v/>
      </c>
      <c r="Z396" s="423" t="str">
        <f aca="false">IF(ABS(t-T_para)&lt;pas/2,"Para","")</f>
        <v/>
      </c>
      <c r="AA396" s="424" t="str">
        <f aca="false">IF(ABS(t-T_satellite)&lt;pas/2,"Satellite","")</f>
        <v/>
      </c>
      <c r="AB396" s="412"/>
      <c r="AC396" s="420" t="e">
        <f aca="false">IF(ABS(t-ROUND(t,0))&lt;0.001,t,NA())</f>
        <v>#N/A</v>
      </c>
      <c r="AD396" s="425" t="e">
        <f aca="false">IF(ABS(t-ROUND(t,0))&lt;0.001,pos_x,NA())</f>
        <v>#N/A</v>
      </c>
      <c r="AE396" s="426" t="n">
        <f aca="false">IF(t&lt;T_para, pos_z, NA())</f>
        <v>504.80730302827</v>
      </c>
      <c r="AF396" s="412"/>
      <c r="AG396" s="418" t="n">
        <f aca="false">IF(AND(L395&lt;L_rampe,Poussee&lt;Poids*SIN(M395)),0,(-W395+Poussee)/m-Poids*SIN(M395)/m)</f>
        <v>-25.908897729731</v>
      </c>
      <c r="AH396" s="417" t="n">
        <f aca="false">IF(AND(L395&lt;L_rampe,Poussee&lt;Poids*SIN(M395)), g*SIN(M395), (-W395+Poussee)/m)</f>
        <v>-16.3758639531101</v>
      </c>
    </row>
    <row r="397" customFormat="false" ht="12" hidden="false" customHeight="false" outlineLevel="0" collapsed="false">
      <c r="A397" s="416" t="n">
        <f aca="false">IF(B396+0.01&lt;=T_ini+ROUNDUP(Temps_fin_propu,0), 0.01, IF(K396&gt;0, 0.1, 0.0001))</f>
        <v>0.01</v>
      </c>
      <c r="B397" s="417" t="n">
        <f aca="false">B396+pas</f>
        <v>3.92999999999996</v>
      </c>
      <c r="C397" s="401"/>
      <c r="D397" s="418" t="n">
        <f aca="false">IF(AND(L396&lt;L_rampe,Poussee&lt;Poids*SIN(M396)),0,(-W396+Poussee)/m*COS(M396)-U396/m*SIN(M396))</f>
        <v>-3.85418810803253</v>
      </c>
      <c r="E397" s="419" t="n">
        <f aca="false">IF(AND(L396&lt;L_rampe,Poussee&lt;Poids*SIN(M396)),0,(-W396+Poussee)/m*SIN(M396)+U396/m*COS(M396)-Poids/m)</f>
        <v>-25.6753385910589</v>
      </c>
      <c r="F397" s="417" t="n">
        <f aca="false">SQRT(acc_x^2+acc_z^2)</f>
        <v>25.9630078715394</v>
      </c>
      <c r="G397" s="418" t="n">
        <f aca="false">G396+acc_x*pas</f>
        <v>43.2557006834744</v>
      </c>
      <c r="H397" s="419" t="n">
        <f aca="false">H396+acc_z*pas</f>
        <v>177.959202368446</v>
      </c>
      <c r="I397" s="417" t="n">
        <f aca="false">SQRT(vit_x^2+vit_z^2)</f>
        <v>183.140747375432</v>
      </c>
      <c r="J397" s="418" t="n">
        <f aca="false">J396+0.5*(vit_x+G396)*pas*(K396&gt;=0)</f>
        <v>113.132600796131</v>
      </c>
      <c r="K397" s="419" t="n">
        <f aca="false">K396+0.5*(vit_z+H396)*pas</f>
        <v>506.588178818884</v>
      </c>
      <c r="L397" s="417" t="n">
        <f aca="false">SQRT(pos_x^2+pos_z^2)</f>
        <v>519.067017139339</v>
      </c>
      <c r="M397" s="418" t="n">
        <f aca="false">IF(AND(L396&gt;L_rampe,G397&gt;0),ATAN2(G397,H397),$M$4)</f>
        <v>1.3323550471608</v>
      </c>
      <c r="N397" s="417" t="n">
        <f aca="false">DEGREES(Beta)</f>
        <v>76.3383210152676</v>
      </c>
      <c r="O397" s="401"/>
      <c r="P397" s="420" t="n">
        <f aca="false">MATCH(t-pas/2-T_ini,CdP_t)</f>
        <v>23</v>
      </c>
      <c r="Q397" s="417" t="n">
        <f aca="false">(INDEX(CdP,2,i_P+1)-INDEX(CdP,2,i_P+0))/(INDEX(CdP,1,i_P+1)-INDEX(CdP,1,i_P+0))*(t-pas/2-T_ini-INDEX(CdP,1,i_P+0))+INDEX(CdP,2,i_P+0)</f>
        <v>0</v>
      </c>
      <c r="R397" s="418" t="n">
        <f aca="false">Poussee/(g*ISP)</f>
        <v>0</v>
      </c>
      <c r="S397" s="419" t="n">
        <f aca="false">S396-Débit*pas</f>
        <v>7.37799999999998</v>
      </c>
      <c r="T397" s="417" t="n">
        <f aca="false">m*g</f>
        <v>72.3781799999998</v>
      </c>
      <c r="U397" s="421" t="n">
        <f aca="false">IF(pos_xz&lt;L_rampe,Poids*COS(Beta),0)</f>
        <v>0</v>
      </c>
      <c r="V397" s="418" t="n">
        <f aca="false">Rho_moyen*(20000-Alt_rampe-pos_z)/(20000+Alt_rampe+pos_z)</f>
        <v>1.16447598560602</v>
      </c>
      <c r="W397" s="417" t="n">
        <f aca="false">1/2*Rho*Sref*Cx*vit_xz^2</f>
        <v>120.098121145445</v>
      </c>
      <c r="X397" s="401"/>
      <c r="Y397" s="422" t="str">
        <f aca="false">IF(AND(pos_z&lt;=0,K396&gt;0),"Impact balistique","") &amp; IF(AND(H398&lt;0,vit_z&gt;=0),"Apogée","") &amp; IF(AND(Poussee=0,Q396&gt;0),"Fin de propulsion","") &amp; IF(AND(L398&gt;L_rampe,pos_xz&lt;=L_rampe),"Sortie de rampe","")</f>
        <v/>
      </c>
      <c r="Z397" s="423" t="str">
        <f aca="false">IF(ABS(t-T_para)&lt;pas/2,"Para","")</f>
        <v/>
      </c>
      <c r="AA397" s="424" t="str">
        <f aca="false">IF(ABS(t-T_satellite)&lt;pas/2,"Satellite","")</f>
        <v/>
      </c>
      <c r="AB397" s="412"/>
      <c r="AC397" s="420" t="e">
        <f aca="false">IF(ABS(t-ROUND(t,0))&lt;0.001,t,NA())</f>
        <v>#N/A</v>
      </c>
      <c r="AD397" s="425" t="e">
        <f aca="false">IF(ABS(t-ROUND(t,0))&lt;0.001,pos_x,NA())</f>
        <v>#N/A</v>
      </c>
      <c r="AE397" s="426" t="n">
        <f aca="false">IF(t&lt;T_para, pos_z, NA())</f>
        <v>506.588178818884</v>
      </c>
      <c r="AF397" s="412"/>
      <c r="AG397" s="418" t="n">
        <f aca="false">IF(AND(L396&lt;L_rampe,Poussee&lt;Poids*SIN(M396)),0,(-W396+Poussee)/m-Poids*SIN(M396)/m)</f>
        <v>-25.8595212616227</v>
      </c>
      <c r="AH397" s="417" t="n">
        <f aca="false">IF(AND(L396&lt;L_rampe,Poussee&lt;Poids*SIN(M396)), g*SIN(M396), (-W396+Poussee)/m)</f>
        <v>-16.3267796757671</v>
      </c>
    </row>
    <row r="398" customFormat="false" ht="12" hidden="false" customHeight="false" outlineLevel="0" collapsed="false">
      <c r="A398" s="416" t="n">
        <f aca="false">IF(B397+0.01&lt;=T_ini+ROUNDUP(Temps_fin_propu,0), 0.01, IF(K397&gt;0, 0.1, 0.0001))</f>
        <v>0.01</v>
      </c>
      <c r="B398" s="417" t="n">
        <f aca="false">B397+pas</f>
        <v>3.93999999999996</v>
      </c>
      <c r="C398" s="401"/>
      <c r="D398" s="418" t="n">
        <f aca="false">IF(AND(L397&lt;L_rampe,Poussee&lt;Poids*SIN(M397)),0,(-W397+Poussee)/m*COS(M397)-U397/m*SIN(M397))</f>
        <v>-3.84464222625145</v>
      </c>
      <c r="E398" s="419" t="n">
        <f aca="false">IF(AND(L397&lt;L_rampe,Poussee&lt;Poids*SIN(M397)),0,(-W397+Poussee)/m*SIN(M397)+U397/m*COS(M397)-Poids/m)</f>
        <v>-25.6273247263371</v>
      </c>
      <c r="F398" s="417" t="n">
        <f aca="false">SQRT(acc_x^2+acc_z^2)</f>
        <v>25.9141090234066</v>
      </c>
      <c r="G398" s="418" t="n">
        <f aca="false">G397+acc_x*pas</f>
        <v>43.2172542612119</v>
      </c>
      <c r="H398" s="419" t="n">
        <f aca="false">H397+acc_z*pas</f>
        <v>177.702929121183</v>
      </c>
      <c r="I398" s="417" t="n">
        <f aca="false">SQRT(vit_x^2+vit_z^2)</f>
        <v>182.882645661436</v>
      </c>
      <c r="J398" s="418" t="n">
        <f aca="false">J397+0.5*(vit_x+G397)*pas*(K397&gt;=0)</f>
        <v>113.564965570854</v>
      </c>
      <c r="K398" s="419" t="n">
        <f aca="false">K397+0.5*(vit_z+H397)*pas</f>
        <v>508.366489476332</v>
      </c>
      <c r="L398" s="417" t="n">
        <f aca="false">SQRT(pos_x^2+pos_z^2)</f>
        <v>520.89681226477</v>
      </c>
      <c r="M398" s="418" t="n">
        <f aca="false">IF(AND(L397&gt;L_rampe,G398&gt;0),ATAN2(G398,H398),$M$4)</f>
        <v>1.33222835350094</v>
      </c>
      <c r="N398" s="417" t="n">
        <f aca="false">DEGREES(Beta)</f>
        <v>76.3310620032668</v>
      </c>
      <c r="O398" s="401"/>
      <c r="P398" s="420" t="n">
        <f aca="false">MATCH(t-pas/2-T_ini,CdP_t)</f>
        <v>23</v>
      </c>
      <c r="Q398" s="417" t="n">
        <f aca="false">(INDEX(CdP,2,i_P+1)-INDEX(CdP,2,i_P+0))/(INDEX(CdP,1,i_P+1)-INDEX(CdP,1,i_P+0))*(t-pas/2-T_ini-INDEX(CdP,1,i_P+0))+INDEX(CdP,2,i_P+0)</f>
        <v>0</v>
      </c>
      <c r="R398" s="418" t="n">
        <f aca="false">Poussee/(g*ISP)</f>
        <v>0</v>
      </c>
      <c r="S398" s="419" t="n">
        <f aca="false">S397-Débit*pas</f>
        <v>7.37799999999998</v>
      </c>
      <c r="T398" s="417" t="n">
        <f aca="false">m*g</f>
        <v>72.3781799999998</v>
      </c>
      <c r="U398" s="421" t="n">
        <f aca="false">IF(pos_xz&lt;L_rampe,Poids*COS(Beta),0)</f>
        <v>0</v>
      </c>
      <c r="V398" s="418" t="n">
        <f aca="false">Rho_moyen*(20000-Alt_rampe-pos_z)/(20000+Alt_rampe+pos_z)</f>
        <v>1.16426879062474</v>
      </c>
      <c r="W398" s="417" t="n">
        <f aca="false">1/2*Rho*Sref*Cx*vit_xz^2</f>
        <v>119.738540354544</v>
      </c>
      <c r="X398" s="401"/>
      <c r="Y398" s="422" t="str">
        <f aca="false">IF(AND(pos_z&lt;=0,K397&gt;0),"Impact balistique","") &amp; IF(AND(H399&lt;0,vit_z&gt;=0),"Apogée","") &amp; IF(AND(Poussee=0,Q397&gt;0),"Fin de propulsion","") &amp; IF(AND(L399&gt;L_rampe,pos_xz&lt;=L_rampe),"Sortie de rampe","")</f>
        <v/>
      </c>
      <c r="Z398" s="423" t="str">
        <f aca="false">IF(ABS(t-T_para)&lt;pas/2,"Para","")</f>
        <v/>
      </c>
      <c r="AA398" s="424" t="str">
        <f aca="false">IF(ABS(t-T_satellite)&lt;pas/2,"Satellite","")</f>
        <v/>
      </c>
      <c r="AB398" s="412"/>
      <c r="AC398" s="420" t="e">
        <f aca="false">IF(ABS(t-ROUND(t,0))&lt;0.001,t,NA())</f>
        <v>#N/A</v>
      </c>
      <c r="AD398" s="425" t="e">
        <f aca="false">IF(ABS(t-ROUND(t,0))&lt;0.001,pos_x,NA())</f>
        <v>#N/A</v>
      </c>
      <c r="AE398" s="426" t="n">
        <f aca="false">IF(t&lt;T_para, pos_z, NA())</f>
        <v>508.366489476332</v>
      </c>
      <c r="AF398" s="412"/>
      <c r="AG398" s="418" t="n">
        <f aca="false">IF(AND(L397&lt;L_rampe,Poussee&lt;Poids*SIN(M397)),0,(-W397+Poussee)/m-Poids*SIN(M397)/m)</f>
        <v>-25.810318174687</v>
      </c>
      <c r="AH398" s="417" t="n">
        <f aca="false">IF(AND(L397&lt;L_rampe,Poussee&lt;Poids*SIN(M397)), g*SIN(M397), (-W397+Poussee)/m)</f>
        <v>-16.2778694965364</v>
      </c>
    </row>
    <row r="399" customFormat="false" ht="12" hidden="false" customHeight="false" outlineLevel="0" collapsed="false">
      <c r="A399" s="416" t="n">
        <f aca="false">IF(B398+0.01&lt;=T_ini+ROUNDUP(Temps_fin_propu,0), 0.01, IF(K398&gt;0, 0.1, 0.0001))</f>
        <v>0.01</v>
      </c>
      <c r="B399" s="417" t="n">
        <f aca="false">B398+pas</f>
        <v>3.94999999999996</v>
      </c>
      <c r="C399" s="401"/>
      <c r="D399" s="418" t="n">
        <f aca="false">IF(AND(L398&lt;L_rampe,Poussee&lt;Poids*SIN(M398)),0,(-W398+Poussee)/m*COS(M398)-U398/m*SIN(M398))</f>
        <v>-3.83512906685256</v>
      </c>
      <c r="E399" s="419" t="n">
        <f aca="false">IF(AND(L398&lt;L_rampe,Poussee&lt;Poids*SIN(M398)),0,(-W398+Poussee)/m*SIN(M398)+U398/m*COS(M398)-Poids/m)</f>
        <v>-25.5794809720745</v>
      </c>
      <c r="F399" s="417" t="n">
        <f aca="false">SQRT(acc_x^2+acc_z^2)</f>
        <v>25.8653834643939</v>
      </c>
      <c r="G399" s="418" t="n">
        <f aca="false">G398+acc_x*pas</f>
        <v>43.1789029705434</v>
      </c>
      <c r="H399" s="419" t="n">
        <f aca="false">H398+acc_z*pas</f>
        <v>177.447134311462</v>
      </c>
      <c r="I399" s="417" t="n">
        <f aca="false">SQRT(vit_x^2+vit_z^2)</f>
        <v>182.625034256231</v>
      </c>
      <c r="J399" s="418" t="n">
        <f aca="false">J398+0.5*(vit_x+G398)*pas*(K398&gt;=0)</f>
        <v>113.996946357013</v>
      </c>
      <c r="K399" s="419" t="n">
        <f aca="false">K398+0.5*(vit_z+H398)*pas</f>
        <v>510.142239793496</v>
      </c>
      <c r="L399" s="417" t="n">
        <f aca="false">SQRT(pos_x^2+pos_z^2)</f>
        <v>522.724027188581</v>
      </c>
      <c r="M399" s="418" t="n">
        <f aca="false">IF(AND(L398&gt;L_rampe,G399&gt;0),ATAN2(G399,H399),$M$4)</f>
        <v>1.33210141499758</v>
      </c>
      <c r="N399" s="417" t="n">
        <f aca="false">DEGREES(Beta)</f>
        <v>76.3237889627664</v>
      </c>
      <c r="O399" s="401"/>
      <c r="P399" s="420" t="n">
        <f aca="false">MATCH(t-pas/2-T_ini,CdP_t)</f>
        <v>23</v>
      </c>
      <c r="Q399" s="417" t="n">
        <f aca="false">(INDEX(CdP,2,i_P+1)-INDEX(CdP,2,i_P+0))/(INDEX(CdP,1,i_P+1)-INDEX(CdP,1,i_P+0))*(t-pas/2-T_ini-INDEX(CdP,1,i_P+0))+INDEX(CdP,2,i_P+0)</f>
        <v>0</v>
      </c>
      <c r="R399" s="418" t="n">
        <f aca="false">Poussee/(g*ISP)</f>
        <v>0</v>
      </c>
      <c r="S399" s="419" t="n">
        <f aca="false">S398-Débit*pas</f>
        <v>7.37799999999998</v>
      </c>
      <c r="T399" s="417" t="n">
        <f aca="false">m*g</f>
        <v>72.3781799999998</v>
      </c>
      <c r="U399" s="421" t="n">
        <f aca="false">IF(pos_xz&lt;L_rampe,Poids*COS(Beta),0)</f>
        <v>0</v>
      </c>
      <c r="V399" s="418" t="n">
        <f aca="false">Rho_moyen*(20000-Alt_rampe-pos_z)/(20000+Alt_rampe+pos_z)</f>
        <v>1.16406192980617</v>
      </c>
      <c r="W399" s="417" t="n">
        <f aca="false">1/2*Rho*Sref*Cx*vit_xz^2</f>
        <v>119.380232125982</v>
      </c>
      <c r="X399" s="401"/>
      <c r="Y399" s="422" t="str">
        <f aca="false">IF(AND(pos_z&lt;=0,K398&gt;0),"Impact balistique","") &amp; IF(AND(H400&lt;0,vit_z&gt;=0),"Apogée","") &amp; IF(AND(Poussee=0,Q398&gt;0),"Fin de propulsion","") &amp; IF(AND(L400&gt;L_rampe,pos_xz&lt;=L_rampe),"Sortie de rampe","")</f>
        <v/>
      </c>
      <c r="Z399" s="423" t="str">
        <f aca="false">IF(ABS(t-T_para)&lt;pas/2,"Para","")</f>
        <v/>
      </c>
      <c r="AA399" s="424" t="str">
        <f aca="false">IF(ABS(t-T_satellite)&lt;pas/2,"Satellite","")</f>
        <v/>
      </c>
      <c r="AB399" s="412"/>
      <c r="AC399" s="420" t="e">
        <f aca="false">IF(ABS(t-ROUND(t,0))&lt;0.001,t,NA())</f>
        <v>#N/A</v>
      </c>
      <c r="AD399" s="425" t="e">
        <f aca="false">IF(ABS(t-ROUND(t,0))&lt;0.001,pos_x,NA())</f>
        <v>#N/A</v>
      </c>
      <c r="AE399" s="426" t="n">
        <f aca="false">IF(t&lt;T_para, pos_z, NA())</f>
        <v>510.142239793496</v>
      </c>
      <c r="AF399" s="412"/>
      <c r="AG399" s="418" t="n">
        <f aca="false">IF(AND(L398&lt;L_rampe,Poussee&lt;Poids*SIN(M398)),0,(-W398+Poussee)/m-Poids*SIN(M398)/m)</f>
        <v>-25.7612876558325</v>
      </c>
      <c r="AH399" s="417" t="n">
        <f aca="false">IF(AND(L398&lt;L_rampe,Poussee&lt;Poids*SIN(M398)), g*SIN(M398), (-W398+Poussee)/m)</f>
        <v>-16.2291326043026</v>
      </c>
    </row>
    <row r="400" customFormat="false" ht="12" hidden="false" customHeight="false" outlineLevel="0" collapsed="false">
      <c r="A400" s="416" t="n">
        <f aca="false">IF(B399+0.01&lt;=T_ini+ROUNDUP(Temps_fin_propu,0), 0.01, IF(K399&gt;0, 0.1, 0.0001))</f>
        <v>0.01</v>
      </c>
      <c r="B400" s="417" t="n">
        <f aca="false">B399+pas</f>
        <v>3.95999999999996</v>
      </c>
      <c r="C400" s="401"/>
      <c r="D400" s="418" t="n">
        <f aca="false">IF(AND(L399&lt;L_rampe,Poussee&lt;Poids*SIN(M399)),0,(-W399+Poussee)/m*COS(M399)-U399/m*SIN(M399))</f>
        <v>-3.82564847611209</v>
      </c>
      <c r="E400" s="419" t="n">
        <f aca="false">IF(AND(L399&lt;L_rampe,Poussee&lt;Poids*SIN(M399)),0,(-W399+Poussee)/m*SIN(M399)+U399/m*COS(M399)-Poids/m)</f>
        <v>-25.5318065366833</v>
      </c>
      <c r="F400" s="417" t="n">
        <f aca="false">SQRT(acc_x^2+acc_z^2)</f>
        <v>25.8168303881286</v>
      </c>
      <c r="G400" s="418" t="n">
        <f aca="false">G399+acc_x*pas</f>
        <v>43.1406464857823</v>
      </c>
      <c r="H400" s="419" t="n">
        <f aca="false">H399+acc_z*pas</f>
        <v>177.191816246095</v>
      </c>
      <c r="I400" s="417" t="n">
        <f aca="false">SQRT(vit_x^2+vit_z^2)</f>
        <v>182.367911442231</v>
      </c>
      <c r="J400" s="418" t="n">
        <f aca="false">J399+0.5*(vit_x+G399)*pas*(K399&gt;=0)</f>
        <v>114.428544104294</v>
      </c>
      <c r="K400" s="419" t="n">
        <f aca="false">K399+0.5*(vit_z+H399)*pas</f>
        <v>511.915434546283</v>
      </c>
      <c r="L400" s="417" t="n">
        <f aca="false">SQRT(pos_x^2+pos_z^2)</f>
        <v>524.548666791308</v>
      </c>
      <c r="M400" s="418" t="n">
        <f aca="false">IF(AND(L399&gt;L_rampe,G400&gt;0),ATAN2(G400,H400),$M$4)</f>
        <v>1.33197423117379</v>
      </c>
      <c r="N400" s="417" t="n">
        <f aca="false">DEGREES(Beta)</f>
        <v>76.3165018664409</v>
      </c>
      <c r="O400" s="401"/>
      <c r="P400" s="420" t="n">
        <f aca="false">MATCH(t-pas/2-T_ini,CdP_t)</f>
        <v>23</v>
      </c>
      <c r="Q400" s="417" t="n">
        <f aca="false">(INDEX(CdP,2,i_P+1)-INDEX(CdP,2,i_P+0))/(INDEX(CdP,1,i_P+1)-INDEX(CdP,1,i_P+0))*(t-pas/2-T_ini-INDEX(CdP,1,i_P+0))+INDEX(CdP,2,i_P+0)</f>
        <v>0</v>
      </c>
      <c r="R400" s="418" t="n">
        <f aca="false">Poussee/(g*ISP)</f>
        <v>0</v>
      </c>
      <c r="S400" s="419" t="n">
        <f aca="false">S399-Débit*pas</f>
        <v>7.37799999999998</v>
      </c>
      <c r="T400" s="417" t="n">
        <f aca="false">m*g</f>
        <v>72.3781799999998</v>
      </c>
      <c r="U400" s="421" t="n">
        <f aca="false">IF(pos_xz&lt;L_rampe,Poids*COS(Beta),0)</f>
        <v>0</v>
      </c>
      <c r="V400" s="418" t="n">
        <f aca="false">Rho_moyen*(20000-Alt_rampe-pos_z)/(20000+Alt_rampe+pos_z)</f>
        <v>1.16385540242984</v>
      </c>
      <c r="W400" s="417" t="n">
        <f aca="false">1/2*Rho*Sref*Cx*vit_xz^2</f>
        <v>119.02319054567</v>
      </c>
      <c r="X400" s="401"/>
      <c r="Y400" s="422" t="str">
        <f aca="false">IF(AND(pos_z&lt;=0,K399&gt;0),"Impact balistique","") &amp; IF(AND(H401&lt;0,vit_z&gt;=0),"Apogée","") &amp; IF(AND(Poussee=0,Q399&gt;0),"Fin de propulsion","") &amp; IF(AND(L401&gt;L_rampe,pos_xz&lt;=L_rampe),"Sortie de rampe","")</f>
        <v/>
      </c>
      <c r="Z400" s="423" t="str">
        <f aca="false">IF(ABS(t-T_para)&lt;pas/2,"Para","")</f>
        <v/>
      </c>
      <c r="AA400" s="424" t="str">
        <f aca="false">IF(ABS(t-T_satellite)&lt;pas/2,"Satellite","")</f>
        <v/>
      </c>
      <c r="AB400" s="412"/>
      <c r="AC400" s="420" t="e">
        <f aca="false">IF(ABS(t-ROUND(t,0))&lt;0.001,t,NA())</f>
        <v>#N/A</v>
      </c>
      <c r="AD400" s="425" t="e">
        <f aca="false">IF(ABS(t-ROUND(t,0))&lt;0.001,pos_x,NA())</f>
        <v>#N/A</v>
      </c>
      <c r="AE400" s="426" t="n">
        <f aca="false">IF(t&lt;T_para, pos_z, NA())</f>
        <v>511.915434546283</v>
      </c>
      <c r="AF400" s="412"/>
      <c r="AG400" s="418" t="n">
        <f aca="false">IF(AND(L399&lt;L_rampe,Poussee&lt;Poids*SIN(M399)),0,(-W399+Poussee)/m-Poids*SIN(M399)/m)</f>
        <v>-25.7124288967427</v>
      </c>
      <c r="AH400" s="417" t="n">
        <f aca="false">IF(AND(L399&lt;L_rampe,Poussee&lt;Poids*SIN(M399)), g*SIN(M399), (-W399+Poussee)/m)</f>
        <v>-16.1805681927328</v>
      </c>
    </row>
    <row r="401" customFormat="false" ht="12" hidden="false" customHeight="false" outlineLevel="0" collapsed="false">
      <c r="A401" s="416" t="n">
        <f aca="false">IF(B400+0.01&lt;=T_ini+ROUNDUP(Temps_fin_propu,0), 0.01, IF(K400&gt;0, 0.1, 0.0001))</f>
        <v>0.01</v>
      </c>
      <c r="B401" s="417" t="n">
        <f aca="false">B400+pas</f>
        <v>3.96999999999996</v>
      </c>
      <c r="C401" s="401"/>
      <c r="D401" s="418" t="n">
        <f aca="false">IF(AND(L400&lt;L_rampe,Poussee&lt;Poids*SIN(M400)),0,(-W400+Poussee)/m*COS(M400)-U400/m*SIN(M400))</f>
        <v>-3.81620030121035</v>
      </c>
      <c r="E401" s="419" t="n">
        <f aca="false">IF(AND(L400&lt;L_rampe,Poussee&lt;Poids*SIN(M400)),0,(-W400+Poussee)/m*SIN(M400)+U400/m*COS(M400)-Poids/m)</f>
        <v>-25.4843006332372</v>
      </c>
      <c r="F401" s="417" t="n">
        <f aca="false">SQRT(acc_x^2+acc_z^2)</f>
        <v>25.7684489929869</v>
      </c>
      <c r="G401" s="418" t="n">
        <f aca="false">G400+acc_x*pas</f>
        <v>43.1024844827702</v>
      </c>
      <c r="H401" s="419" t="n">
        <f aca="false">H400+acc_z*pas</f>
        <v>176.936973239763</v>
      </c>
      <c r="I401" s="417" t="n">
        <f aca="false">SQRT(vit_x^2+vit_z^2)</f>
        <v>182.111275509882</v>
      </c>
      <c r="J401" s="418" t="n">
        <f aca="false">J400+0.5*(vit_x+G400)*pas*(K400&gt;=0)</f>
        <v>114.859759759137</v>
      </c>
      <c r="K401" s="419" t="n">
        <f aca="false">K400+0.5*(vit_z+H400)*pas</f>
        <v>513.686078493713</v>
      </c>
      <c r="L401" s="417" t="n">
        <f aca="false">SQRT(pos_x^2+pos_z^2)</f>
        <v>526.370735936351</v>
      </c>
      <c r="M401" s="418" t="n">
        <f aca="false">IF(AND(L400&gt;L_rampe,G401&gt;0),ATAN2(G401,H401),$M$4)</f>
        <v>1.33184680155118</v>
      </c>
      <c r="N401" s="417" t="n">
        <f aca="false">DEGREES(Beta)</f>
        <v>76.3092006868804</v>
      </c>
      <c r="O401" s="401"/>
      <c r="P401" s="420" t="n">
        <f aca="false">MATCH(t-pas/2-T_ini,CdP_t)</f>
        <v>23</v>
      </c>
      <c r="Q401" s="417" t="n">
        <f aca="false">(INDEX(CdP,2,i_P+1)-INDEX(CdP,2,i_P+0))/(INDEX(CdP,1,i_P+1)-INDEX(CdP,1,i_P+0))*(t-pas/2-T_ini-INDEX(CdP,1,i_P+0))+INDEX(CdP,2,i_P+0)</f>
        <v>0</v>
      </c>
      <c r="R401" s="418" t="n">
        <f aca="false">Poussee/(g*ISP)</f>
        <v>0</v>
      </c>
      <c r="S401" s="419" t="n">
        <f aca="false">S400-Débit*pas</f>
        <v>7.37799999999998</v>
      </c>
      <c r="T401" s="417" t="n">
        <f aca="false">m*g</f>
        <v>72.3781799999998</v>
      </c>
      <c r="U401" s="421" t="n">
        <f aca="false">IF(pos_xz&lt;L_rampe,Poids*COS(Beta),0)</f>
        <v>0</v>
      </c>
      <c r="V401" s="418" t="n">
        <f aca="false">Rho_moyen*(20000-Alt_rampe-pos_z)/(20000+Alt_rampe+pos_z)</f>
        <v>1.16364920777797</v>
      </c>
      <c r="W401" s="417" t="n">
        <f aca="false">1/2*Rho*Sref*Cx*vit_xz^2</f>
        <v>118.667409734308</v>
      </c>
      <c r="X401" s="401"/>
      <c r="Y401" s="422" t="str">
        <f aca="false">IF(AND(pos_z&lt;=0,K400&gt;0),"Impact balistique","") &amp; IF(AND(H402&lt;0,vit_z&gt;=0),"Apogée","") &amp; IF(AND(Poussee=0,Q400&gt;0),"Fin de propulsion","") &amp; IF(AND(L402&gt;L_rampe,pos_xz&lt;=L_rampe),"Sortie de rampe","")</f>
        <v/>
      </c>
      <c r="Z401" s="423" t="str">
        <f aca="false">IF(ABS(t-T_para)&lt;pas/2,"Para","")</f>
        <v/>
      </c>
      <c r="AA401" s="424" t="str">
        <f aca="false">IF(ABS(t-T_satellite)&lt;pas/2,"Satellite","")</f>
        <v/>
      </c>
      <c r="AB401" s="412"/>
      <c r="AC401" s="420" t="e">
        <f aca="false">IF(ABS(t-ROUND(t,0))&lt;0.001,t,NA())</f>
        <v>#N/A</v>
      </c>
      <c r="AD401" s="425" t="e">
        <f aca="false">IF(ABS(t-ROUND(t,0))&lt;0.001,pos_x,NA())</f>
        <v>#N/A</v>
      </c>
      <c r="AE401" s="426" t="n">
        <f aca="false">IF(t&lt;T_para, pos_z, NA())</f>
        <v>513.686078493713</v>
      </c>
      <c r="AF401" s="412"/>
      <c r="AG401" s="418" t="n">
        <f aca="false">IF(AND(L400&lt;L_rampe,Poussee&lt;Poids*SIN(M400)),0,(-W400+Poussee)/m-Poids*SIN(M400)/m)</f>
        <v>-25.6637410938428</v>
      </c>
      <c r="AH401" s="417" t="n">
        <f aca="false">IF(AND(L400&lt;L_rampe,Poussee&lt;Poids*SIN(M400)), g*SIN(M400), (-W400+Poussee)/m)</f>
        <v>-16.1321754602427</v>
      </c>
    </row>
    <row r="402" customFormat="false" ht="12" hidden="false" customHeight="false" outlineLevel="0" collapsed="false">
      <c r="A402" s="416" t="n">
        <f aca="false">IF(B401+0.01&lt;=T_ini+ROUNDUP(Temps_fin_propu,0), 0.01, IF(K401&gt;0, 0.1, 0.0001))</f>
        <v>0.01</v>
      </c>
      <c r="B402" s="417" t="n">
        <f aca="false">B401+pas</f>
        <v>3.97999999999996</v>
      </c>
      <c r="C402" s="401"/>
      <c r="D402" s="418" t="n">
        <f aca="false">IF(AND(L401&lt;L_rampe,Poussee&lt;Poids*SIN(M401)),0,(-W401+Poussee)/m*COS(M401)-U401/m*SIN(M401))</f>
        <v>-3.80678439022528</v>
      </c>
      <c r="E402" s="419" t="n">
        <f aca="false">IF(AND(L401&lt;L_rampe,Poussee&lt;Poids*SIN(M401)),0,(-W401+Poussee)/m*SIN(M401)+U401/m*COS(M401)-Poids/m)</f>
        <v>-25.4369624794387</v>
      </c>
      <c r="F402" s="417" t="n">
        <f aca="false">SQRT(acc_x^2+acc_z^2)</f>
        <v>25.7202384820599</v>
      </c>
      <c r="G402" s="418" t="n">
        <f aca="false">G401+acc_x*pas</f>
        <v>43.0644166388679</v>
      </c>
      <c r="H402" s="419" t="n">
        <f aca="false">H401+acc_z*pas</f>
        <v>176.682603614969</v>
      </c>
      <c r="I402" s="417" t="n">
        <f aca="false">SQRT(vit_x^2+vit_z^2)</f>
        <v>181.855124757622</v>
      </c>
      <c r="J402" s="418" t="n">
        <f aca="false">J401+0.5*(vit_x+G401)*pas*(K401&gt;=0)</f>
        <v>115.290594264745</v>
      </c>
      <c r="K402" s="419" t="n">
        <f aca="false">K401+0.5*(vit_z+H401)*pas</f>
        <v>515.454176377986</v>
      </c>
      <c r="L402" s="417" t="n">
        <f aca="false">SQRT(pos_x^2+pos_z^2)</f>
        <v>528.190239470048</v>
      </c>
      <c r="M402" s="418" t="n">
        <f aca="false">IF(AND(L401&gt;L_rampe,G402&gt;0),ATAN2(G402,H402),$M$4)</f>
        <v>1.33171912564987</v>
      </c>
      <c r="N402" s="417" t="n">
        <f aca="false">DEGREES(Beta)</f>
        <v>76.3018853965899</v>
      </c>
      <c r="O402" s="401"/>
      <c r="P402" s="420" t="n">
        <f aca="false">MATCH(t-pas/2-T_ini,CdP_t)</f>
        <v>23</v>
      </c>
      <c r="Q402" s="417" t="n">
        <f aca="false">(INDEX(CdP,2,i_P+1)-INDEX(CdP,2,i_P+0))/(INDEX(CdP,1,i_P+1)-INDEX(CdP,1,i_P+0))*(t-pas/2-T_ini-INDEX(CdP,1,i_P+0))+INDEX(CdP,2,i_P+0)</f>
        <v>0</v>
      </c>
      <c r="R402" s="418" t="n">
        <f aca="false">Poussee/(g*ISP)</f>
        <v>0</v>
      </c>
      <c r="S402" s="419" t="n">
        <f aca="false">S401-Débit*pas</f>
        <v>7.37799999999998</v>
      </c>
      <c r="T402" s="417" t="n">
        <f aca="false">m*g</f>
        <v>72.3781799999998</v>
      </c>
      <c r="U402" s="421" t="n">
        <f aca="false">IF(pos_xz&lt;L_rampe,Poids*COS(Beta),0)</f>
        <v>0</v>
      </c>
      <c r="V402" s="418" t="n">
        <f aca="false">Rho_moyen*(20000-Alt_rampe-pos_z)/(20000+Alt_rampe+pos_z)</f>
        <v>1.16344334513539</v>
      </c>
      <c r="W402" s="417" t="n">
        <f aca="false">1/2*Rho*Sref*Cx*vit_xz^2</f>
        <v>118.312883847136</v>
      </c>
      <c r="X402" s="401"/>
      <c r="Y402" s="422" t="str">
        <f aca="false">IF(AND(pos_z&lt;=0,K401&gt;0),"Impact balistique","") &amp; IF(AND(H403&lt;0,vit_z&gt;=0),"Apogée","") &amp; IF(AND(Poussee=0,Q401&gt;0),"Fin de propulsion","") &amp; IF(AND(L403&gt;L_rampe,pos_xz&lt;=L_rampe),"Sortie de rampe","")</f>
        <v/>
      </c>
      <c r="Z402" s="423" t="str">
        <f aca="false">IF(ABS(t-T_para)&lt;pas/2,"Para","")</f>
        <v/>
      </c>
      <c r="AA402" s="424" t="str">
        <f aca="false">IF(ABS(t-T_satellite)&lt;pas/2,"Satellite","")</f>
        <v/>
      </c>
      <c r="AB402" s="412"/>
      <c r="AC402" s="420" t="e">
        <f aca="false">IF(ABS(t-ROUND(t,0))&lt;0.001,t,NA())</f>
        <v>#N/A</v>
      </c>
      <c r="AD402" s="425" t="e">
        <f aca="false">IF(ABS(t-ROUND(t,0))&lt;0.001,pos_x,NA())</f>
        <v>#N/A</v>
      </c>
      <c r="AE402" s="426" t="n">
        <f aca="false">IF(t&lt;T_para, pos_z, NA())</f>
        <v>515.454176377986</v>
      </c>
      <c r="AF402" s="412"/>
      <c r="AG402" s="418" t="n">
        <f aca="false">IF(AND(L401&lt;L_rampe,Poussee&lt;Poids*SIN(M401)),0,(-W401+Poussee)/m-Poids*SIN(M401)/m)</f>
        <v>-25.6152234482654</v>
      </c>
      <c r="AH402" s="417" t="n">
        <f aca="false">IF(AND(L401&lt;L_rampe,Poussee&lt;Poids*SIN(M401)), g*SIN(M401), (-W401+Poussee)/m)</f>
        <v>-16.0839536099632</v>
      </c>
    </row>
    <row r="403" customFormat="false" ht="12" hidden="false" customHeight="false" outlineLevel="0" collapsed="false">
      <c r="A403" s="416" t="n">
        <f aca="false">IF(B402+0.01&lt;=T_ini+ROUNDUP(Temps_fin_propu,0), 0.01, IF(K402&gt;0, 0.1, 0.0001))</f>
        <v>0.01</v>
      </c>
      <c r="B403" s="417" t="n">
        <f aca="false">B402+pas</f>
        <v>3.98999999999996</v>
      </c>
      <c r="C403" s="401"/>
      <c r="D403" s="418" t="n">
        <f aca="false">IF(AND(L402&lt;L_rampe,Poussee&lt;Poids*SIN(M402)),0,(-W402+Poussee)/m*COS(M402)-U402/m*SIN(M402))</f>
        <v>-3.79740059212613</v>
      </c>
      <c r="E403" s="419" t="n">
        <f aca="false">IF(AND(L402&lt;L_rampe,Poussee&lt;Poids*SIN(M402)),0,(-W402+Poussee)/m*SIN(M402)+U402/m*COS(M402)-Poids/m)</f>
        <v>-25.3897912975864</v>
      </c>
      <c r="F403" s="417" t="n">
        <f aca="false">SQRT(acc_x^2+acc_z^2)</f>
        <v>25.6721980631202</v>
      </c>
      <c r="G403" s="418" t="n">
        <f aca="false">G402+acc_x*pas</f>
        <v>43.0264426329466</v>
      </c>
      <c r="H403" s="419" t="n">
        <f aca="false">H402+acc_z*pas</f>
        <v>176.428705701993</v>
      </c>
      <c r="I403" s="417" t="n">
        <f aca="false">SQRT(vit_x^2+vit_z^2)</f>
        <v>181.599457491829</v>
      </c>
      <c r="J403" s="418" t="n">
        <f aca="false">J402+0.5*(vit_x+G402)*pas*(K402&gt;=0)</f>
        <v>115.721048561104</v>
      </c>
      <c r="K403" s="419" t="n">
        <f aca="false">K402+0.5*(vit_z+H402)*pas</f>
        <v>517.219732924571</v>
      </c>
      <c r="L403" s="417" t="n">
        <f aca="false">SQRT(pos_x^2+pos_z^2)</f>
        <v>530.007182221757</v>
      </c>
      <c r="M403" s="418" t="n">
        <f aca="false">IF(AND(L402&gt;L_rampe,G403&gt;0),ATAN2(G403,H403),$M$4)</f>
        <v>1.3315912029885</v>
      </c>
      <c r="N403" s="417" t="n">
        <f aca="false">DEGREES(Beta)</f>
        <v>76.2945559679889</v>
      </c>
      <c r="O403" s="401"/>
      <c r="P403" s="420" t="n">
        <f aca="false">MATCH(t-pas/2-T_ini,CdP_t)</f>
        <v>23</v>
      </c>
      <c r="Q403" s="417" t="n">
        <f aca="false">(INDEX(CdP,2,i_P+1)-INDEX(CdP,2,i_P+0))/(INDEX(CdP,1,i_P+1)-INDEX(CdP,1,i_P+0))*(t-pas/2-T_ini-INDEX(CdP,1,i_P+0))+INDEX(CdP,2,i_P+0)</f>
        <v>0</v>
      </c>
      <c r="R403" s="418" t="n">
        <f aca="false">Poussee/(g*ISP)</f>
        <v>0</v>
      </c>
      <c r="S403" s="419" t="n">
        <f aca="false">S402-Débit*pas</f>
        <v>7.37799999999998</v>
      </c>
      <c r="T403" s="417" t="n">
        <f aca="false">m*g</f>
        <v>72.3781799999998</v>
      </c>
      <c r="U403" s="421" t="n">
        <f aca="false">IF(pos_xz&lt;L_rampe,Poids*COS(Beta),0)</f>
        <v>0</v>
      </c>
      <c r="V403" s="418" t="n">
        <f aca="false">Rho_moyen*(20000-Alt_rampe-pos_z)/(20000+Alt_rampe+pos_z)</f>
        <v>1.16323781378957</v>
      </c>
      <c r="W403" s="417" t="n">
        <f aca="false">1/2*Rho*Sref*Cx*vit_xz^2</f>
        <v>117.959607073693</v>
      </c>
      <c r="X403" s="401"/>
      <c r="Y403" s="422" t="str">
        <f aca="false">IF(AND(pos_z&lt;=0,K402&gt;0),"Impact balistique","") &amp; IF(AND(H404&lt;0,vit_z&gt;=0),"Apogée","") &amp; IF(AND(Poussee=0,Q402&gt;0),"Fin de propulsion","") &amp; IF(AND(L404&gt;L_rampe,pos_xz&lt;=L_rampe),"Sortie de rampe","")</f>
        <v/>
      </c>
      <c r="Z403" s="423" t="str">
        <f aca="false">IF(ABS(t-T_para)&lt;pas/2,"Para","")</f>
        <v/>
      </c>
      <c r="AA403" s="424" t="str">
        <f aca="false">IF(ABS(t-T_satellite)&lt;pas/2,"Satellite","")</f>
        <v/>
      </c>
      <c r="AB403" s="412"/>
      <c r="AC403" s="420" t="e">
        <f aca="false">IF(ABS(t-ROUND(t,0))&lt;0.001,t,NA())</f>
        <v>#N/A</v>
      </c>
      <c r="AD403" s="425" t="e">
        <f aca="false">IF(ABS(t-ROUND(t,0))&lt;0.001,pos_x,NA())</f>
        <v>#N/A</v>
      </c>
      <c r="AE403" s="426" t="n">
        <f aca="false">IF(t&lt;T_para, pos_z, NA())</f>
        <v>517.219732924571</v>
      </c>
      <c r="AF403" s="412"/>
      <c r="AG403" s="418" t="n">
        <f aca="false">IF(AND(L402&lt;L_rampe,Poussee&lt;Poids*SIN(M402)),0,(-W402+Poussee)/m-Poids*SIN(M402)/m)</f>
        <v>-25.5668751658173</v>
      </c>
      <c r="AH403" s="417" t="n">
        <f aca="false">IF(AND(L402&lt;L_rampe,Poussee&lt;Poids*SIN(M402)), g*SIN(M402), (-W402+Poussee)/m)</f>
        <v>-16.0359018497067</v>
      </c>
    </row>
    <row r="404" customFormat="false" ht="12" hidden="false" customHeight="false" outlineLevel="0" collapsed="false">
      <c r="A404" s="416" t="n">
        <f aca="false">IF(B403+0.01&lt;=T_ini+ROUNDUP(Temps_fin_propu,0), 0.01, IF(K403&gt;0, 0.1, 0.0001))</f>
        <v>0.01</v>
      </c>
      <c r="B404" s="417" t="n">
        <f aca="false">B403+pas</f>
        <v>3.99999999999996</v>
      </c>
      <c r="C404" s="401"/>
      <c r="D404" s="418" t="n">
        <f aca="false">IF(AND(L403&lt;L_rampe,Poussee&lt;Poids*SIN(M403)),0,(-W403+Poussee)/m*COS(M403)-U403/m*SIN(M403))</f>
        <v>-3.78804875676716</v>
      </c>
      <c r="E404" s="419" t="n">
        <f aca="false">IF(AND(L403&lt;L_rampe,Poussee&lt;Poids*SIN(M403)),0,(-W403+Poussee)/m*SIN(M403)+U403/m*COS(M403)-Poids/m)</f>
        <v>-25.3427863145423</v>
      </c>
      <c r="F404" s="417" t="n">
        <f aca="false">SQRT(acc_x^2+acc_z^2)</f>
        <v>25.6243269485892</v>
      </c>
      <c r="G404" s="418" t="n">
        <f aca="false">G403+acc_x*pas</f>
        <v>42.988562145379</v>
      </c>
      <c r="H404" s="419" t="n">
        <f aca="false">H403+acc_z*pas</f>
        <v>176.175277838847</v>
      </c>
      <c r="I404" s="417" t="n">
        <f aca="false">SQRT(vit_x^2+vit_z^2)</f>
        <v>181.344272026778</v>
      </c>
      <c r="J404" s="418" t="n">
        <f aca="false">J403+0.5*(vit_x+G403)*pas*(K403&gt;=0)</f>
        <v>116.151123584996</v>
      </c>
      <c r="K404" s="419" t="n">
        <f aca="false">K403+0.5*(vit_z+H403)*pas</f>
        <v>518.982752842275</v>
      </c>
      <c r="L404" s="417" t="n">
        <f aca="false">SQRT(pos_x^2+pos_z^2)</f>
        <v>531.821569003931</v>
      </c>
      <c r="M404" s="418" t="n">
        <f aca="false">IF(AND(L403&gt;L_rampe,G404&gt;0),ATAN2(G404,H404),$M$4)</f>
        <v>1.33146303308419</v>
      </c>
      <c r="N404" s="417" t="n">
        <f aca="false">DEGREES(Beta)</f>
        <v>76.2872123734117</v>
      </c>
      <c r="O404" s="401"/>
      <c r="P404" s="420" t="n">
        <f aca="false">MATCH(t-pas/2-T_ini,CdP_t)</f>
        <v>23</v>
      </c>
      <c r="Q404" s="417" t="n">
        <f aca="false">(INDEX(CdP,2,i_P+1)-INDEX(CdP,2,i_P+0))/(INDEX(CdP,1,i_P+1)-INDEX(CdP,1,i_P+0))*(t-pas/2-T_ini-INDEX(CdP,1,i_P+0))+INDEX(CdP,2,i_P+0)</f>
        <v>0</v>
      </c>
      <c r="R404" s="418" t="n">
        <f aca="false">Poussee/(g*ISP)</f>
        <v>0</v>
      </c>
      <c r="S404" s="419" t="n">
        <f aca="false">S403-Débit*pas</f>
        <v>7.37799999999998</v>
      </c>
      <c r="T404" s="417" t="n">
        <f aca="false">m*g</f>
        <v>72.3781799999998</v>
      </c>
      <c r="U404" s="421" t="n">
        <f aca="false">IF(pos_xz&lt;L_rampe,Poids*COS(Beta),0)</f>
        <v>0</v>
      </c>
      <c r="V404" s="418" t="n">
        <f aca="false">Rho_moyen*(20000-Alt_rampe-pos_z)/(20000+Alt_rampe+pos_z)</f>
        <v>1.16303261303061</v>
      </c>
      <c r="W404" s="417" t="n">
        <f aca="false">1/2*Rho*Sref*Cx*vit_xz^2</f>
        <v>117.607573637574</v>
      </c>
      <c r="X404" s="401"/>
      <c r="Y404" s="422" t="str">
        <f aca="false">IF(AND(pos_z&lt;=0,K403&gt;0),"Impact balistique","") &amp; IF(AND(H405&lt;0,vit_z&gt;=0),"Apogée","") &amp; IF(AND(Poussee=0,Q403&gt;0),"Fin de propulsion","") &amp; IF(AND(L405&gt;L_rampe,pos_xz&lt;=L_rampe),"Sortie de rampe","")</f>
        <v/>
      </c>
      <c r="Z404" s="423" t="str">
        <f aca="false">IF(ABS(t-T_para)&lt;pas/2,"Para","")</f>
        <v/>
      </c>
      <c r="AA404" s="424" t="str">
        <f aca="false">IF(ABS(t-T_satellite)&lt;pas/2,"Satellite","")</f>
        <v/>
      </c>
      <c r="AB404" s="412"/>
      <c r="AC404" s="420" t="n">
        <f aca="false">IF(ABS(t-ROUND(t,0))&lt;0.001,t,NA())</f>
        <v>3.99999999999996</v>
      </c>
      <c r="AD404" s="425" t="n">
        <f aca="false">IF(ABS(t-ROUND(t,0))&lt;0.001,pos_x,NA())</f>
        <v>116.151123584996</v>
      </c>
      <c r="AE404" s="426" t="n">
        <f aca="false">IF(t&lt;T_para, pos_z, NA())</f>
        <v>518.982752842275</v>
      </c>
      <c r="AF404" s="412"/>
      <c r="AG404" s="418" t="n">
        <f aca="false">IF(AND(L403&lt;L_rampe,Poussee&lt;Poids*SIN(M403)),0,(-W403+Poussee)/m-Poids*SIN(M403)/m)</f>
        <v>-25.5186954569467</v>
      </c>
      <c r="AH404" s="417" t="n">
        <f aca="false">IF(AND(L403&lt;L_rampe,Poussee&lt;Poids*SIN(M403)), g*SIN(M403), (-W403+Poussee)/m)</f>
        <v>-15.9880193919346</v>
      </c>
    </row>
    <row r="405" customFormat="false" ht="12" hidden="false" customHeight="false" outlineLevel="0" collapsed="false">
      <c r="A405" s="416" t="n">
        <f aca="false">IF(B404+0.01&lt;=T_ini+ROUNDUP(Temps_fin_propu,0), 0.01, IF(K404&gt;0, 0.1, 0.0001))</f>
        <v>0.1</v>
      </c>
      <c r="B405" s="417" t="n">
        <f aca="false">B404+pas</f>
        <v>4.09999999999996</v>
      </c>
      <c r="C405" s="401"/>
      <c r="D405" s="418" t="n">
        <f aca="false">IF(AND(L404&lt;L_rampe,Poussee&lt;Poids*SIN(M404)),0,(-W404+Poussee)/m*COS(M404)-U404/m*SIN(M404))</f>
        <v>-3.77872873488136</v>
      </c>
      <c r="E405" s="419" t="n">
        <f aca="false">IF(AND(L404&lt;L_rampe,Poussee&lt;Poids*SIN(M404)),0,(-W404+Poussee)/m*SIN(M404)+U404/m*COS(M404)-Poids/m)</f>
        <v>-25.2959467616997</v>
      </c>
      <c r="F405" s="417" t="n">
        <f aca="false">SQRT(acc_x^2+acc_z^2)</f>
        <v>25.5766243555041</v>
      </c>
      <c r="G405" s="418" t="n">
        <f aca="false">G404+acc_x*pas</f>
        <v>42.6106892718908</v>
      </c>
      <c r="H405" s="419" t="n">
        <f aca="false">H404+acc_z*pas</f>
        <v>173.645683162677</v>
      </c>
      <c r="I405" s="417" t="n">
        <f aca="false">SQRT(vit_x^2+vit_z^2)</f>
        <v>178.797354905654</v>
      </c>
      <c r="J405" s="418" t="n">
        <f aca="false">J404+0.5*(vit_x+G404)*pas*(K404&gt;=0)</f>
        <v>120.43108615586</v>
      </c>
      <c r="K405" s="419" t="n">
        <f aca="false">K404+0.5*(vit_z+H404)*pas</f>
        <v>536.473800892352</v>
      </c>
      <c r="L405" s="417" t="n">
        <f aca="false">SQRT(pos_x^2+pos_z^2)</f>
        <v>549.825231829685</v>
      </c>
      <c r="M405" s="418" t="n">
        <f aca="false">IF(AND(L404&gt;L_rampe,G405&gt;0),ATAN2(G405,H405),$M$4)</f>
        <v>1.33016239305154</v>
      </c>
      <c r="N405" s="417" t="n">
        <f aca="false">DEGREES(Beta)</f>
        <v>76.2126911888752</v>
      </c>
      <c r="O405" s="401"/>
      <c r="P405" s="420" t="n">
        <f aca="false">MATCH(t-pas/2-T_ini,CdP_t)</f>
        <v>23</v>
      </c>
      <c r="Q405" s="417" t="n">
        <f aca="false">(INDEX(CdP,2,i_P+1)-INDEX(CdP,2,i_P+0))/(INDEX(CdP,1,i_P+1)-INDEX(CdP,1,i_P+0))*(t-pas/2-T_ini-INDEX(CdP,1,i_P+0))+INDEX(CdP,2,i_P+0)</f>
        <v>0</v>
      </c>
      <c r="R405" s="418" t="n">
        <f aca="false">Poussee/(g*ISP)</f>
        <v>0</v>
      </c>
      <c r="S405" s="419" t="n">
        <f aca="false">S404-Débit*pas</f>
        <v>7.37799999999998</v>
      </c>
      <c r="T405" s="417" t="n">
        <f aca="false">m*g</f>
        <v>72.3781799999998</v>
      </c>
      <c r="U405" s="421" t="n">
        <f aca="false">IF(pos_xz&lt;L_rampe,Poids*COS(Beta),0)</f>
        <v>0</v>
      </c>
      <c r="V405" s="418" t="n">
        <f aca="false">Rho_moyen*(20000-Alt_rampe-pos_z)/(20000+Alt_rampe+pos_z)</f>
        <v>1.16099871015203</v>
      </c>
      <c r="W405" s="417" t="n">
        <f aca="false">1/2*Rho*Sref*Cx*vit_xz^2</f>
        <v>114.127322532717</v>
      </c>
      <c r="X405" s="401"/>
      <c r="Y405" s="422" t="str">
        <f aca="false">IF(AND(pos_z&lt;=0,K404&gt;0),"Impact balistique","") &amp; IF(AND(H406&lt;0,vit_z&gt;=0),"Apogée","") &amp; IF(AND(Poussee=0,Q404&gt;0),"Fin de propulsion","") &amp; IF(AND(L406&gt;L_rampe,pos_xz&lt;=L_rampe),"Sortie de rampe","")</f>
        <v/>
      </c>
      <c r="Z405" s="423" t="str">
        <f aca="false">IF(ABS(t-T_para)&lt;pas/2,"Para","")</f>
        <v/>
      </c>
      <c r="AA405" s="424" t="str">
        <f aca="false">IF(ABS(t-T_satellite)&lt;pas/2,"Satellite","")</f>
        <v/>
      </c>
      <c r="AB405" s="412"/>
      <c r="AC405" s="420" t="e">
        <f aca="false">IF(ABS(t-ROUND(t,0))&lt;0.001,t,NA())</f>
        <v>#N/A</v>
      </c>
      <c r="AD405" s="425" t="e">
        <f aca="false">IF(ABS(t-ROUND(t,0))&lt;0.001,pos_x,NA())</f>
        <v>#N/A</v>
      </c>
      <c r="AE405" s="426" t="n">
        <f aca="false">IF(t&lt;T_para, pos_z, NA())</f>
        <v>536.473800892352</v>
      </c>
      <c r="AF405" s="412"/>
      <c r="AG405" s="418" t="n">
        <f aca="false">IF(AND(L404&lt;L_rampe,Poussee&lt;Poids*SIN(M404)),0,(-W404+Poussee)/m-Poids*SIN(M404)/m)</f>
        <v>-25.47068353671</v>
      </c>
      <c r="AH405" s="417" t="n">
        <f aca="false">IF(AND(L404&lt;L_rampe,Poussee&lt;Poids*SIN(M404)), g*SIN(M404), (-W404+Poussee)/m)</f>
        <v>-15.9403054537238</v>
      </c>
    </row>
    <row r="406" customFormat="false" ht="12" hidden="false" customHeight="false" outlineLevel="0" collapsed="false">
      <c r="A406" s="416" t="n">
        <f aca="false">IF(B405+0.01&lt;=T_ini+ROUNDUP(Temps_fin_propu,0), 0.01, IF(K405&gt;0, 0.1, 0.0001))</f>
        <v>0.1</v>
      </c>
      <c r="B406" s="417" t="n">
        <f aca="false">B405+pas</f>
        <v>4.19999999999996</v>
      </c>
      <c r="C406" s="401"/>
      <c r="D406" s="418" t="n">
        <f aca="false">IF(AND(L405&lt;L_rampe,Poussee&lt;Poids*SIN(M405)),0,(-W405+Poussee)/m*COS(M405)-U405/m*SIN(M405))</f>
        <v>-3.68645084639169</v>
      </c>
      <c r="E406" s="419" t="n">
        <f aca="false">IF(AND(L405&lt;L_rampe,Poussee&lt;Poids*SIN(M405)),0,(-W405+Poussee)/m*SIN(M405)+U405/m*COS(M405)-Poids/m)</f>
        <v>-24.832903562595</v>
      </c>
      <c r="F406" s="417" t="n">
        <f aca="false">SQRT(acc_x^2+acc_z^2)</f>
        <v>25.1050397169971</v>
      </c>
      <c r="G406" s="418" t="n">
        <f aca="false">G405+acc_x*pas</f>
        <v>42.2420441872517</v>
      </c>
      <c r="H406" s="419" t="n">
        <f aca="false">H405+acc_z*pas</f>
        <v>171.162392806418</v>
      </c>
      <c r="I406" s="417" t="n">
        <f aca="false">SQRT(vit_x^2+vit_z^2)</f>
        <v>176.297915496288</v>
      </c>
      <c r="J406" s="418" t="n">
        <f aca="false">J405+0.5*(vit_x+G405)*pas*(K405&gt;=0)</f>
        <v>124.673722828817</v>
      </c>
      <c r="K406" s="419" t="n">
        <f aca="false">K405+0.5*(vit_z+H405)*pas</f>
        <v>553.714204690806</v>
      </c>
      <c r="L406" s="417" t="n">
        <f aca="false">SQRT(pos_x^2+pos_z^2)</f>
        <v>567.576389255551</v>
      </c>
      <c r="M406" s="418" t="n">
        <f aca="false">IF(AND(L405&gt;L_rampe,G406&gt;0),ATAN2(G406,H406),$M$4)</f>
        <v>1.32883628342684</v>
      </c>
      <c r="N406" s="417" t="n">
        <f aca="false">DEGREES(Beta)</f>
        <v>76.1367107042077</v>
      </c>
      <c r="O406" s="401"/>
      <c r="P406" s="420" t="n">
        <f aca="false">MATCH(t-pas/2-T_ini,CdP_t)</f>
        <v>23</v>
      </c>
      <c r="Q406" s="417" t="n">
        <f aca="false">(INDEX(CdP,2,i_P+1)-INDEX(CdP,2,i_P+0))/(INDEX(CdP,1,i_P+1)-INDEX(CdP,1,i_P+0))*(t-pas/2-T_ini-INDEX(CdP,1,i_P+0))+INDEX(CdP,2,i_P+0)</f>
        <v>0</v>
      </c>
      <c r="R406" s="418" t="n">
        <f aca="false">Poussee/(g*ISP)</f>
        <v>0</v>
      </c>
      <c r="S406" s="419" t="n">
        <f aca="false">S405-Débit*pas</f>
        <v>7.37799999999998</v>
      </c>
      <c r="T406" s="417" t="n">
        <f aca="false">m*g</f>
        <v>72.3781799999998</v>
      </c>
      <c r="U406" s="421" t="n">
        <f aca="false">IF(pos_xz&lt;L_rampe,Poids*COS(Beta),0)</f>
        <v>0</v>
      </c>
      <c r="V406" s="418" t="n">
        <f aca="false">Rho_moyen*(20000-Alt_rampe-pos_z)/(20000+Alt_rampe+pos_z)</f>
        <v>1.15899734043286</v>
      </c>
      <c r="W406" s="417" t="n">
        <f aca="false">1/2*Rho*Sref*Cx*vit_xz^2</f>
        <v>110.767538854062</v>
      </c>
      <c r="X406" s="401"/>
      <c r="Y406" s="422" t="str">
        <f aca="false">IF(AND(pos_z&lt;=0,K405&gt;0),"Impact balistique","") &amp; IF(AND(H407&lt;0,vit_z&gt;=0),"Apogée","") &amp; IF(AND(Poussee=0,Q405&gt;0),"Fin de propulsion","") &amp; IF(AND(L407&gt;L_rampe,pos_xz&lt;=L_rampe),"Sortie de rampe","")</f>
        <v/>
      </c>
      <c r="Z406" s="423" t="str">
        <f aca="false">IF(ABS(t-T_para)&lt;pas/2,"Para","")</f>
        <v/>
      </c>
      <c r="AA406" s="424" t="str">
        <f aca="false">IF(ABS(t-T_satellite)&lt;pas/2,"Satellite","")</f>
        <v/>
      </c>
      <c r="AB406" s="412"/>
      <c r="AC406" s="420" t="e">
        <f aca="false">IF(ABS(t-ROUND(t,0))&lt;0.001,t,NA())</f>
        <v>#N/A</v>
      </c>
      <c r="AD406" s="425" t="e">
        <f aca="false">IF(ABS(t-ROUND(t,0))&lt;0.001,pos_x,NA())</f>
        <v>#N/A</v>
      </c>
      <c r="AE406" s="426" t="n">
        <f aca="false">IF(t&lt;T_para, pos_z, NA())</f>
        <v>553.714204690806</v>
      </c>
      <c r="AF406" s="412"/>
      <c r="AG406" s="418" t="n">
        <f aca="false">IF(AND(L405&lt;L_rampe,Poussee&lt;Poids*SIN(M405)),0,(-W405+Poussee)/m-Poids*SIN(M405)/m)</f>
        <v>-24.9959442516901</v>
      </c>
      <c r="AH406" s="417" t="n">
        <f aca="false">IF(AND(L405&lt;L_rampe,Poussee&lt;Poids*SIN(M405)), g*SIN(M405), (-W405+Poussee)/m)</f>
        <v>-15.4685988794684</v>
      </c>
    </row>
    <row r="407" customFormat="false" ht="12" hidden="false" customHeight="false" outlineLevel="0" collapsed="false">
      <c r="A407" s="416" t="n">
        <f aca="false">IF(B406+0.01&lt;=T_ini+ROUNDUP(Temps_fin_propu,0), 0.01, IF(K406&gt;0, 0.1, 0.0001))</f>
        <v>0.1</v>
      </c>
      <c r="B407" s="417" t="n">
        <f aca="false">B406+pas</f>
        <v>4.29999999999996</v>
      </c>
      <c r="C407" s="401"/>
      <c r="D407" s="418" t="n">
        <f aca="false">IF(AND(L406&lt;L_rampe,Poussee&lt;Poids*SIN(M406)),0,(-W406+Poussee)/m*COS(M406)-U406/m*SIN(M406))</f>
        <v>-3.59725814424321</v>
      </c>
      <c r="E407" s="419" t="n">
        <f aca="false">IF(AND(L406&lt;L_rampe,Poussee&lt;Poids*SIN(M406)),0,(-W406+Poussee)/m*SIN(M406)+U406/m*COS(M406)-Poids/m)</f>
        <v>-24.3858881549786</v>
      </c>
      <c r="F407" s="417" t="n">
        <f aca="false">SQRT(acc_x^2+acc_z^2)</f>
        <v>24.6497831078378</v>
      </c>
      <c r="G407" s="418" t="n">
        <f aca="false">G406+acc_x*pas</f>
        <v>41.8823183728273</v>
      </c>
      <c r="H407" s="419" t="n">
        <f aca="false">H406+acc_z*pas</f>
        <v>168.72380399092</v>
      </c>
      <c r="I407" s="417" t="n">
        <f aca="false">SQRT(vit_x^2+vit_z^2)</f>
        <v>173.844328712355</v>
      </c>
      <c r="J407" s="418" t="n">
        <f aca="false">J406+0.5*(vit_x+G406)*pas*(K406&gt;=0)</f>
        <v>128.879940956821</v>
      </c>
      <c r="K407" s="419" t="n">
        <f aca="false">K406+0.5*(vit_z+H406)*pas</f>
        <v>570.708514530673</v>
      </c>
      <c r="L407" s="417" t="n">
        <f aca="false">SQRT(pos_x^2+pos_z^2)</f>
        <v>585.079693493836</v>
      </c>
      <c r="M407" s="418" t="n">
        <f aca="false">IF(AND(L406&gt;L_rampe,G407&gt;0),ATAN2(G407,H407),$M$4)</f>
        <v>1.32748419105837</v>
      </c>
      <c r="N407" s="417" t="n">
        <f aca="false">DEGREES(Beta)</f>
        <v>76.0592415179827</v>
      </c>
      <c r="O407" s="401"/>
      <c r="P407" s="420" t="n">
        <f aca="false">MATCH(t-pas/2-T_ini,CdP_t)</f>
        <v>23</v>
      </c>
      <c r="Q407" s="417" t="n">
        <f aca="false">(INDEX(CdP,2,i_P+1)-INDEX(CdP,2,i_P+0))/(INDEX(CdP,1,i_P+1)-INDEX(CdP,1,i_P+0))*(t-pas/2-T_ini-INDEX(CdP,1,i_P+0))+INDEX(CdP,2,i_P+0)</f>
        <v>0</v>
      </c>
      <c r="R407" s="418" t="n">
        <f aca="false">Poussee/(g*ISP)</f>
        <v>0</v>
      </c>
      <c r="S407" s="419" t="n">
        <f aca="false">S406-Débit*pas</f>
        <v>7.37799999999998</v>
      </c>
      <c r="T407" s="417" t="n">
        <f aca="false">m*g</f>
        <v>72.3781799999998</v>
      </c>
      <c r="U407" s="421" t="n">
        <f aca="false">IF(pos_xz&lt;L_rampe,Poids*COS(Beta),0)</f>
        <v>0</v>
      </c>
      <c r="V407" s="418" t="n">
        <f aca="false">Rho_moyen*(20000-Alt_rampe-pos_z)/(20000+Alt_rampe+pos_z)</f>
        <v>1.15702782200659</v>
      </c>
      <c r="W407" s="417" t="n">
        <f aca="false">1/2*Rho*Sref*Cx*vit_xz^2</f>
        <v>107.522800920474</v>
      </c>
      <c r="X407" s="401"/>
      <c r="Y407" s="422" t="str">
        <f aca="false">IF(AND(pos_z&lt;=0,K406&gt;0),"Impact balistique","") &amp; IF(AND(H408&lt;0,vit_z&gt;=0),"Apogée","") &amp; IF(AND(Poussee=0,Q406&gt;0),"Fin de propulsion","") &amp; IF(AND(L408&gt;L_rampe,pos_xz&lt;=L_rampe),"Sortie de rampe","")</f>
        <v/>
      </c>
      <c r="Z407" s="423" t="str">
        <f aca="false">IF(ABS(t-T_para)&lt;pas/2,"Para","")</f>
        <v/>
      </c>
      <c r="AA407" s="424" t="str">
        <f aca="false">IF(ABS(t-T_satellite)&lt;pas/2,"Satellite","")</f>
        <v/>
      </c>
      <c r="AB407" s="412"/>
      <c r="AC407" s="420" t="e">
        <f aca="false">IF(ABS(t-ROUND(t,0))&lt;0.001,t,NA())</f>
        <v>#N/A</v>
      </c>
      <c r="AD407" s="425" t="e">
        <f aca="false">IF(ABS(t-ROUND(t,0))&lt;0.001,pos_x,NA())</f>
        <v>#N/A</v>
      </c>
      <c r="AE407" s="426" t="n">
        <f aca="false">IF(t&lt;T_para, pos_z, NA())</f>
        <v>570.708514530673</v>
      </c>
      <c r="AF407" s="412"/>
      <c r="AG407" s="418" t="n">
        <f aca="false">IF(AND(L406&lt;L_rampe,Poussee&lt;Poids*SIN(M406)),0,(-W406+Poussee)/m-Poids*SIN(M406)/m)</f>
        <v>-24.5374569099144</v>
      </c>
      <c r="AH407" s="417" t="n">
        <f aca="false">IF(AND(L406&lt;L_rampe,Poussee&lt;Poids*SIN(M406)), g*SIN(M406), (-W406+Poussee)/m)</f>
        <v>-15.0132202296099</v>
      </c>
    </row>
    <row r="408" customFormat="false" ht="12" hidden="false" customHeight="false" outlineLevel="0" collapsed="false">
      <c r="A408" s="416" t="n">
        <f aca="false">IF(B407+0.01&lt;=T_ini+ROUNDUP(Temps_fin_propu,0), 0.01, IF(K407&gt;0, 0.1, 0.0001))</f>
        <v>0.1</v>
      </c>
      <c r="B408" s="417" t="n">
        <f aca="false">B407+pas</f>
        <v>4.39999999999996</v>
      </c>
      <c r="C408" s="401"/>
      <c r="D408" s="418" t="n">
        <f aca="false">IF(AND(L407&lt;L_rampe,Poussee&lt;Poids*SIN(M407)),0,(-W407+Poussee)/m*COS(M407)-U407/m*SIN(M407))</f>
        <v>-3.51101030865341</v>
      </c>
      <c r="E408" s="419" t="n">
        <f aca="false">IF(AND(L407&lt;L_rampe,Poussee&lt;Poids*SIN(M407)),0,(-W407+Poussee)/m*SIN(M407)+U407/m*COS(M407)-Poids/m)</f>
        <v>-23.9541791701692</v>
      </c>
      <c r="F408" s="417" t="n">
        <f aca="false">SQRT(acc_x^2+acc_z^2)</f>
        <v>24.2101196424974</v>
      </c>
      <c r="G408" s="418" t="n">
        <f aca="false">G407+acc_x*pas</f>
        <v>41.531217341962</v>
      </c>
      <c r="H408" s="419" t="n">
        <f aca="false">H407+acc_z*pas</f>
        <v>166.328386073903</v>
      </c>
      <c r="I408" s="417" t="n">
        <f aca="false">SQRT(vit_x^2+vit_z^2)</f>
        <v>171.435043173368</v>
      </c>
      <c r="J408" s="418" t="n">
        <f aca="false">J407+0.5*(vit_x+G407)*pas*(K407&gt;=0)</f>
        <v>133.05061774256</v>
      </c>
      <c r="K408" s="419" t="n">
        <f aca="false">K407+0.5*(vit_z+H407)*pas</f>
        <v>587.461124033914</v>
      </c>
      <c r="L408" s="417" t="n">
        <f aca="false">SQRT(pos_x^2+pos_z^2)</f>
        <v>602.339637690288</v>
      </c>
      <c r="M408" s="418" t="n">
        <f aca="false">IF(AND(L407&gt;L_rampe,G408&gt;0),ATAN2(G408,H408),$M$4)</f>
        <v>1.32610558643619</v>
      </c>
      <c r="N408" s="417" t="n">
        <f aca="false">DEGREES(Beta)</f>
        <v>75.9802532915149</v>
      </c>
      <c r="O408" s="401"/>
      <c r="P408" s="420" t="n">
        <f aca="false">MATCH(t-pas/2-T_ini,CdP_t)</f>
        <v>23</v>
      </c>
      <c r="Q408" s="417" t="n">
        <f aca="false">(INDEX(CdP,2,i_P+1)-INDEX(CdP,2,i_P+0))/(INDEX(CdP,1,i_P+1)-INDEX(CdP,1,i_P+0))*(t-pas/2-T_ini-INDEX(CdP,1,i_P+0))+INDEX(CdP,2,i_P+0)</f>
        <v>0</v>
      </c>
      <c r="R408" s="418" t="n">
        <f aca="false">Poussee/(g*ISP)</f>
        <v>0</v>
      </c>
      <c r="S408" s="419" t="n">
        <f aca="false">S407-Débit*pas</f>
        <v>7.37799999999998</v>
      </c>
      <c r="T408" s="417" t="n">
        <f aca="false">m*g</f>
        <v>72.3781799999998</v>
      </c>
      <c r="U408" s="421" t="n">
        <f aca="false">IF(pos_xz&lt;L_rampe,Poids*COS(Beta),0)</f>
        <v>0</v>
      </c>
      <c r="V408" s="418" t="n">
        <f aca="false">Rho_moyen*(20000-Alt_rampe-pos_z)/(20000+Alt_rampe+pos_z)</f>
        <v>1.15508949742701</v>
      </c>
      <c r="W408" s="417" t="n">
        <f aca="false">1/2*Rho*Sref*Cx*vit_xz^2</f>
        <v>104.387993422682</v>
      </c>
      <c r="X408" s="401"/>
      <c r="Y408" s="422" t="str">
        <f aca="false">IF(AND(pos_z&lt;=0,K407&gt;0),"Impact balistique","") &amp; IF(AND(H409&lt;0,vit_z&gt;=0),"Apogée","") &amp; IF(AND(Poussee=0,Q407&gt;0),"Fin de propulsion","") &amp; IF(AND(L409&gt;L_rampe,pos_xz&lt;=L_rampe),"Sortie de rampe","")</f>
        <v/>
      </c>
      <c r="Z408" s="423" t="str">
        <f aca="false">IF(ABS(t-T_para)&lt;pas/2,"Para","")</f>
        <v/>
      </c>
      <c r="AA408" s="424" t="str">
        <f aca="false">IF(ABS(t-T_satellite)&lt;pas/2,"Satellite","")</f>
        <v/>
      </c>
      <c r="AB408" s="412"/>
      <c r="AC408" s="420" t="e">
        <f aca="false">IF(ABS(t-ROUND(t,0))&lt;0.001,t,NA())</f>
        <v>#N/A</v>
      </c>
      <c r="AD408" s="425" t="e">
        <f aca="false">IF(ABS(t-ROUND(t,0))&lt;0.001,pos_x,NA())</f>
        <v>#N/A</v>
      </c>
      <c r="AE408" s="426" t="n">
        <f aca="false">IF(t&lt;T_para, pos_z, NA())</f>
        <v>587.461124033914</v>
      </c>
      <c r="AF408" s="412"/>
      <c r="AG408" s="418" t="n">
        <f aca="false">IF(AND(L407&lt;L_rampe,Poussee&lt;Poids*SIN(M407)),0,(-W407+Poussee)/m-Poids*SIN(M407)/m)</f>
        <v>-24.0944844945673</v>
      </c>
      <c r="AH408" s="417" t="n">
        <f aca="false">IF(AND(L407&lt;L_rampe,Poussee&lt;Poids*SIN(M407)), g*SIN(M407), (-W407+Poussee)/m)</f>
        <v>-14.5734346598637</v>
      </c>
    </row>
    <row r="409" customFormat="false" ht="12" hidden="false" customHeight="false" outlineLevel="0" collapsed="false">
      <c r="A409" s="416" t="n">
        <f aca="false">IF(B408+0.01&lt;=T_ini+ROUNDUP(Temps_fin_propu,0), 0.01, IF(K408&gt;0, 0.1, 0.0001))</f>
        <v>0.1</v>
      </c>
      <c r="B409" s="417" t="n">
        <f aca="false">B408+pas</f>
        <v>4.49999999999996</v>
      </c>
      <c r="C409" s="401"/>
      <c r="D409" s="418" t="n">
        <f aca="false">IF(AND(L408&lt;L_rampe,Poussee&lt;Poids*SIN(M408)),0,(-W408+Poussee)/m*COS(M408)-U408/m*SIN(M408))</f>
        <v>-3.42757493758168</v>
      </c>
      <c r="E409" s="419" t="n">
        <f aca="false">IF(AND(L408&lt;L_rampe,Poussee&lt;Poids*SIN(M408)),0,(-W408+Poussee)/m*SIN(M408)+U408/m*COS(M408)-Poids/m)</f>
        <v>-23.5370960015733</v>
      </c>
      <c r="F409" s="417" t="n">
        <f aca="false">SQRT(acc_x^2+acc_z^2)</f>
        <v>23.7853559599182</v>
      </c>
      <c r="G409" s="418" t="n">
        <f aca="false">G408+acc_x*pas</f>
        <v>41.1884598482038</v>
      </c>
      <c r="H409" s="419" t="n">
        <f aca="false">H408+acc_z*pas</f>
        <v>163.974676473746</v>
      </c>
      <c r="I409" s="417" t="n">
        <f aca="false">SQRT(vit_x^2+vit_z^2)</f>
        <v>169.06857706072</v>
      </c>
      <c r="J409" s="418" t="n">
        <f aca="false">J408+0.5*(vit_x+G408)*pas*(K408&gt;=0)</f>
        <v>137.186601602068</v>
      </c>
      <c r="K409" s="419" t="n">
        <f aca="false">K408+0.5*(vit_z+H408)*pas</f>
        <v>603.976277161297</v>
      </c>
      <c r="L409" s="417" t="n">
        <f aca="false">SQRT(pos_x^2+pos_z^2)</f>
        <v>619.360563026695</v>
      </c>
      <c r="M409" s="418" t="n">
        <f aca="false">IF(AND(L408&gt;L_rampe,G409&gt;0),ATAN2(G409,H409),$M$4)</f>
        <v>1.32469992311437</v>
      </c>
      <c r="N409" s="417" t="n">
        <f aca="false">DEGREES(Beta)</f>
        <v>75.8997147157581</v>
      </c>
      <c r="O409" s="401"/>
      <c r="P409" s="420" t="n">
        <f aca="false">MATCH(t-pas/2-T_ini,CdP_t)</f>
        <v>23</v>
      </c>
      <c r="Q409" s="417" t="n">
        <f aca="false">(INDEX(CdP,2,i_P+1)-INDEX(CdP,2,i_P+0))/(INDEX(CdP,1,i_P+1)-INDEX(CdP,1,i_P+0))*(t-pas/2-T_ini-INDEX(CdP,1,i_P+0))+INDEX(CdP,2,i_P+0)</f>
        <v>0</v>
      </c>
      <c r="R409" s="418" t="n">
        <f aca="false">Poussee/(g*ISP)</f>
        <v>0</v>
      </c>
      <c r="S409" s="419" t="n">
        <f aca="false">S408-Débit*pas</f>
        <v>7.37799999999998</v>
      </c>
      <c r="T409" s="417" t="n">
        <f aca="false">m*g</f>
        <v>72.3781799999998</v>
      </c>
      <c r="U409" s="421" t="n">
        <f aca="false">IF(pos_xz&lt;L_rampe,Poids*COS(Beta),0)</f>
        <v>0</v>
      </c>
      <c r="V409" s="418" t="n">
        <f aca="false">Rho_moyen*(20000-Alt_rampe-pos_z)/(20000+Alt_rampe+pos_z)</f>
        <v>1.15318173253842</v>
      </c>
      <c r="W409" s="417" t="n">
        <f aca="false">1/2*Rho*Sref*Cx*vit_xz^2</f>
        <v>101.358286800551</v>
      </c>
      <c r="X409" s="401"/>
      <c r="Y409" s="422" t="str">
        <f aca="false">IF(AND(pos_z&lt;=0,K408&gt;0),"Impact balistique","") &amp; IF(AND(H410&lt;0,vit_z&gt;=0),"Apogée","") &amp; IF(AND(Poussee=0,Q408&gt;0),"Fin de propulsion","") &amp; IF(AND(L410&gt;L_rampe,pos_xz&lt;=L_rampe),"Sortie de rampe","")</f>
        <v/>
      </c>
      <c r="Z409" s="423" t="str">
        <f aca="false">IF(ABS(t-T_para)&lt;pas/2,"Para","")</f>
        <v/>
      </c>
      <c r="AA409" s="424" t="str">
        <f aca="false">IF(ABS(t-T_satellite)&lt;pas/2,"Satellite","")</f>
        <v/>
      </c>
      <c r="AB409" s="412"/>
      <c r="AC409" s="420" t="e">
        <f aca="false">IF(ABS(t-ROUND(t,0))&lt;0.001,t,NA())</f>
        <v>#N/A</v>
      </c>
      <c r="AD409" s="425" t="e">
        <f aca="false">IF(ABS(t-ROUND(t,0))&lt;0.001,pos_x,NA())</f>
        <v>#N/A</v>
      </c>
      <c r="AE409" s="426" t="n">
        <f aca="false">IF(t&lt;T_para, pos_z, NA())</f>
        <v>603.976277161297</v>
      </c>
      <c r="AF409" s="412"/>
      <c r="AG409" s="418" t="n">
        <f aca="false">IF(AND(L408&lt;L_rampe,Poussee&lt;Poids*SIN(M408)),0,(-W408+Poussee)/m-Poids*SIN(M408)/m)</f>
        <v>-23.6663314302303</v>
      </c>
      <c r="AH409" s="417" t="n">
        <f aca="false">IF(AND(L408&lt;L_rampe,Poussee&lt;Poids*SIN(M408)), g*SIN(M408), (-W408+Poussee)/m)</f>
        <v>-14.1485488510005</v>
      </c>
    </row>
    <row r="410" customFormat="false" ht="12" hidden="false" customHeight="false" outlineLevel="0" collapsed="false">
      <c r="A410" s="416" t="n">
        <f aca="false">IF(B409+0.01&lt;=T_ini+ROUNDUP(Temps_fin_propu,0), 0.01, IF(K409&gt;0, 0.1, 0.0001))</f>
        <v>0.1</v>
      </c>
      <c r="B410" s="417" t="n">
        <f aca="false">B409+pas</f>
        <v>4.59999999999996</v>
      </c>
      <c r="C410" s="401"/>
      <c r="D410" s="418" t="n">
        <f aca="false">IF(AND(L409&lt;L_rampe,Poussee&lt;Poids*SIN(M409)),0,(-W409+Poussee)/m*COS(M409)-U409/m*SIN(M409))</f>
        <v>-3.3468270135991</v>
      </c>
      <c r="E410" s="419" t="n">
        <f aca="false">IF(AND(L409&lt;L_rampe,Poussee&lt;Poids*SIN(M409)),0,(-W409+Poussee)/m*SIN(M409)+U409/m*COS(M409)-Poids/m)</f>
        <v>-23.133996060815</v>
      </c>
      <c r="F410" s="417" t="n">
        <f aca="false">SQRT(acc_x^2+acc_z^2)</f>
        <v>23.3748374283279</v>
      </c>
      <c r="G410" s="418" t="n">
        <f aca="false">G409+acc_x*pas</f>
        <v>40.8537771468439</v>
      </c>
      <c r="H410" s="419" t="n">
        <f aca="false">H409+acc_z*pas</f>
        <v>161.661276867664</v>
      </c>
      <c r="I410" s="417" t="n">
        <f aca="false">SQRT(vit_x^2+vit_z^2)</f>
        <v>166.743514253621</v>
      </c>
      <c r="J410" s="418" t="n">
        <f aca="false">J409+0.5*(vit_x+G409)*pas*(K409&gt;=0)</f>
        <v>141.288713451821</v>
      </c>
      <c r="K410" s="419" t="n">
        <f aca="false">K409+0.5*(vit_z+H409)*pas</f>
        <v>620.258074828367</v>
      </c>
      <c r="L410" s="417" t="n">
        <f aca="false">SQRT(pos_x^2+pos_z^2)</f>
        <v>636.14666543075</v>
      </c>
      <c r="M410" s="418" t="n">
        <f aca="false">IF(AND(L409&gt;L_rampe,G410&gt;0),ATAN2(G410,H410),$M$4)</f>
        <v>1.32326663710718</v>
      </c>
      <c r="N410" s="417" t="n">
        <f aca="false">DEGREES(Beta)</f>
        <v>75.8175934767107</v>
      </c>
      <c r="O410" s="401"/>
      <c r="P410" s="420" t="n">
        <f aca="false">MATCH(t-pas/2-T_ini,CdP_t)</f>
        <v>23</v>
      </c>
      <c r="Q410" s="417" t="n">
        <f aca="false">(INDEX(CdP,2,i_P+1)-INDEX(CdP,2,i_P+0))/(INDEX(CdP,1,i_P+1)-INDEX(CdP,1,i_P+0))*(t-pas/2-T_ini-INDEX(CdP,1,i_P+0))+INDEX(CdP,2,i_P+0)</f>
        <v>0</v>
      </c>
      <c r="R410" s="418" t="n">
        <f aca="false">Poussee/(g*ISP)</f>
        <v>0</v>
      </c>
      <c r="S410" s="419" t="n">
        <f aca="false">S409-Débit*pas</f>
        <v>7.37799999999998</v>
      </c>
      <c r="T410" s="417" t="n">
        <f aca="false">m*g</f>
        <v>72.3781799999998</v>
      </c>
      <c r="U410" s="421" t="n">
        <f aca="false">IF(pos_xz&lt;L_rampe,Poids*COS(Beta),0)</f>
        <v>0</v>
      </c>
      <c r="V410" s="418" t="n">
        <f aca="false">Rho_moyen*(20000-Alt_rampe-pos_z)/(20000+Alt_rampe+pos_z)</f>
        <v>1.151303915411</v>
      </c>
      <c r="W410" s="417" t="n">
        <f aca="false">1/2*Rho*Sref*Cx*vit_xz^2</f>
        <v>98.4291182292463</v>
      </c>
      <c r="X410" s="401"/>
      <c r="Y410" s="422" t="str">
        <f aca="false">IF(AND(pos_z&lt;=0,K409&gt;0),"Impact balistique","") &amp; IF(AND(H411&lt;0,vit_z&gt;=0),"Apogée","") &amp; IF(AND(Poussee=0,Q409&gt;0),"Fin de propulsion","") &amp; IF(AND(L411&gt;L_rampe,pos_xz&lt;=L_rampe),"Sortie de rampe","")</f>
        <v/>
      </c>
      <c r="Z410" s="423" t="str">
        <f aca="false">IF(ABS(t-T_para)&lt;pas/2,"Para","")</f>
        <v/>
      </c>
      <c r="AA410" s="424" t="str">
        <f aca="false">IF(ABS(t-T_satellite)&lt;pas/2,"Satellite","")</f>
        <v/>
      </c>
      <c r="AB410" s="412"/>
      <c r="AC410" s="420" t="e">
        <f aca="false">IF(ABS(t-ROUND(t,0))&lt;0.001,t,NA())</f>
        <v>#N/A</v>
      </c>
      <c r="AD410" s="425" t="e">
        <f aca="false">IF(ABS(t-ROUND(t,0))&lt;0.001,pos_x,NA())</f>
        <v>#N/A</v>
      </c>
      <c r="AE410" s="426" t="n">
        <f aca="false">IF(t&lt;T_para, pos_z, NA())</f>
        <v>620.258074828367</v>
      </c>
      <c r="AF410" s="412"/>
      <c r="AG410" s="418" t="n">
        <f aca="false">IF(AND(L409&lt;L_rampe,Poussee&lt;Poids*SIN(M409)),0,(-W409+Poussee)/m-Poids*SIN(M409)/m)</f>
        <v>-23.252340784022</v>
      </c>
      <c r="AH410" s="417" t="n">
        <f aca="false">IF(AND(L409&lt;L_rampe,Poussee&lt;Poids*SIN(M409)), g*SIN(M409), (-W409+Poussee)/m)</f>
        <v>-13.7379082136827</v>
      </c>
    </row>
    <row r="411" customFormat="false" ht="12" hidden="false" customHeight="false" outlineLevel="0" collapsed="false">
      <c r="A411" s="416" t="n">
        <f aca="false">IF(B410+0.01&lt;=T_ini+ROUNDUP(Temps_fin_propu,0), 0.01, IF(K410&gt;0, 0.1, 0.0001))</f>
        <v>0.1</v>
      </c>
      <c r="B411" s="417" t="n">
        <f aca="false">B410+pas</f>
        <v>4.69999999999996</v>
      </c>
      <c r="C411" s="401"/>
      <c r="D411" s="418" t="n">
        <f aca="false">IF(AND(L410&lt;L_rampe,Poussee&lt;Poids*SIN(M410)),0,(-W410+Poussee)/m*COS(M410)-U410/m*SIN(M410))</f>
        <v>-3.26864841235792</v>
      </c>
      <c r="E411" s="419" t="n">
        <f aca="false">IF(AND(L410&lt;L_rampe,Poussee&lt;Poids*SIN(M410)),0,(-W410+Poussee)/m*SIN(M410)+U410/m*COS(M410)-Poids/m)</f>
        <v>-22.7442722479228</v>
      </c>
      <c r="F411" s="417" t="n">
        <f aca="false">SQRT(acc_x^2+acc_z^2)</f>
        <v>22.9779455681147</v>
      </c>
      <c r="G411" s="418" t="n">
        <f aca="false">G410+acc_x*pas</f>
        <v>40.5269123056081</v>
      </c>
      <c r="H411" s="419" t="n">
        <f aca="false">H410+acc_z*pas</f>
        <v>159.386849642872</v>
      </c>
      <c r="I411" s="417" t="n">
        <f aca="false">SQRT(vit_x^2+vit_z^2)</f>
        <v>164.458500723149</v>
      </c>
      <c r="J411" s="418" t="n">
        <f aca="false">J410+0.5*(vit_x+G410)*pas*(K410&gt;=0)</f>
        <v>145.357747924443</v>
      </c>
      <c r="K411" s="419" t="n">
        <f aca="false">K410+0.5*(vit_z+H410)*pas</f>
        <v>636.310481153894</v>
      </c>
      <c r="L411" s="417" t="n">
        <f aca="false">SQRT(pos_x^2+pos_z^2)</f>
        <v>652.702001918154</v>
      </c>
      <c r="M411" s="418" t="n">
        <f aca="false">IF(AND(L410&gt;L_rampe,G411&gt;0),ATAN2(G411,H411),$M$4)</f>
        <v>1.32180514625806</v>
      </c>
      <c r="N411" s="417" t="n">
        <f aca="false">DEGREES(Beta)</f>
        <v>75.7338562192591</v>
      </c>
      <c r="O411" s="401"/>
      <c r="P411" s="420" t="n">
        <f aca="false">MATCH(t-pas/2-T_ini,CdP_t)</f>
        <v>23</v>
      </c>
      <c r="Q411" s="417" t="n">
        <f aca="false">(INDEX(CdP,2,i_P+1)-INDEX(CdP,2,i_P+0))/(INDEX(CdP,1,i_P+1)-INDEX(CdP,1,i_P+0))*(t-pas/2-T_ini-INDEX(CdP,1,i_P+0))+INDEX(CdP,2,i_P+0)</f>
        <v>0</v>
      </c>
      <c r="R411" s="418" t="n">
        <f aca="false">Poussee/(g*ISP)</f>
        <v>0</v>
      </c>
      <c r="S411" s="419" t="n">
        <f aca="false">S410-Débit*pas</f>
        <v>7.37799999999998</v>
      </c>
      <c r="T411" s="417" t="n">
        <f aca="false">m*g</f>
        <v>72.3781799999998</v>
      </c>
      <c r="U411" s="421" t="n">
        <f aca="false">IF(pos_xz&lt;L_rampe,Poids*COS(Beta),0)</f>
        <v>0</v>
      </c>
      <c r="V411" s="418" t="n">
        <f aca="false">Rho_moyen*(20000-Alt_rampe-pos_z)/(20000+Alt_rampe+pos_z)</f>
        <v>1.14945545533681</v>
      </c>
      <c r="W411" s="417" t="n">
        <f aca="false">1/2*Rho*Sref*Cx*vit_xz^2</f>
        <v>95.5961740719625</v>
      </c>
      <c r="X411" s="401"/>
      <c r="Y411" s="422" t="str">
        <f aca="false">IF(AND(pos_z&lt;=0,K410&gt;0),"Impact balistique","") &amp; IF(AND(H412&lt;0,vit_z&gt;=0),"Apogée","") &amp; IF(AND(Poussee=0,Q410&gt;0),"Fin de propulsion","") &amp; IF(AND(L412&gt;L_rampe,pos_xz&lt;=L_rampe),"Sortie de rampe","")</f>
        <v/>
      </c>
      <c r="Z411" s="423" t="str">
        <f aca="false">IF(ABS(t-T_para)&lt;pas/2,"Para","")</f>
        <v/>
      </c>
      <c r="AA411" s="424" t="str">
        <f aca="false">IF(ABS(t-T_satellite)&lt;pas/2,"Satellite","")</f>
        <v/>
      </c>
      <c r="AB411" s="412"/>
      <c r="AC411" s="420" t="e">
        <f aca="false">IF(ABS(t-ROUND(t,0))&lt;0.001,t,NA())</f>
        <v>#N/A</v>
      </c>
      <c r="AD411" s="425" t="e">
        <f aca="false">IF(ABS(t-ROUND(t,0))&lt;0.001,pos_x,NA())</f>
        <v>#N/A</v>
      </c>
      <c r="AE411" s="426" t="n">
        <f aca="false">IF(t&lt;T_para, pos_z, NA())</f>
        <v>636.310481153894</v>
      </c>
      <c r="AF411" s="412"/>
      <c r="AG411" s="418" t="n">
        <f aca="false">IF(AND(L410&lt;L_rampe,Poussee&lt;Poids*SIN(M410)),0,(-W410+Poussee)/m-Poids*SIN(M410)/m)</f>
        <v>-22.8518916846091</v>
      </c>
      <c r="AH411" s="417" t="n">
        <f aca="false">IF(AND(L410&lt;L_rampe,Poussee&lt;Poids*SIN(M410)), g*SIN(M410), (-W410+Poussee)/m)</f>
        <v>-13.3408943113644</v>
      </c>
    </row>
    <row r="412" customFormat="false" ht="12" hidden="false" customHeight="false" outlineLevel="0" collapsed="false">
      <c r="A412" s="416" t="n">
        <f aca="false">IF(B411+0.01&lt;=T_ini+ROUNDUP(Temps_fin_propu,0), 0.01, IF(K411&gt;0, 0.1, 0.0001))</f>
        <v>0.1</v>
      </c>
      <c r="B412" s="417" t="n">
        <f aca="false">B411+pas</f>
        <v>4.79999999999996</v>
      </c>
      <c r="C412" s="401"/>
      <c r="D412" s="418" t="n">
        <f aca="false">IF(AND(L411&lt;L_rampe,Poussee&lt;Poids*SIN(M411)),0,(-W411+Poussee)/m*COS(M411)-U411/m*SIN(M411))</f>
        <v>-3.19292744898156</v>
      </c>
      <c r="E412" s="419" t="n">
        <f aca="false">IF(AND(L411&lt;L_rampe,Poussee&lt;Poids*SIN(M411)),0,(-W411+Poussee)/m*SIN(M411)+U411/m*COS(M411)-Poids/m)</f>
        <v>-22.3673506166419</v>
      </c>
      <c r="F412" s="417" t="n">
        <f aca="false">SQRT(acc_x^2+acc_z^2)</f>
        <v>22.5940956734774</v>
      </c>
      <c r="G412" s="418" t="n">
        <f aca="false">G411+acc_x*pas</f>
        <v>40.20761956071</v>
      </c>
      <c r="H412" s="419" t="n">
        <f aca="false">H411+acc_z*pas</f>
        <v>157.150114581208</v>
      </c>
      <c r="I412" s="417" t="n">
        <f aca="false">SQRT(vit_x^2+vit_z^2)</f>
        <v>162.212241164548</v>
      </c>
      <c r="J412" s="418" t="n">
        <f aca="false">J411+0.5*(vit_x+G411)*pas*(K411&gt;=0)</f>
        <v>149.394474517759</v>
      </c>
      <c r="K412" s="419" t="n">
        <f aca="false">K411+0.5*(vit_z+H411)*pas</f>
        <v>652.137329365098</v>
      </c>
      <c r="L412" s="417" t="n">
        <f aca="false">SQRT(pos_x^2+pos_z^2)</f>
        <v>669.030496590312</v>
      </c>
      <c r="M412" s="418" t="n">
        <f aca="false">IF(AND(L411&gt;L_rampe,G412&gt;0),ATAN2(G412,H412),$M$4)</f>
        <v>1.32031484957991</v>
      </c>
      <c r="N412" s="417" t="n">
        <f aca="false">DEGREES(Beta)</f>
        <v>75.648468509379</v>
      </c>
      <c r="O412" s="401"/>
      <c r="P412" s="420" t="n">
        <f aca="false">MATCH(t-pas/2-T_ini,CdP_t)</f>
        <v>23</v>
      </c>
      <c r="Q412" s="417" t="n">
        <f aca="false">(INDEX(CdP,2,i_P+1)-INDEX(CdP,2,i_P+0))/(INDEX(CdP,1,i_P+1)-INDEX(CdP,1,i_P+0))*(t-pas/2-T_ini-INDEX(CdP,1,i_P+0))+INDEX(CdP,2,i_P+0)</f>
        <v>0</v>
      </c>
      <c r="R412" s="418" t="n">
        <f aca="false">Poussee/(g*ISP)</f>
        <v>0</v>
      </c>
      <c r="S412" s="419" t="n">
        <f aca="false">S411-Débit*pas</f>
        <v>7.37799999999998</v>
      </c>
      <c r="T412" s="417" t="n">
        <f aca="false">m*g</f>
        <v>72.3781799999998</v>
      </c>
      <c r="U412" s="421" t="n">
        <f aca="false">IF(pos_xz&lt;L_rampe,Poids*COS(Beta),0)</f>
        <v>0</v>
      </c>
      <c r="V412" s="418" t="n">
        <f aca="false">Rho_moyen*(20000-Alt_rampe-pos_z)/(20000+Alt_rampe+pos_z)</f>
        <v>1.14763578188236</v>
      </c>
      <c r="W412" s="417" t="n">
        <f aca="false">1/2*Rho*Sref*Cx*vit_xz^2</f>
        <v>92.8553736709725</v>
      </c>
      <c r="X412" s="401"/>
      <c r="Y412" s="422" t="str">
        <f aca="false">IF(AND(pos_z&lt;=0,K411&gt;0),"Impact balistique","") &amp; IF(AND(H413&lt;0,vit_z&gt;=0),"Apogée","") &amp; IF(AND(Poussee=0,Q411&gt;0),"Fin de propulsion","") &amp; IF(AND(L413&gt;L_rampe,pos_xz&lt;=L_rampe),"Sortie de rampe","")</f>
        <v/>
      </c>
      <c r="Z412" s="423" t="str">
        <f aca="false">IF(ABS(t-T_para)&lt;pas/2,"Para","")</f>
        <v/>
      </c>
      <c r="AA412" s="424" t="str">
        <f aca="false">IF(ABS(t-T_satellite)&lt;pas/2,"Satellite","")</f>
        <v/>
      </c>
      <c r="AB412" s="412"/>
      <c r="AC412" s="420" t="e">
        <f aca="false">IF(ABS(t-ROUND(t,0))&lt;0.001,t,NA())</f>
        <v>#N/A</v>
      </c>
      <c r="AD412" s="425" t="e">
        <f aca="false">IF(ABS(t-ROUND(t,0))&lt;0.001,pos_x,NA())</f>
        <v>#N/A</v>
      </c>
      <c r="AE412" s="426" t="n">
        <f aca="false">IF(t&lt;T_para, pos_z, NA())</f>
        <v>652.137329365098</v>
      </c>
      <c r="AF412" s="412"/>
      <c r="AG412" s="418" t="n">
        <f aca="false">IF(AND(L411&lt;L_rampe,Poussee&lt;Poids*SIN(M411)),0,(-W411+Poussee)/m-Poids*SIN(M411)/m)</f>
        <v>-22.4643969397876</v>
      </c>
      <c r="AH412" s="417" t="n">
        <f aca="false">IF(AND(L411&lt;L_rampe,Poussee&lt;Poids*SIN(M411)), g*SIN(M411), (-W411+Poussee)/m)</f>
        <v>-12.9569224819684</v>
      </c>
    </row>
    <row r="413" customFormat="false" ht="12" hidden="false" customHeight="false" outlineLevel="0" collapsed="false">
      <c r="A413" s="416" t="n">
        <f aca="false">IF(B412+0.01&lt;=T_ini+ROUNDUP(Temps_fin_propu,0), 0.01, IF(K412&gt;0, 0.1, 0.0001))</f>
        <v>0.1</v>
      </c>
      <c r="B413" s="417" t="n">
        <f aca="false">B412+pas</f>
        <v>4.89999999999996</v>
      </c>
      <c r="C413" s="401"/>
      <c r="D413" s="418" t="n">
        <f aca="false">IF(AND(L412&lt;L_rampe,Poussee&lt;Poids*SIN(M412)),0,(-W412+Poussee)/m*COS(M412)-U412/m*SIN(M412))</f>
        <v>-3.1195584590593</v>
      </c>
      <c r="E413" s="419" t="n">
        <f aca="false">IF(AND(L412&lt;L_rampe,Poussee&lt;Poids*SIN(M412)),0,(-W412+Poussee)/m*SIN(M412)+U412/m*COS(M412)-Poids/m)</f>
        <v>-22.0026882178073</v>
      </c>
      <c r="F413" s="417" t="n">
        <f aca="false">SQRT(acc_x^2+acc_z^2)</f>
        <v>22.2227346154681</v>
      </c>
      <c r="G413" s="418" t="n">
        <f aca="false">G412+acc_x*pas</f>
        <v>39.895663714804</v>
      </c>
      <c r="H413" s="419" t="n">
        <f aca="false">H412+acc_z*pas</f>
        <v>154.949845759427</v>
      </c>
      <c r="I413" s="417" t="n">
        <f aca="false">SQRT(vit_x^2+vit_z^2)</f>
        <v>160.003495849669</v>
      </c>
      <c r="J413" s="418" t="n">
        <f aca="false">J412+0.5*(vit_x+G412)*pas*(K412&gt;=0)</f>
        <v>153.399638681535</v>
      </c>
      <c r="K413" s="419" t="n">
        <f aca="false">K412+0.5*(vit_z+H412)*pas</f>
        <v>667.74232738213</v>
      </c>
      <c r="L413" s="417" t="n">
        <f aca="false">SQRT(pos_x^2+pos_z^2)</f>
        <v>685.135946309438</v>
      </c>
      <c r="M413" s="418" t="n">
        <f aca="false">IF(AND(L412&gt;L_rampe,G413&gt;0),ATAN2(G413,H413),$M$4)</f>
        <v>1.31879512656532</v>
      </c>
      <c r="N413" s="417" t="n">
        <f aca="false">DEGREES(Beta)</f>
        <v>75.5613947946143</v>
      </c>
      <c r="O413" s="401"/>
      <c r="P413" s="420" t="n">
        <f aca="false">MATCH(t-pas/2-T_ini,CdP_t)</f>
        <v>23</v>
      </c>
      <c r="Q413" s="417" t="n">
        <f aca="false">(INDEX(CdP,2,i_P+1)-INDEX(CdP,2,i_P+0))/(INDEX(CdP,1,i_P+1)-INDEX(CdP,1,i_P+0))*(t-pas/2-T_ini-INDEX(CdP,1,i_P+0))+INDEX(CdP,2,i_P+0)</f>
        <v>0</v>
      </c>
      <c r="R413" s="418" t="n">
        <f aca="false">Poussee/(g*ISP)</f>
        <v>0</v>
      </c>
      <c r="S413" s="419" t="n">
        <f aca="false">S412-Débit*pas</f>
        <v>7.37799999999998</v>
      </c>
      <c r="T413" s="417" t="n">
        <f aca="false">m*g</f>
        <v>72.3781799999998</v>
      </c>
      <c r="U413" s="421" t="n">
        <f aca="false">IF(pos_xz&lt;L_rampe,Poids*COS(Beta),0)</f>
        <v>0</v>
      </c>
      <c r="V413" s="418" t="n">
        <f aca="false">Rho_moyen*(20000-Alt_rampe-pos_z)/(20000+Alt_rampe+pos_z)</f>
        <v>1.14584434399403</v>
      </c>
      <c r="W413" s="417" t="n">
        <f aca="false">1/2*Rho*Sref*Cx*vit_xz^2</f>
        <v>90.2028543612567</v>
      </c>
      <c r="X413" s="401"/>
      <c r="Y413" s="422" t="str">
        <f aca="false">IF(AND(pos_z&lt;=0,K412&gt;0),"Impact balistique","") &amp; IF(AND(H414&lt;0,vit_z&gt;=0),"Apogée","") &amp; IF(AND(Poussee=0,Q412&gt;0),"Fin de propulsion","") &amp; IF(AND(L414&gt;L_rampe,pos_xz&lt;=L_rampe),"Sortie de rampe","")</f>
        <v/>
      </c>
      <c r="Z413" s="423" t="str">
        <f aca="false">IF(ABS(t-T_para)&lt;pas/2,"Para","")</f>
        <v/>
      </c>
      <c r="AA413" s="424" t="str">
        <f aca="false">IF(ABS(t-T_satellite)&lt;pas/2,"Satellite","")</f>
        <v/>
      </c>
      <c r="AB413" s="412"/>
      <c r="AC413" s="420" t="e">
        <f aca="false">IF(ABS(t-ROUND(t,0))&lt;0.001,t,NA())</f>
        <v>#N/A</v>
      </c>
      <c r="AD413" s="425" t="e">
        <f aca="false">IF(ABS(t-ROUND(t,0))&lt;0.001,pos_x,NA())</f>
        <v>#N/A</v>
      </c>
      <c r="AE413" s="426" t="n">
        <f aca="false">IF(t&lt;T_para, pos_z, NA())</f>
        <v>667.74232738213</v>
      </c>
      <c r="AF413" s="412"/>
      <c r="AG413" s="418" t="n">
        <f aca="false">IF(AND(L412&lt;L_rampe,Poussee&lt;Poids*SIN(M412)),0,(-W412+Poussee)/m-Poids*SIN(M412)/m)</f>
        <v>-22.0893008352403</v>
      </c>
      <c r="AH413" s="417" t="n">
        <f aca="false">IF(AND(L412&lt;L_rampe,Poussee&lt;Poids*SIN(M412)), g*SIN(M412), (-W412+Poussee)/m)</f>
        <v>-12.5854396409559</v>
      </c>
    </row>
    <row r="414" customFormat="false" ht="12" hidden="false" customHeight="false" outlineLevel="0" collapsed="false">
      <c r="A414" s="416" t="n">
        <f aca="false">IF(B413+0.01&lt;=T_ini+ROUNDUP(Temps_fin_propu,0), 0.01, IF(K413&gt;0, 0.1, 0.0001))</f>
        <v>0.1</v>
      </c>
      <c r="B414" s="417" t="n">
        <f aca="false">B413+pas</f>
        <v>4.99999999999996</v>
      </c>
      <c r="C414" s="401"/>
      <c r="D414" s="418" t="n">
        <f aca="false">IF(AND(L413&lt;L_rampe,Poussee&lt;Poids*SIN(M413)),0,(-W413+Poussee)/m*COS(M413)-U413/m*SIN(M413))</f>
        <v>-3.04844141125335</v>
      </c>
      <c r="E414" s="419" t="n">
        <f aca="false">IF(AND(L413&lt;L_rampe,Poussee&lt;Poids*SIN(M413)),0,(-W413+Poussee)/m*SIN(M413)+U413/m*COS(M413)-Poids/m)</f>
        <v>-21.6497711053765</v>
      </c>
      <c r="F414" s="417" t="n">
        <f aca="false">SQRT(acc_x^2+acc_z^2)</f>
        <v>21.8633388107361</v>
      </c>
      <c r="G414" s="418" t="n">
        <f aca="false">G413+acc_x*pas</f>
        <v>39.5908195736787</v>
      </c>
      <c r="H414" s="419" t="n">
        <f aca="false">H413+acc_z*pas</f>
        <v>152.784868648889</v>
      </c>
      <c r="I414" s="417" t="n">
        <f aca="false">SQRT(vit_x^2+vit_z^2)</f>
        <v>157.83107768299</v>
      </c>
      <c r="J414" s="418" t="n">
        <f aca="false">J413+0.5*(vit_x+G413)*pas*(K413&gt;=0)</f>
        <v>157.373962845959</v>
      </c>
      <c r="K414" s="419" t="n">
        <f aca="false">K413+0.5*(vit_z+H413)*pas</f>
        <v>683.129063102546</v>
      </c>
      <c r="L414" s="417" t="n">
        <f aca="false">SQRT(pos_x^2+pos_z^2)</f>
        <v>701.022026071366</v>
      </c>
      <c r="M414" s="418" t="n">
        <f aca="false">IF(AND(L413&gt;L_rampe,G414&gt;0),ATAN2(G414,H414),$M$4)</f>
        <v>1.31724533646523</v>
      </c>
      <c r="N414" s="417" t="n">
        <f aca="false">DEGREES(Beta)</f>
        <v>75.4725983627477</v>
      </c>
      <c r="O414" s="401"/>
      <c r="P414" s="420" t="n">
        <f aca="false">MATCH(t-pas/2-T_ini,CdP_t)</f>
        <v>23</v>
      </c>
      <c r="Q414" s="417" t="n">
        <f aca="false">(INDEX(CdP,2,i_P+1)-INDEX(CdP,2,i_P+0))/(INDEX(CdP,1,i_P+1)-INDEX(CdP,1,i_P+0))*(t-pas/2-T_ini-INDEX(CdP,1,i_P+0))+INDEX(CdP,2,i_P+0)</f>
        <v>0</v>
      </c>
      <c r="R414" s="418" t="n">
        <f aca="false">Poussee/(g*ISP)</f>
        <v>0</v>
      </c>
      <c r="S414" s="419" t="n">
        <f aca="false">S413-Débit*pas</f>
        <v>7.37799999999998</v>
      </c>
      <c r="T414" s="417" t="n">
        <f aca="false">m*g</f>
        <v>72.3781799999998</v>
      </c>
      <c r="U414" s="421" t="n">
        <f aca="false">IF(pos_xz&lt;L_rampe,Poids*COS(Beta),0)</f>
        <v>0</v>
      </c>
      <c r="V414" s="418" t="n">
        <f aca="false">Rho_moyen*(20000-Alt_rampe-pos_z)/(20000+Alt_rampe+pos_z)</f>
        <v>1.14408060915275</v>
      </c>
      <c r="W414" s="417" t="n">
        <f aca="false">1/2*Rho*Sref*Cx*vit_xz^2</f>
        <v>87.6349576021319</v>
      </c>
      <c r="X414" s="401"/>
      <c r="Y414" s="422" t="str">
        <f aca="false">IF(AND(pos_z&lt;=0,K413&gt;0),"Impact balistique","") &amp; IF(AND(H415&lt;0,vit_z&gt;=0),"Apogée","") &amp; IF(AND(Poussee=0,Q413&gt;0),"Fin de propulsion","") &amp; IF(AND(L415&gt;L_rampe,pos_xz&lt;=L_rampe),"Sortie de rampe","")</f>
        <v/>
      </c>
      <c r="Z414" s="423" t="str">
        <f aca="false">IF(ABS(t-T_para)&lt;pas/2,"Para","")</f>
        <v/>
      </c>
      <c r="AA414" s="424" t="str">
        <f aca="false">IF(ABS(t-T_satellite)&lt;pas/2,"Satellite","")</f>
        <v/>
      </c>
      <c r="AB414" s="412"/>
      <c r="AC414" s="420" t="n">
        <f aca="false">IF(ABS(t-ROUND(t,0))&lt;0.001,t,NA())</f>
        <v>4.99999999999996</v>
      </c>
      <c r="AD414" s="425" t="n">
        <f aca="false">IF(ABS(t-ROUND(t,0))&lt;0.001,pos_x,NA())</f>
        <v>157.373962845959</v>
      </c>
      <c r="AE414" s="426" t="n">
        <f aca="false">IF(t&lt;T_para, pos_z, NA())</f>
        <v>683.129063102546</v>
      </c>
      <c r="AF414" s="412"/>
      <c r="AG414" s="418" t="n">
        <f aca="false">IF(AND(L413&lt;L_rampe,Poussee&lt;Poids*SIN(M413)),0,(-W413+Poussee)/m-Poids*SIN(M413)/m)</f>
        <v>-21.7260770987701</v>
      </c>
      <c r="AH414" s="417" t="n">
        <f aca="false">IF(AND(L413&lt;L_rampe,Poussee&lt;Poids*SIN(M413)), g*SIN(M413), (-W413+Poussee)/m)</f>
        <v>-12.2259222501026</v>
      </c>
    </row>
    <row r="415" customFormat="false" ht="12" hidden="false" customHeight="false" outlineLevel="0" collapsed="false">
      <c r="A415" s="416" t="n">
        <f aca="false">IF(B414+0.01&lt;=T_ini+ROUNDUP(Temps_fin_propu,0), 0.01, IF(K414&gt;0, 0.1, 0.0001))</f>
        <v>0.1</v>
      </c>
      <c r="B415" s="417" t="n">
        <f aca="false">B414+pas</f>
        <v>5.09999999999996</v>
      </c>
      <c r="C415" s="401"/>
      <c r="D415" s="418" t="n">
        <f aca="false">IF(AND(L414&lt;L_rampe,Poussee&lt;Poids*SIN(M414)),0,(-W414+Poussee)/m*COS(M414)-U414/m*SIN(M414))</f>
        <v>-2.97948154881456</v>
      </c>
      <c r="E415" s="419" t="n">
        <f aca="false">IF(AND(L414&lt;L_rampe,Poussee&lt;Poids*SIN(M414)),0,(-W414+Poussee)/m*SIN(M414)+U414/m*COS(M414)-Poids/m)</f>
        <v>-21.3081124912116</v>
      </c>
      <c r="F415" s="417" t="n">
        <f aca="false">SQRT(acc_x^2+acc_z^2)</f>
        <v>21.5154123418041</v>
      </c>
      <c r="G415" s="418" t="n">
        <f aca="false">G414+acc_x*pas</f>
        <v>39.2928714187973</v>
      </c>
      <c r="H415" s="419" t="n">
        <f aca="false">H414+acc_z*pas</f>
        <v>150.654057399768</v>
      </c>
      <c r="I415" s="417" t="n">
        <f aca="false">SQRT(vit_x^2+vit_z^2)</f>
        <v>155.693849446106</v>
      </c>
      <c r="J415" s="418" t="n">
        <f aca="false">J414+0.5*(vit_x+G414)*pas*(K414&gt;=0)</f>
        <v>161.318147395583</v>
      </c>
      <c r="K415" s="419" t="n">
        <f aca="false">K414+0.5*(vit_z+H414)*pas</f>
        <v>698.301009404979</v>
      </c>
      <c r="L415" s="417" t="n">
        <f aca="false">SQRT(pos_x^2+pos_z^2)</f>
        <v>716.692294095001</v>
      </c>
      <c r="M415" s="418" t="n">
        <f aca="false">IF(AND(L414&gt;L_rampe,G415&gt;0),ATAN2(G415,H415),$M$4)</f>
        <v>1.31566481753438</v>
      </c>
      <c r="N415" s="417" t="n">
        <f aca="false">DEGREES(Beta)</f>
        <v>75.3820412985693</v>
      </c>
      <c r="O415" s="401"/>
      <c r="P415" s="420" t="n">
        <f aca="false">MATCH(t-pas/2-T_ini,CdP_t)</f>
        <v>23</v>
      </c>
      <c r="Q415" s="417" t="n">
        <f aca="false">(INDEX(CdP,2,i_P+1)-INDEX(CdP,2,i_P+0))/(INDEX(CdP,1,i_P+1)-INDEX(CdP,1,i_P+0))*(t-pas/2-T_ini-INDEX(CdP,1,i_P+0))+INDEX(CdP,2,i_P+0)</f>
        <v>0</v>
      </c>
      <c r="R415" s="418" t="n">
        <f aca="false">Poussee/(g*ISP)</f>
        <v>0</v>
      </c>
      <c r="S415" s="419" t="n">
        <f aca="false">S414-Débit*pas</f>
        <v>7.37799999999998</v>
      </c>
      <c r="T415" s="417" t="n">
        <f aca="false">m*g</f>
        <v>72.3781799999998</v>
      </c>
      <c r="U415" s="421" t="n">
        <f aca="false">IF(pos_xz&lt;L_rampe,Poids*COS(Beta),0)</f>
        <v>0</v>
      </c>
      <c r="V415" s="418" t="n">
        <f aca="false">Rho_moyen*(20000-Alt_rampe-pos_z)/(20000+Alt_rampe+pos_z)</f>
        <v>1.14234406257476</v>
      </c>
      <c r="W415" s="417" t="n">
        <f aca="false">1/2*Rho*Sref*Cx*vit_xz^2</f>
        <v>85.1482161322916</v>
      </c>
      <c r="X415" s="401"/>
      <c r="Y415" s="422" t="str">
        <f aca="false">IF(AND(pos_z&lt;=0,K414&gt;0),"Impact balistique","") &amp; IF(AND(H416&lt;0,vit_z&gt;=0),"Apogée","") &amp; IF(AND(Poussee=0,Q414&gt;0),"Fin de propulsion","") &amp; IF(AND(L416&gt;L_rampe,pos_xz&lt;=L_rampe),"Sortie de rampe","")</f>
        <v/>
      </c>
      <c r="Z415" s="423" t="str">
        <f aca="false">IF(ABS(t-T_para)&lt;pas/2,"Para","")</f>
        <v/>
      </c>
      <c r="AA415" s="424" t="str">
        <f aca="false">IF(ABS(t-T_satellite)&lt;pas/2,"Satellite","")</f>
        <v/>
      </c>
      <c r="AB415" s="412"/>
      <c r="AC415" s="420" t="e">
        <f aca="false">IF(ABS(t-ROUND(t,0))&lt;0.001,t,NA())</f>
        <v>#N/A</v>
      </c>
      <c r="AD415" s="425" t="e">
        <f aca="false">IF(ABS(t-ROUND(t,0))&lt;0.001,pos_x,NA())</f>
        <v>#N/A</v>
      </c>
      <c r="AE415" s="426" t="n">
        <f aca="false">IF(t&lt;T_para, pos_z, NA())</f>
        <v>698.301009404979</v>
      </c>
      <c r="AF415" s="412"/>
      <c r="AG415" s="418" t="n">
        <f aca="false">IF(AND(L414&lt;L_rampe,Poussee&lt;Poids*SIN(M414)),0,(-W414+Poussee)/m-Poids*SIN(M414)/m)</f>
        <v>-21.37422701582</v>
      </c>
      <c r="AH415" s="417" t="n">
        <f aca="false">IF(AND(L414&lt;L_rampe,Poussee&lt;Poids*SIN(M414)), g*SIN(M414), (-W414+Poussee)/m)</f>
        <v>-11.8778744378059</v>
      </c>
    </row>
    <row r="416" customFormat="false" ht="12" hidden="false" customHeight="false" outlineLevel="0" collapsed="false">
      <c r="A416" s="416" t="n">
        <f aca="false">IF(B415+0.01&lt;=T_ini+ROUNDUP(Temps_fin_propu,0), 0.01, IF(K415&gt;0, 0.1, 0.0001))</f>
        <v>0.1</v>
      </c>
      <c r="B416" s="417" t="n">
        <f aca="false">B415+pas</f>
        <v>5.19999999999996</v>
      </c>
      <c r="C416" s="401"/>
      <c r="D416" s="418" t="n">
        <f aca="false">IF(AND(L415&lt;L_rampe,Poussee&lt;Poids*SIN(M415)),0,(-W415+Poussee)/m*COS(M415)-U415/m*SIN(M415))</f>
        <v>-2.91258905756154</v>
      </c>
      <c r="E416" s="419" t="n">
        <f aca="false">IF(AND(L415&lt;L_rampe,Poussee&lt;Poids*SIN(M415)),0,(-W415+Poussee)/m*SIN(M415)+U415/m*COS(M415)-Poids/m)</f>
        <v>-20.9772510360212</v>
      </c>
      <c r="F416" s="417" t="n">
        <f aca="false">SQRT(acc_x^2+acc_z^2)</f>
        <v>21.1784852160508</v>
      </c>
      <c r="G416" s="418" t="n">
        <f aca="false">G415+acc_x*pas</f>
        <v>39.0016125130411</v>
      </c>
      <c r="H416" s="419" t="n">
        <f aca="false">H415+acc_z*pas</f>
        <v>148.556332296166</v>
      </c>
      <c r="I416" s="417" t="n">
        <f aca="false">SQRT(vit_x^2+vit_z^2)</f>
        <v>153.590721216831</v>
      </c>
      <c r="J416" s="418" t="n">
        <f aca="false">J415+0.5*(vit_x+G415)*pas*(K415&gt;=0)</f>
        <v>165.232871592175</v>
      </c>
      <c r="K416" s="419" t="n">
        <f aca="false">K415+0.5*(vit_z+H415)*pas</f>
        <v>713.261528889775</v>
      </c>
      <c r="L416" s="417" t="n">
        <f aca="false">SQRT(pos_x^2+pos_z^2)</f>
        <v>732.150196646</v>
      </c>
      <c r="M416" s="418" t="n">
        <f aca="false">IF(AND(L415&gt;L_rampe,G416&gt;0),ATAN2(G416,H416),$M$4)</f>
        <v>1.31405288624197</v>
      </c>
      <c r="N416" s="417" t="n">
        <f aca="false">DEGREES(Beta)</f>
        <v>75.2896844386496</v>
      </c>
      <c r="O416" s="401"/>
      <c r="P416" s="420" t="n">
        <f aca="false">MATCH(t-pas/2-T_ini,CdP_t)</f>
        <v>23</v>
      </c>
      <c r="Q416" s="417" t="n">
        <f aca="false">(INDEX(CdP,2,i_P+1)-INDEX(CdP,2,i_P+0))/(INDEX(CdP,1,i_P+1)-INDEX(CdP,1,i_P+0))*(t-pas/2-T_ini-INDEX(CdP,1,i_P+0))+INDEX(CdP,2,i_P+0)</f>
        <v>0</v>
      </c>
      <c r="R416" s="418" t="n">
        <f aca="false">Poussee/(g*ISP)</f>
        <v>0</v>
      </c>
      <c r="S416" s="419" t="n">
        <f aca="false">S415-Débit*pas</f>
        <v>7.37799999999998</v>
      </c>
      <c r="T416" s="417" t="n">
        <f aca="false">m*g</f>
        <v>72.3781799999998</v>
      </c>
      <c r="U416" s="421" t="n">
        <f aca="false">IF(pos_xz&lt;L_rampe,Poids*COS(Beta),0)</f>
        <v>0</v>
      </c>
      <c r="V416" s="418" t="n">
        <f aca="false">Rho_moyen*(20000-Alt_rampe-pos_z)/(20000+Alt_rampe+pos_z)</f>
        <v>1.14063420645548</v>
      </c>
      <c r="W416" s="417" t="n">
        <f aca="false">1/2*Rho*Sref*Cx*vit_xz^2</f>
        <v>82.7393420625964</v>
      </c>
      <c r="X416" s="401"/>
      <c r="Y416" s="422" t="str">
        <f aca="false">IF(AND(pos_z&lt;=0,K415&gt;0),"Impact balistique","") &amp; IF(AND(H417&lt;0,vit_z&gt;=0),"Apogée","") &amp; IF(AND(Poussee=0,Q415&gt;0),"Fin de propulsion","") &amp; IF(AND(L417&gt;L_rampe,pos_xz&lt;=L_rampe),"Sortie de rampe","")</f>
        <v/>
      </c>
      <c r="Z416" s="423" t="str">
        <f aca="false">IF(ABS(t-T_para)&lt;pas/2,"Para","")</f>
        <v/>
      </c>
      <c r="AA416" s="424" t="str">
        <f aca="false">IF(ABS(t-T_satellite)&lt;pas/2,"Satellite","")</f>
        <v/>
      </c>
      <c r="AB416" s="412"/>
      <c r="AC416" s="420" t="e">
        <f aca="false">IF(ABS(t-ROUND(t,0))&lt;0.001,t,NA())</f>
        <v>#N/A</v>
      </c>
      <c r="AD416" s="425" t="e">
        <f aca="false">IF(ABS(t-ROUND(t,0))&lt;0.001,pos_x,NA())</f>
        <v>#N/A</v>
      </c>
      <c r="AE416" s="426" t="n">
        <f aca="false">IF(t&lt;T_para, pos_z, NA())</f>
        <v>713.261528889775</v>
      </c>
      <c r="AF416" s="412"/>
      <c r="AG416" s="418" t="n">
        <f aca="false">IF(AND(L415&lt;L_rampe,Poussee&lt;Poids*SIN(M415)),0,(-W415+Poussee)/m-Poids*SIN(M415)/m)</f>
        <v>-21.0332776834464</v>
      </c>
      <c r="AH416" s="417" t="n">
        <f aca="false">IF(AND(L415&lt;L_rampe,Poussee&lt;Poids*SIN(M415)), g*SIN(M415), (-W415+Poussee)/m)</f>
        <v>-11.5408262581041</v>
      </c>
    </row>
    <row r="417" customFormat="false" ht="12" hidden="false" customHeight="false" outlineLevel="0" collapsed="false">
      <c r="A417" s="416" t="n">
        <f aca="false">IF(B416+0.01&lt;=T_ini+ROUNDUP(Temps_fin_propu,0), 0.01, IF(K416&gt;0, 0.1, 0.0001))</f>
        <v>0.1</v>
      </c>
      <c r="B417" s="417" t="n">
        <f aca="false">B416+pas</f>
        <v>5.29999999999995</v>
      </c>
      <c r="C417" s="401"/>
      <c r="D417" s="418" t="n">
        <f aca="false">IF(AND(L416&lt;L_rampe,Poussee&lt;Poids*SIN(M416)),0,(-W416+Poussee)/m*COS(M416)-U416/m*SIN(M416))</f>
        <v>-2.84767875810855</v>
      </c>
      <c r="E417" s="419" t="n">
        <f aca="false">IF(AND(L416&lt;L_rampe,Poussee&lt;Poids*SIN(M416)),0,(-W416+Poussee)/m*SIN(M416)+U416/m*COS(M416)-Poids/m)</f>
        <v>-20.6567492650683</v>
      </c>
      <c r="F417" s="417" t="n">
        <f aca="false">SQRT(acc_x^2+acc_z^2)</f>
        <v>20.8521117517935</v>
      </c>
      <c r="G417" s="418" t="n">
        <f aca="false">G416+acc_x*pas</f>
        <v>38.7168446372302</v>
      </c>
      <c r="H417" s="419" t="n">
        <f aca="false">H416+acc_z*pas</f>
        <v>146.490657369659</v>
      </c>
      <c r="I417" s="417" t="n">
        <f aca="false">SQRT(vit_x^2+vit_z^2)</f>
        <v>151.520647950233</v>
      </c>
      <c r="J417" s="418" t="n">
        <f aca="false">J416+0.5*(vit_x+G416)*pas*(K416&gt;=0)</f>
        <v>169.118794449688</v>
      </c>
      <c r="K417" s="419" t="n">
        <f aca="false">K416+0.5*(vit_z+H416)*pas</f>
        <v>728.013878373066</v>
      </c>
      <c r="L417" s="417" t="n">
        <f aca="false">SQRT(pos_x^2+pos_z^2)</f>
        <v>747.399072611085</v>
      </c>
      <c r="M417" s="418" t="n">
        <f aca="false">IF(AND(L416&gt;L_rampe,G417&gt;0),ATAN2(G417,H417),$M$4)</f>
        <v>1.31240883644566</v>
      </c>
      <c r="N417" s="417" t="n">
        <f aca="false">DEGREES(Beta)</f>
        <v>75.1954873240114</v>
      </c>
      <c r="O417" s="401"/>
      <c r="P417" s="420" t="n">
        <f aca="false">MATCH(t-pas/2-T_ini,CdP_t)</f>
        <v>23</v>
      </c>
      <c r="Q417" s="417" t="n">
        <f aca="false">(INDEX(CdP,2,i_P+1)-INDEX(CdP,2,i_P+0))/(INDEX(CdP,1,i_P+1)-INDEX(CdP,1,i_P+0))*(t-pas/2-T_ini-INDEX(CdP,1,i_P+0))+INDEX(CdP,2,i_P+0)</f>
        <v>0</v>
      </c>
      <c r="R417" s="418" t="n">
        <f aca="false">Poussee/(g*ISP)</f>
        <v>0</v>
      </c>
      <c r="S417" s="419" t="n">
        <f aca="false">S416-Débit*pas</f>
        <v>7.37799999999998</v>
      </c>
      <c r="T417" s="417" t="n">
        <f aca="false">m*g</f>
        <v>72.3781799999998</v>
      </c>
      <c r="U417" s="421" t="n">
        <f aca="false">IF(pos_xz&lt;L_rampe,Poids*COS(Beta),0)</f>
        <v>0</v>
      </c>
      <c r="V417" s="418" t="n">
        <f aca="false">Rho_moyen*(20000-Alt_rampe-pos_z)/(20000+Alt_rampe+pos_z)</f>
        <v>1.13895055925377</v>
      </c>
      <c r="W417" s="417" t="n">
        <f aca="false">1/2*Rho*Sref*Cx*vit_xz^2</f>
        <v>80.4052158289576</v>
      </c>
      <c r="X417" s="401"/>
      <c r="Y417" s="422" t="str">
        <f aca="false">IF(AND(pos_z&lt;=0,K416&gt;0),"Impact balistique","") &amp; IF(AND(H418&lt;0,vit_z&gt;=0),"Apogée","") &amp; IF(AND(Poussee=0,Q416&gt;0),"Fin de propulsion","") &amp; IF(AND(L418&gt;L_rampe,pos_xz&lt;=L_rampe),"Sortie de rampe","")</f>
        <v/>
      </c>
      <c r="Z417" s="423" t="str">
        <f aca="false">IF(ABS(t-T_para)&lt;pas/2,"Para","")</f>
        <v/>
      </c>
      <c r="AA417" s="424" t="str">
        <f aca="false">IF(ABS(t-T_satellite)&lt;pas/2,"Satellite","")</f>
        <v/>
      </c>
      <c r="AB417" s="412"/>
      <c r="AC417" s="420" t="e">
        <f aca="false">IF(ABS(t-ROUND(t,0))&lt;0.001,t,NA())</f>
        <v>#N/A</v>
      </c>
      <c r="AD417" s="425" t="e">
        <f aca="false">IF(ABS(t-ROUND(t,0))&lt;0.001,pos_x,NA())</f>
        <v>#N/A</v>
      </c>
      <c r="AE417" s="426" t="n">
        <f aca="false">IF(t&lt;T_para, pos_z, NA())</f>
        <v>728.013878373066</v>
      </c>
      <c r="AF417" s="412"/>
      <c r="AG417" s="418" t="n">
        <f aca="false">IF(AND(L416&lt;L_rampe,Poussee&lt;Poids*SIN(M416)),0,(-W416+Poussee)/m-Poids*SIN(M416)/m)</f>
        <v>-20.7027803911177</v>
      </c>
      <c r="AH417" s="417" t="n">
        <f aca="false">IF(AND(L416&lt;L_rampe,Poussee&lt;Poids*SIN(M416)), g*SIN(M416), (-W416+Poussee)/m)</f>
        <v>-11.2143320767954</v>
      </c>
    </row>
    <row r="418" customFormat="false" ht="12" hidden="false" customHeight="false" outlineLevel="0" collapsed="false">
      <c r="A418" s="416" t="n">
        <f aca="false">IF(B417+0.01&lt;=T_ini+ROUNDUP(Temps_fin_propu,0), 0.01, IF(K417&gt;0, 0.1, 0.0001))</f>
        <v>0.1</v>
      </c>
      <c r="B418" s="417" t="n">
        <f aca="false">B417+pas</f>
        <v>5.39999999999995</v>
      </c>
      <c r="C418" s="401"/>
      <c r="D418" s="418" t="n">
        <f aca="false">IF(AND(L417&lt;L_rampe,Poussee&lt;Poids*SIN(M417)),0,(-W417+Poussee)/m*COS(M417)-U417/m*SIN(M417))</f>
        <v>-2.7846698203347</v>
      </c>
      <c r="E418" s="419" t="n">
        <f aca="false">IF(AND(L417&lt;L_rampe,Poussee&lt;Poids*SIN(M417)),0,(-W417+Poussee)/m*SIN(M417)+U417/m*COS(M417)-Poids/m)</f>
        <v>-20.34619209831</v>
      </c>
      <c r="F418" s="417" t="n">
        <f aca="false">SQRT(acc_x^2+acc_z^2)</f>
        <v>20.5358690809426</v>
      </c>
      <c r="G418" s="418" t="n">
        <f aca="false">G417+acc_x*pas</f>
        <v>38.4383776551968</v>
      </c>
      <c r="H418" s="419" t="n">
        <f aca="false">H417+acc_z*pas</f>
        <v>144.456038159828</v>
      </c>
      <c r="I418" s="417" t="n">
        <f aca="false">SQRT(vit_x^2+vit_z^2)</f>
        <v>149.482627209978</v>
      </c>
      <c r="J418" s="418" t="n">
        <f aca="false">J417+0.5*(vit_x+G417)*pas*(K417&gt;=0)</f>
        <v>172.97655556431</v>
      </c>
      <c r="K418" s="419" t="n">
        <f aca="false">K417+0.5*(vit_z+H417)*pas</f>
        <v>742.561213149541</v>
      </c>
      <c r="L418" s="417" t="n">
        <f aca="false">SQRT(pos_x^2+pos_z^2)</f>
        <v>762.442157838226</v>
      </c>
      <c r="M418" s="418" t="n">
        <f aca="false">IF(AND(L417&gt;L_rampe,G418&gt;0),ATAN2(G418,H418),$M$4)</f>
        <v>1.31073193852694</v>
      </c>
      <c r="N418" s="417" t="n">
        <f aca="false">DEGREES(Beta)</f>
        <v>75.0994081505946</v>
      </c>
      <c r="O418" s="401"/>
      <c r="P418" s="420" t="n">
        <f aca="false">MATCH(t-pas/2-T_ini,CdP_t)</f>
        <v>23</v>
      </c>
      <c r="Q418" s="417" t="n">
        <f aca="false">(INDEX(CdP,2,i_P+1)-INDEX(CdP,2,i_P+0))/(INDEX(CdP,1,i_P+1)-INDEX(CdP,1,i_P+0))*(t-pas/2-T_ini-INDEX(CdP,1,i_P+0))+INDEX(CdP,2,i_P+0)</f>
        <v>0</v>
      </c>
      <c r="R418" s="418" t="n">
        <f aca="false">Poussee/(g*ISP)</f>
        <v>0</v>
      </c>
      <c r="S418" s="419" t="n">
        <f aca="false">S417-Débit*pas</f>
        <v>7.37799999999998</v>
      </c>
      <c r="T418" s="417" t="n">
        <f aca="false">m*g</f>
        <v>72.3781799999998</v>
      </c>
      <c r="U418" s="421" t="n">
        <f aca="false">IF(pos_xz&lt;L_rampe,Poids*COS(Beta),0)</f>
        <v>0</v>
      </c>
      <c r="V418" s="418" t="n">
        <f aca="false">Rho_moyen*(20000-Alt_rampe-pos_z)/(20000+Alt_rampe+pos_z)</f>
        <v>1.13729265501393</v>
      </c>
      <c r="W418" s="417" t="n">
        <f aca="false">1/2*Rho*Sref*Cx*vit_xz^2</f>
        <v>78.1428759348351</v>
      </c>
      <c r="X418" s="401"/>
      <c r="Y418" s="422" t="str">
        <f aca="false">IF(AND(pos_z&lt;=0,K417&gt;0),"Impact balistique","") &amp; IF(AND(H419&lt;0,vit_z&gt;=0),"Apogée","") &amp; IF(AND(Poussee=0,Q417&gt;0),"Fin de propulsion","") &amp; IF(AND(L419&gt;L_rampe,pos_xz&lt;=L_rampe),"Sortie de rampe","")</f>
        <v/>
      </c>
      <c r="Z418" s="423" t="str">
        <f aca="false">IF(ABS(t-T_para)&lt;pas/2,"Para","")</f>
        <v/>
      </c>
      <c r="AA418" s="424" t="str">
        <f aca="false">IF(ABS(t-T_satellite)&lt;pas/2,"Satellite","")</f>
        <v/>
      </c>
      <c r="AB418" s="412"/>
      <c r="AC418" s="420" t="e">
        <f aca="false">IF(ABS(t-ROUND(t,0))&lt;0.001,t,NA())</f>
        <v>#N/A</v>
      </c>
      <c r="AD418" s="425" t="e">
        <f aca="false">IF(ABS(t-ROUND(t,0))&lt;0.001,pos_x,NA())</f>
        <v>#N/A</v>
      </c>
      <c r="AE418" s="426" t="n">
        <f aca="false">IF(t&lt;T_para, pos_z, NA())</f>
        <v>742.561213149541</v>
      </c>
      <c r="AF418" s="412"/>
      <c r="AG418" s="418" t="n">
        <f aca="false">IF(AND(L417&lt;L_rampe,Poussee&lt;Poids*SIN(M417)),0,(-W417+Poussee)/m-Poids*SIN(M417)/m)</f>
        <v>-20.3823091177979</v>
      </c>
      <c r="AH418" s="417" t="n">
        <f aca="false">IF(AND(L417&lt;L_rampe,Poussee&lt;Poids*SIN(M417)), g*SIN(M417), (-W417+Poussee)/m)</f>
        <v>-10.8979690741336</v>
      </c>
    </row>
    <row r="419" customFormat="false" ht="12" hidden="false" customHeight="false" outlineLevel="0" collapsed="false">
      <c r="A419" s="416" t="n">
        <f aca="false">IF(B418+0.01&lt;=T_ini+ROUNDUP(Temps_fin_propu,0), 0.01, IF(K418&gt;0, 0.1, 0.0001))</f>
        <v>0.1</v>
      </c>
      <c r="B419" s="417" t="n">
        <f aca="false">B418+pas</f>
        <v>5.49999999999995</v>
      </c>
      <c r="C419" s="401"/>
      <c r="D419" s="418" t="n">
        <f aca="false">IF(AND(L418&lt;L_rampe,Poussee&lt;Poids*SIN(M418)),0,(-W418+Poussee)/m*COS(M418)-U418/m*SIN(M418))</f>
        <v>-2.72348549827243</v>
      </c>
      <c r="E419" s="419" t="n">
        <f aca="false">IF(AND(L418&lt;L_rampe,Poussee&lt;Poids*SIN(M418)),0,(-W418+Poussee)/m*SIN(M418)+U418/m*COS(M418)-Poids/m)</f>
        <v>-20.0451854855922</v>
      </c>
      <c r="F419" s="417" t="n">
        <f aca="false">SQRT(acc_x^2+acc_z^2)</f>
        <v>20.2293557586764</v>
      </c>
      <c r="G419" s="418" t="n">
        <f aca="false">G418+acc_x*pas</f>
        <v>38.1660291053695</v>
      </c>
      <c r="H419" s="419" t="n">
        <f aca="false">H418+acc_z*pas</f>
        <v>142.451519611269</v>
      </c>
      <c r="I419" s="417" t="n">
        <f aca="false">SQRT(vit_x^2+vit_z^2)</f>
        <v>147.475697039314</v>
      </c>
      <c r="J419" s="418" t="n">
        <f aca="false">J418+0.5*(vit_x+G418)*pas*(K418&gt;=0)</f>
        <v>176.806775902338</v>
      </c>
      <c r="K419" s="419" t="n">
        <f aca="false">K418+0.5*(vit_z+H418)*pas</f>
        <v>756.906591038096</v>
      </c>
      <c r="L419" s="417" t="n">
        <f aca="false">SQRT(pos_x^2+pos_z^2)</f>
        <v>777.282589256887</v>
      </c>
      <c r="M419" s="418" t="n">
        <f aca="false">IF(AND(L418&gt;L_rampe,G419&gt;0),ATAN2(G419,H419),$M$4)</f>
        <v>1.30902143848609</v>
      </c>
      <c r="N419" s="417" t="n">
        <f aca="false">DEGREES(Beta)</f>
        <v>75.0014037173968</v>
      </c>
      <c r="O419" s="401"/>
      <c r="P419" s="420" t="n">
        <f aca="false">MATCH(t-pas/2-T_ini,CdP_t)</f>
        <v>23</v>
      </c>
      <c r="Q419" s="417" t="n">
        <f aca="false">(INDEX(CdP,2,i_P+1)-INDEX(CdP,2,i_P+0))/(INDEX(CdP,1,i_P+1)-INDEX(CdP,1,i_P+0))*(t-pas/2-T_ini-INDEX(CdP,1,i_P+0))+INDEX(CdP,2,i_P+0)</f>
        <v>0</v>
      </c>
      <c r="R419" s="418" t="n">
        <f aca="false">Poussee/(g*ISP)</f>
        <v>0</v>
      </c>
      <c r="S419" s="419" t="n">
        <f aca="false">S418-Débit*pas</f>
        <v>7.37799999999998</v>
      </c>
      <c r="T419" s="417" t="n">
        <f aca="false">m*g</f>
        <v>72.3781799999998</v>
      </c>
      <c r="U419" s="421" t="n">
        <f aca="false">IF(pos_xz&lt;L_rampe,Poids*COS(Beta),0)</f>
        <v>0</v>
      </c>
      <c r="V419" s="418" t="n">
        <f aca="false">Rho_moyen*(20000-Alt_rampe-pos_z)/(20000+Alt_rampe+pos_z)</f>
        <v>1.13566004272313</v>
      </c>
      <c r="W419" s="417" t="n">
        <f aca="false">1/2*Rho*Sref*Cx*vit_xz^2</f>
        <v>75.9495094193201</v>
      </c>
      <c r="X419" s="401"/>
      <c r="Y419" s="422" t="str">
        <f aca="false">IF(AND(pos_z&lt;=0,K418&gt;0),"Impact balistique","") &amp; IF(AND(H420&lt;0,vit_z&gt;=0),"Apogée","") &amp; IF(AND(Poussee=0,Q418&gt;0),"Fin de propulsion","") &amp; IF(AND(L420&gt;L_rampe,pos_xz&lt;=L_rampe),"Sortie de rampe","")</f>
        <v/>
      </c>
      <c r="Z419" s="423" t="str">
        <f aca="false">IF(ABS(t-T_para)&lt;pas/2,"Para","")</f>
        <v/>
      </c>
      <c r="AA419" s="424" t="str">
        <f aca="false">IF(ABS(t-T_satellite)&lt;pas/2,"Satellite","")</f>
        <v/>
      </c>
      <c r="AB419" s="412"/>
      <c r="AC419" s="420" t="e">
        <f aca="false">IF(ABS(t-ROUND(t,0))&lt;0.001,t,NA())</f>
        <v>#N/A</v>
      </c>
      <c r="AD419" s="425" t="e">
        <f aca="false">IF(ABS(t-ROUND(t,0))&lt;0.001,pos_x,NA())</f>
        <v>#N/A</v>
      </c>
      <c r="AE419" s="426" t="n">
        <f aca="false">IF(t&lt;T_para, pos_z, NA())</f>
        <v>756.906591038096</v>
      </c>
      <c r="AF419" s="412"/>
      <c r="AG419" s="418" t="n">
        <f aca="false">IF(AND(L418&lt;L_rampe,Poussee&lt;Poids*SIN(M418)),0,(-W418+Poussee)/m-Poids*SIN(M418)/m)</f>
        <v>-20.071459135743</v>
      </c>
      <c r="AH419" s="417" t="n">
        <f aca="false">IF(AND(L418&lt;L_rampe,Poussee&lt;Poids*SIN(M418)), g*SIN(M418), (-W418+Poussee)/m)</f>
        <v>-10.5913358545453</v>
      </c>
    </row>
    <row r="420" customFormat="false" ht="12" hidden="false" customHeight="false" outlineLevel="0" collapsed="false">
      <c r="A420" s="416" t="n">
        <f aca="false">IF(B419+0.01&lt;=T_ini+ROUNDUP(Temps_fin_propu,0), 0.01, IF(K419&gt;0, 0.1, 0.0001))</f>
        <v>0.1</v>
      </c>
      <c r="B420" s="417" t="n">
        <f aca="false">B419+pas</f>
        <v>5.59999999999995</v>
      </c>
      <c r="C420" s="401"/>
      <c r="D420" s="418" t="n">
        <f aca="false">IF(AND(L419&lt;L_rampe,Poussee&lt;Poids*SIN(M419)),0,(-W419+Poussee)/m*COS(M419)-U419/m*SIN(M419))</f>
        <v>-2.66405288376034</v>
      </c>
      <c r="E420" s="419" t="n">
        <f aca="false">IF(AND(L419&lt;L_rampe,Poussee&lt;Poids*SIN(M419)),0,(-W419+Poussee)/m*SIN(M419)+U419/m*COS(M419)-Poids/m)</f>
        <v>-19.7533551383802</v>
      </c>
      <c r="F420" s="417" t="n">
        <f aca="false">SQRT(acc_x^2+acc_z^2)</f>
        <v>19.932190471457</v>
      </c>
      <c r="G420" s="418" t="n">
        <f aca="false">G419+acc_x*pas</f>
        <v>37.8996238169935</v>
      </c>
      <c r="H420" s="419" t="n">
        <f aca="false">H419+acc_z*pas</f>
        <v>140.476184097431</v>
      </c>
      <c r="I420" s="417" t="n">
        <f aca="false">SQRT(vit_x^2+vit_z^2)</f>
        <v>145.498933961885</v>
      </c>
      <c r="J420" s="418" t="n">
        <f aca="false">J419+0.5*(vit_x+G419)*pas*(K419&gt;=0)</f>
        <v>180.610058548456</v>
      </c>
      <c r="K420" s="419" t="n">
        <f aca="false">K419+0.5*(vit_z+H419)*pas</f>
        <v>771.052976223531</v>
      </c>
      <c r="L420" s="417" t="n">
        <f aca="false">SQRT(pos_x^2+pos_z^2)</f>
        <v>791.923408791558</v>
      </c>
      <c r="M420" s="418" t="n">
        <f aca="false">IF(AND(L419&gt;L_rampe,G420&gt;0),ATAN2(G420,H420),$M$4)</f>
        <v>1.30727655699437</v>
      </c>
      <c r="N420" s="417" t="n">
        <f aca="false">DEGREES(Beta)</f>
        <v>74.9014293721709</v>
      </c>
      <c r="O420" s="401"/>
      <c r="P420" s="420" t="n">
        <f aca="false">MATCH(t-pas/2-T_ini,CdP_t)</f>
        <v>23</v>
      </c>
      <c r="Q420" s="417" t="n">
        <f aca="false">(INDEX(CdP,2,i_P+1)-INDEX(CdP,2,i_P+0))/(INDEX(CdP,1,i_P+1)-INDEX(CdP,1,i_P+0))*(t-pas/2-T_ini-INDEX(CdP,1,i_P+0))+INDEX(CdP,2,i_P+0)</f>
        <v>0</v>
      </c>
      <c r="R420" s="418" t="n">
        <f aca="false">Poussee/(g*ISP)</f>
        <v>0</v>
      </c>
      <c r="S420" s="419" t="n">
        <f aca="false">S419-Débit*pas</f>
        <v>7.37799999999998</v>
      </c>
      <c r="T420" s="417" t="n">
        <f aca="false">m*g</f>
        <v>72.3781799999998</v>
      </c>
      <c r="U420" s="421" t="n">
        <f aca="false">IF(pos_xz&lt;L_rampe,Poids*COS(Beta),0)</f>
        <v>0</v>
      </c>
      <c r="V420" s="418" t="n">
        <f aca="false">Rho_moyen*(20000-Alt_rampe-pos_z)/(20000+Alt_rampe+pos_z)</f>
        <v>1.13405228570212</v>
      </c>
      <c r="W420" s="417" t="n">
        <f aca="false">1/2*Rho*Sref*Cx*vit_xz^2</f>
        <v>73.8224429925666</v>
      </c>
      <c r="X420" s="401"/>
      <c r="Y420" s="422" t="str">
        <f aca="false">IF(AND(pos_z&lt;=0,K419&gt;0),"Impact balistique","") &amp; IF(AND(H421&lt;0,vit_z&gt;=0),"Apogée","") &amp; IF(AND(Poussee=0,Q419&gt;0),"Fin de propulsion","") &amp; IF(AND(L421&gt;L_rampe,pos_xz&lt;=L_rampe),"Sortie de rampe","")</f>
        <v/>
      </c>
      <c r="Z420" s="423" t="str">
        <f aca="false">IF(ABS(t-T_para)&lt;pas/2,"Para","")</f>
        <v/>
      </c>
      <c r="AA420" s="424" t="str">
        <f aca="false">IF(ABS(t-T_satellite)&lt;pas/2,"Satellite","")</f>
        <v/>
      </c>
      <c r="AB420" s="412"/>
      <c r="AC420" s="420" t="e">
        <f aca="false">IF(ABS(t-ROUND(t,0))&lt;0.001,t,NA())</f>
        <v>#N/A</v>
      </c>
      <c r="AD420" s="425" t="e">
        <f aca="false">IF(ABS(t-ROUND(t,0))&lt;0.001,pos_x,NA())</f>
        <v>#N/A</v>
      </c>
      <c r="AE420" s="426" t="n">
        <f aca="false">IF(t&lt;T_para, pos_z, NA())</f>
        <v>771.052976223531</v>
      </c>
      <c r="AF420" s="412"/>
      <c r="AG420" s="418" t="n">
        <f aca="false">IF(AND(L419&lt;L_rampe,Poussee&lt;Poids*SIN(M419)),0,(-W419+Poussee)/m-Poids*SIN(M419)/m)</f>
        <v>-19.7698457123137</v>
      </c>
      <c r="AH420" s="417" t="n">
        <f aca="false">IF(AND(L419&lt;L_rampe,Poussee&lt;Poids*SIN(M419)), g*SIN(M419), (-W419+Poussee)/m)</f>
        <v>-10.2940511546924</v>
      </c>
    </row>
    <row r="421" customFormat="false" ht="12" hidden="false" customHeight="false" outlineLevel="0" collapsed="false">
      <c r="A421" s="416" t="n">
        <f aca="false">IF(B420+0.01&lt;=T_ini+ROUNDUP(Temps_fin_propu,0), 0.01, IF(K420&gt;0, 0.1, 0.0001))</f>
        <v>0.1</v>
      </c>
      <c r="B421" s="417" t="n">
        <f aca="false">B420+pas</f>
        <v>5.69999999999995</v>
      </c>
      <c r="C421" s="401"/>
      <c r="D421" s="418" t="n">
        <f aca="false">IF(AND(L420&lt;L_rampe,Poussee&lt;Poids*SIN(M420)),0,(-W420+Poussee)/m*COS(M420)-U420/m*SIN(M420))</f>
        <v>-2.60630267735478</v>
      </c>
      <c r="E421" s="419" t="n">
        <f aca="false">IF(AND(L420&lt;L_rampe,Poussee&lt;Poids*SIN(M420)),0,(-W420+Poussee)/m*SIN(M420)+U420/m*COS(M420)-Poids/m)</f>
        <v>-19.4703453502764</v>
      </c>
      <c r="F421" s="417" t="n">
        <f aca="false">SQRT(acc_x^2+acc_z^2)</f>
        <v>19.6440108354943</v>
      </c>
      <c r="G421" s="418" t="n">
        <f aca="false">G420+acc_x*pas</f>
        <v>37.638993549258</v>
      </c>
      <c r="H421" s="419" t="n">
        <f aca="false">H420+acc_z*pas</f>
        <v>138.529149562403</v>
      </c>
      <c r="I421" s="417" t="n">
        <f aca="false">SQRT(vit_x^2+vit_z^2)</f>
        <v>143.551451103372</v>
      </c>
      <c r="J421" s="418" t="n">
        <f aca="false">J420+0.5*(vit_x+G420)*pas*(K420&gt;=0)</f>
        <v>184.386989416769</v>
      </c>
      <c r="K421" s="419" t="n">
        <f aca="false">K420+0.5*(vit_z+H420)*pas</f>
        <v>785.003242906522</v>
      </c>
      <c r="L421" s="417" t="n">
        <f aca="false">SQRT(pos_x^2+pos_z^2)</f>
        <v>806.367567080879</v>
      </c>
      <c r="M421" s="418" t="n">
        <f aca="false">IF(AND(L420&gt;L_rampe,G421&gt;0),ATAN2(G421,H421),$M$4)</f>
        <v>1.30549648840135</v>
      </c>
      <c r="N421" s="417" t="n">
        <f aca="false">DEGREES(Beta)</f>
        <v>74.7994389545472</v>
      </c>
      <c r="O421" s="401"/>
      <c r="P421" s="420" t="n">
        <f aca="false">MATCH(t-pas/2-T_ini,CdP_t)</f>
        <v>23</v>
      </c>
      <c r="Q421" s="417" t="n">
        <f aca="false">(INDEX(CdP,2,i_P+1)-INDEX(CdP,2,i_P+0))/(INDEX(CdP,1,i_P+1)-INDEX(CdP,1,i_P+0))*(t-pas/2-T_ini-INDEX(CdP,1,i_P+0))+INDEX(CdP,2,i_P+0)</f>
        <v>0</v>
      </c>
      <c r="R421" s="418" t="n">
        <f aca="false">Poussee/(g*ISP)</f>
        <v>0</v>
      </c>
      <c r="S421" s="419" t="n">
        <f aca="false">S420-Débit*pas</f>
        <v>7.37799999999998</v>
      </c>
      <c r="T421" s="417" t="n">
        <f aca="false">m*g</f>
        <v>72.3781799999998</v>
      </c>
      <c r="U421" s="421" t="n">
        <f aca="false">IF(pos_xz&lt;L_rampe,Poids*COS(Beta),0)</f>
        <v>0</v>
      </c>
      <c r="V421" s="418" t="n">
        <f aca="false">Rho_moyen*(20000-Alt_rampe-pos_z)/(20000+Alt_rampe+pos_z)</f>
        <v>1.13246896102711</v>
      </c>
      <c r="W421" s="417" t="n">
        <f aca="false">1/2*Rho*Sref*Cx*vit_xz^2</f>
        <v>71.7591347855602</v>
      </c>
      <c r="X421" s="401"/>
      <c r="Y421" s="422" t="str">
        <f aca="false">IF(AND(pos_z&lt;=0,K420&gt;0),"Impact balistique","") &amp; IF(AND(H422&lt;0,vit_z&gt;=0),"Apogée","") &amp; IF(AND(Poussee=0,Q420&gt;0),"Fin de propulsion","") &amp; IF(AND(L422&gt;L_rampe,pos_xz&lt;=L_rampe),"Sortie de rampe","")</f>
        <v/>
      </c>
      <c r="Z421" s="423" t="str">
        <f aca="false">IF(ABS(t-T_para)&lt;pas/2,"Para","")</f>
        <v/>
      </c>
      <c r="AA421" s="424" t="str">
        <f aca="false">IF(ABS(t-T_satellite)&lt;pas/2,"Satellite","")</f>
        <v/>
      </c>
      <c r="AB421" s="412"/>
      <c r="AC421" s="420" t="e">
        <f aca="false">IF(ABS(t-ROUND(t,0))&lt;0.001,t,NA())</f>
        <v>#N/A</v>
      </c>
      <c r="AD421" s="425" t="e">
        <f aca="false">IF(ABS(t-ROUND(t,0))&lt;0.001,pos_x,NA())</f>
        <v>#N/A</v>
      </c>
      <c r="AE421" s="426" t="n">
        <f aca="false">IF(t&lt;T_para, pos_z, NA())</f>
        <v>785.003242906522</v>
      </c>
      <c r="AF421" s="412"/>
      <c r="AG421" s="418" t="n">
        <f aca="false">IF(AND(L420&lt;L_rampe,Poussee&lt;Poids*SIN(M420)),0,(-W420+Poussee)/m-Poids*SIN(M420)/m)</f>
        <v>-19.4771029018902</v>
      </c>
      <c r="AH421" s="417" t="n">
        <f aca="false">IF(AND(L420&lt;L_rampe,Poussee&lt;Poids*SIN(M420)), g*SIN(M420), (-W420+Poussee)/m)</f>
        <v>-10.0057526419852</v>
      </c>
    </row>
    <row r="422" customFormat="false" ht="12" hidden="false" customHeight="false" outlineLevel="0" collapsed="false">
      <c r="A422" s="416" t="n">
        <f aca="false">IF(B421+0.01&lt;=T_ini+ROUNDUP(Temps_fin_propu,0), 0.01, IF(K421&gt;0, 0.1, 0.0001))</f>
        <v>0.1</v>
      </c>
      <c r="B422" s="417" t="n">
        <f aca="false">B421+pas</f>
        <v>5.79999999999995</v>
      </c>
      <c r="C422" s="401"/>
      <c r="D422" s="418" t="n">
        <f aca="false">IF(AND(L421&lt;L_rampe,Poussee&lt;Poids*SIN(M421)),0,(-W421+Poussee)/m*COS(M421)-U421/m*SIN(M421))</f>
        <v>-2.55016897513023</v>
      </c>
      <c r="E422" s="419" t="n">
        <f aca="false">IF(AND(L421&lt;L_rampe,Poussee&lt;Poids*SIN(M421)),0,(-W421+Poussee)/m*SIN(M421)+U421/m*COS(M421)-Poids/m)</f>
        <v>-19.1958178992722</v>
      </c>
      <c r="F422" s="417" t="n">
        <f aca="false">SQRT(acc_x^2+acc_z^2)</f>
        <v>19.3644722784726</v>
      </c>
      <c r="G422" s="418" t="n">
        <f aca="false">G421+acc_x*pas</f>
        <v>37.383976651745</v>
      </c>
      <c r="H422" s="419" t="n">
        <f aca="false">H421+acc_z*pas</f>
        <v>136.609567772476</v>
      </c>
      <c r="I422" s="417" t="n">
        <f aca="false">SQRT(vit_x^2+vit_z^2)</f>
        <v>141.63239642568</v>
      </c>
      <c r="J422" s="418" t="n">
        <f aca="false">J421+0.5*(vit_x+G421)*pas*(K421&gt;=0)</f>
        <v>188.138137926819</v>
      </c>
      <c r="K422" s="419" t="n">
        <f aca="false">K421+0.5*(vit_z+H421)*pas</f>
        <v>798.760178773266</v>
      </c>
      <c r="L422" s="417" t="n">
        <f aca="false">SQRT(pos_x^2+pos_z^2)</f>
        <v>820.617927013827</v>
      </c>
      <c r="M422" s="418" t="n">
        <f aca="false">IF(AND(L421&gt;L_rampe,G422&gt;0),ATAN2(G422,H422),$M$4)</f>
        <v>1.30368039969492</v>
      </c>
      <c r="N422" s="417" t="n">
        <f aca="false">DEGREES(Beta)</f>
        <v>74.6953847364474</v>
      </c>
      <c r="O422" s="401"/>
      <c r="P422" s="420" t="n">
        <f aca="false">MATCH(t-pas/2-T_ini,CdP_t)</f>
        <v>23</v>
      </c>
      <c r="Q422" s="417" t="n">
        <f aca="false">(INDEX(CdP,2,i_P+1)-INDEX(CdP,2,i_P+0))/(INDEX(CdP,1,i_P+1)-INDEX(CdP,1,i_P+0))*(t-pas/2-T_ini-INDEX(CdP,1,i_P+0))+INDEX(CdP,2,i_P+0)</f>
        <v>0</v>
      </c>
      <c r="R422" s="418" t="n">
        <f aca="false">Poussee/(g*ISP)</f>
        <v>0</v>
      </c>
      <c r="S422" s="419" t="n">
        <f aca="false">S421-Débit*pas</f>
        <v>7.37799999999998</v>
      </c>
      <c r="T422" s="417" t="n">
        <f aca="false">m*g</f>
        <v>72.3781799999998</v>
      </c>
      <c r="U422" s="421" t="n">
        <f aca="false">IF(pos_xz&lt;L_rampe,Poids*COS(Beta),0)</f>
        <v>0</v>
      </c>
      <c r="V422" s="418" t="n">
        <f aca="false">Rho_moyen*(20000-Alt_rampe-pos_z)/(20000+Alt_rampe+pos_z)</f>
        <v>1.13090965898094</v>
      </c>
      <c r="W422" s="417" t="n">
        <f aca="false">1/2*Rho*Sref*Cx*vit_xz^2</f>
        <v>69.7571666659114</v>
      </c>
      <c r="X422" s="401"/>
      <c r="Y422" s="422" t="str">
        <f aca="false">IF(AND(pos_z&lt;=0,K421&gt;0),"Impact balistique","") &amp; IF(AND(H423&lt;0,vit_z&gt;=0),"Apogée","") &amp; IF(AND(Poussee=0,Q421&gt;0),"Fin de propulsion","") &amp; IF(AND(L423&gt;L_rampe,pos_xz&lt;=L_rampe),"Sortie de rampe","")</f>
        <v/>
      </c>
      <c r="Z422" s="423" t="str">
        <f aca="false">IF(ABS(t-T_para)&lt;pas/2,"Para","")</f>
        <v/>
      </c>
      <c r="AA422" s="424" t="str">
        <f aca="false">IF(ABS(t-T_satellite)&lt;pas/2,"Satellite","")</f>
        <v/>
      </c>
      <c r="AB422" s="412"/>
      <c r="AC422" s="420" t="e">
        <f aca="false">IF(ABS(t-ROUND(t,0))&lt;0.001,t,NA())</f>
        <v>#N/A</v>
      </c>
      <c r="AD422" s="425" t="e">
        <f aca="false">IF(ABS(t-ROUND(t,0))&lt;0.001,pos_x,NA())</f>
        <v>#N/A</v>
      </c>
      <c r="AE422" s="426" t="n">
        <f aca="false">IF(t&lt;T_para, pos_z, NA())</f>
        <v>798.760178773266</v>
      </c>
      <c r="AF422" s="412"/>
      <c r="AG422" s="418" t="n">
        <f aca="false">IF(AND(L421&lt;L_rampe,Poussee&lt;Poids*SIN(M421)),0,(-W421+Poussee)/m-Poids*SIN(M421)/m)</f>
        <v>-19.1928824206825</v>
      </c>
      <c r="AH422" s="417" t="n">
        <f aca="false">IF(AND(L421&lt;L_rampe,Poussee&lt;Poids*SIN(M421)), g*SIN(M421), (-W421+Poussee)/m)</f>
        <v>-9.72609579636221</v>
      </c>
    </row>
    <row r="423" customFormat="false" ht="12" hidden="false" customHeight="false" outlineLevel="0" collapsed="false">
      <c r="A423" s="416" t="n">
        <f aca="false">IF(B422+0.01&lt;=T_ini+ROUNDUP(Temps_fin_propu,0), 0.01, IF(K422&gt;0, 0.1, 0.0001))</f>
        <v>0.1</v>
      </c>
      <c r="B423" s="417" t="n">
        <f aca="false">B422+pas</f>
        <v>5.89999999999995</v>
      </c>
      <c r="C423" s="401"/>
      <c r="D423" s="418" t="n">
        <f aca="false">IF(AND(L422&lt;L_rampe,Poussee&lt;Poids*SIN(M422)),0,(-W422+Poussee)/m*COS(M422)-U422/m*SIN(M422))</f>
        <v>-2.49558907011949</v>
      </c>
      <c r="E423" s="419" t="n">
        <f aca="false">IF(AND(L422&lt;L_rampe,Poussee&lt;Poids*SIN(M422)),0,(-W422+Poussee)/m*SIN(M422)+U422/m*COS(M422)-Poids/m)</f>
        <v>-18.9294510253051</v>
      </c>
      <c r="F423" s="417" t="n">
        <f aca="false">SQRT(acc_x^2+acc_z^2)</f>
        <v>19.0932469979919</v>
      </c>
      <c r="G423" s="418" t="n">
        <f aca="false">G422+acc_x*pas</f>
        <v>37.134417744733</v>
      </c>
      <c r="H423" s="419" t="n">
        <f aca="false">H422+acc_z*pas</f>
        <v>134.716622669946</v>
      </c>
      <c r="I423" s="417" t="n">
        <f aca="false">SQRT(vit_x^2+vit_z^2)</f>
        <v>139.740951066024</v>
      </c>
      <c r="J423" s="418" t="n">
        <f aca="false">J422+0.5*(vit_x+G422)*pas*(K422&gt;=0)</f>
        <v>191.864057646643</v>
      </c>
      <c r="K423" s="419" t="n">
        <f aca="false">K422+0.5*(vit_z+H422)*pas</f>
        <v>812.326488295387</v>
      </c>
      <c r="L423" s="417" t="n">
        <f aca="false">SQRT(pos_x^2+pos_z^2)</f>
        <v>834.677267093666</v>
      </c>
      <c r="M423" s="418" t="n">
        <f aca="false">IF(AND(L422&gt;L_rampe,G423&gt;0),ATAN2(G423,H423),$M$4)</f>
        <v>1.30182742941147</v>
      </c>
      <c r="N423" s="417" t="n">
        <f aca="false">DEGREES(Beta)</f>
        <v>74.5892173596423</v>
      </c>
      <c r="O423" s="401"/>
      <c r="P423" s="420" t="n">
        <f aca="false">MATCH(t-pas/2-T_ini,CdP_t)</f>
        <v>23</v>
      </c>
      <c r="Q423" s="417" t="n">
        <f aca="false">(INDEX(CdP,2,i_P+1)-INDEX(CdP,2,i_P+0))/(INDEX(CdP,1,i_P+1)-INDEX(CdP,1,i_P+0))*(t-pas/2-T_ini-INDEX(CdP,1,i_P+0))+INDEX(CdP,2,i_P+0)</f>
        <v>0</v>
      </c>
      <c r="R423" s="418" t="n">
        <f aca="false">Poussee/(g*ISP)</f>
        <v>0</v>
      </c>
      <c r="S423" s="419" t="n">
        <f aca="false">S422-Débit*pas</f>
        <v>7.37799999999998</v>
      </c>
      <c r="T423" s="417" t="n">
        <f aca="false">m*g</f>
        <v>72.3781799999998</v>
      </c>
      <c r="U423" s="421" t="n">
        <f aca="false">IF(pos_xz&lt;L_rampe,Poids*COS(Beta),0)</f>
        <v>0</v>
      </c>
      <c r="V423" s="418" t="n">
        <f aca="false">Rho_moyen*(20000-Alt_rampe-pos_z)/(20000+Alt_rampe+pos_z)</f>
        <v>1.1293739825318</v>
      </c>
      <c r="W423" s="417" t="n">
        <f aca="false">1/2*Rho*Sref*Cx*vit_xz^2</f>
        <v>67.8142370756046</v>
      </c>
      <c r="X423" s="401"/>
      <c r="Y423" s="422" t="str">
        <f aca="false">IF(AND(pos_z&lt;=0,K422&gt;0),"Impact balistique","") &amp; IF(AND(H424&lt;0,vit_z&gt;=0),"Apogée","") &amp; IF(AND(Poussee=0,Q422&gt;0),"Fin de propulsion","") &amp; IF(AND(L424&gt;L_rampe,pos_xz&lt;=L_rampe),"Sortie de rampe","")</f>
        <v/>
      </c>
      <c r="Z423" s="423" t="str">
        <f aca="false">IF(ABS(t-T_para)&lt;pas/2,"Para","")</f>
        <v/>
      </c>
      <c r="AA423" s="424" t="str">
        <f aca="false">IF(ABS(t-T_satellite)&lt;pas/2,"Satellite","")</f>
        <v/>
      </c>
      <c r="AB423" s="412"/>
      <c r="AC423" s="420" t="e">
        <f aca="false">IF(ABS(t-ROUND(t,0))&lt;0.001,t,NA())</f>
        <v>#N/A</v>
      </c>
      <c r="AD423" s="425" t="e">
        <f aca="false">IF(ABS(t-ROUND(t,0))&lt;0.001,pos_x,NA())</f>
        <v>#N/A</v>
      </c>
      <c r="AE423" s="426" t="n">
        <f aca="false">IF(t&lt;T_para, pos_z, NA())</f>
        <v>812.326488295387</v>
      </c>
      <c r="AF423" s="412"/>
      <c r="AG423" s="418" t="n">
        <f aca="false">IF(AND(L422&lt;L_rampe,Poussee&lt;Poids*SIN(M422)),0,(-W422+Poussee)/m-Poids*SIN(M422)/m)</f>
        <v>-18.9168525978644</v>
      </c>
      <c r="AH423" s="417" t="n">
        <f aca="false">IF(AND(L422&lt;L_rampe,Poussee&lt;Poids*SIN(M422)), g*SIN(M422), (-W422+Poussee)/m)</f>
        <v>-9.45475286878715</v>
      </c>
    </row>
    <row r="424" customFormat="false" ht="12" hidden="false" customHeight="false" outlineLevel="0" collapsed="false">
      <c r="A424" s="416" t="n">
        <f aca="false">IF(B423+0.01&lt;=T_ini+ROUNDUP(Temps_fin_propu,0), 0.01, IF(K423&gt;0, 0.1, 0.0001))</f>
        <v>0.1</v>
      </c>
      <c r="B424" s="417" t="n">
        <f aca="false">B423+pas</f>
        <v>5.99999999999995</v>
      </c>
      <c r="C424" s="401"/>
      <c r="D424" s="418" t="n">
        <f aca="false">IF(AND(L423&lt;L_rampe,Poussee&lt;Poids*SIN(M423)),0,(-W423+Poussee)/m*COS(M423)-U423/m*SIN(M423))</f>
        <v>-2.4425032672551</v>
      </c>
      <c r="E424" s="419" t="n">
        <f aca="false">IF(AND(L423&lt;L_rampe,Poussee&lt;Poids*SIN(M423)),0,(-W423+Poussee)/m*SIN(M423)+U423/m*COS(M423)-Poids/m)</f>
        <v>-18.670938477259</v>
      </c>
      <c r="F424" s="417" t="n">
        <f aca="false">SQRT(acc_x^2+acc_z^2)</f>
        <v>18.8300229907492</v>
      </c>
      <c r="G424" s="418" t="n">
        <f aca="false">G423+acc_x*pas</f>
        <v>36.8901674180075</v>
      </c>
      <c r="H424" s="419" t="n">
        <f aca="false">H423+acc_z*pas</f>
        <v>132.84952882222</v>
      </c>
      <c r="I424" s="417" t="n">
        <f aca="false">SQRT(vit_x^2+vit_z^2)</f>
        <v>137.876327773895</v>
      </c>
      <c r="J424" s="418" t="n">
        <f aca="false">J423+0.5*(vit_x+G423)*pas*(K423&gt;=0)</f>
        <v>195.56528690478</v>
      </c>
      <c r="K424" s="419" t="n">
        <f aca="false">K423+0.5*(vit_z+H423)*pas</f>
        <v>825.704795869996</v>
      </c>
      <c r="L424" s="417" t="n">
        <f aca="false">SQRT(pos_x^2+pos_z^2)</f>
        <v>848.548284639631</v>
      </c>
      <c r="M424" s="418" t="n">
        <f aca="false">IF(AND(L423&gt;L_rampe,G424&gt;0),ATAN2(G424,H424),$M$4)</f>
        <v>1.29993668649357</v>
      </c>
      <c r="N424" s="417" t="n">
        <f aca="false">DEGREES(Beta)</f>
        <v>74.4808857703022</v>
      </c>
      <c r="O424" s="401"/>
      <c r="P424" s="420" t="n">
        <f aca="false">MATCH(t-pas/2-T_ini,CdP_t)</f>
        <v>23</v>
      </c>
      <c r="Q424" s="417" t="n">
        <f aca="false">(INDEX(CdP,2,i_P+1)-INDEX(CdP,2,i_P+0))/(INDEX(CdP,1,i_P+1)-INDEX(CdP,1,i_P+0))*(t-pas/2-T_ini-INDEX(CdP,1,i_P+0))+INDEX(CdP,2,i_P+0)</f>
        <v>0</v>
      </c>
      <c r="R424" s="418" t="n">
        <f aca="false">Poussee/(g*ISP)</f>
        <v>0</v>
      </c>
      <c r="S424" s="419" t="n">
        <f aca="false">S423-Débit*pas</f>
        <v>7.37799999999998</v>
      </c>
      <c r="T424" s="417" t="n">
        <f aca="false">m*g</f>
        <v>72.3781799999998</v>
      </c>
      <c r="U424" s="421" t="n">
        <f aca="false">IF(pos_xz&lt;L_rampe,Poids*COS(Beta),0)</f>
        <v>0</v>
      </c>
      <c r="V424" s="418" t="n">
        <f aca="false">Rho_moyen*(20000-Alt_rampe-pos_z)/(20000+Alt_rampe+pos_z)</f>
        <v>1.12786154683789</v>
      </c>
      <c r="W424" s="417" t="n">
        <f aca="false">1/2*Rho*Sref*Cx*vit_xz^2</f>
        <v>65.9281543504694</v>
      </c>
      <c r="X424" s="401"/>
      <c r="Y424" s="422" t="str">
        <f aca="false">IF(AND(pos_z&lt;=0,K423&gt;0),"Impact balistique","") &amp; IF(AND(H425&lt;0,vit_z&gt;=0),"Apogée","") &amp; IF(AND(Poussee=0,Q423&gt;0),"Fin de propulsion","") &amp; IF(AND(L425&gt;L_rampe,pos_xz&lt;=L_rampe),"Sortie de rampe","")</f>
        <v/>
      </c>
      <c r="Z424" s="423" t="str">
        <f aca="false">IF(ABS(t-T_para)&lt;pas/2,"Para","")</f>
        <v/>
      </c>
      <c r="AA424" s="424" t="str">
        <f aca="false">IF(ABS(t-T_satellite)&lt;pas/2,"Satellite","")</f>
        <v/>
      </c>
      <c r="AB424" s="412"/>
      <c r="AC424" s="420" t="n">
        <f aca="false">IF(ABS(t-ROUND(t,0))&lt;0.001,t,NA())</f>
        <v>5.99999999999995</v>
      </c>
      <c r="AD424" s="425" t="n">
        <f aca="false">IF(ABS(t-ROUND(t,0))&lt;0.001,pos_x,NA())</f>
        <v>195.56528690478</v>
      </c>
      <c r="AE424" s="426" t="n">
        <f aca="false">IF(t&lt;T_para, pos_z, NA())</f>
        <v>825.704795869996</v>
      </c>
      <c r="AF424" s="412"/>
      <c r="AG424" s="418" t="n">
        <f aca="false">IF(AND(L423&lt;L_rampe,Poussee&lt;Poids*SIN(M423)),0,(-W423+Poussee)/m-Poids*SIN(M423)/m)</f>
        <v>-18.6486973970325</v>
      </c>
      <c r="AH424" s="417" t="n">
        <f aca="false">IF(AND(L423&lt;L_rampe,Poussee&lt;Poids*SIN(M423)), g*SIN(M423), (-W423+Poussee)/m)</f>
        <v>-9.19141191049129</v>
      </c>
    </row>
    <row r="425" customFormat="false" ht="12" hidden="false" customHeight="false" outlineLevel="0" collapsed="false">
      <c r="A425" s="416" t="n">
        <f aca="false">IF(B424+0.01&lt;=T_ini+ROUNDUP(Temps_fin_propu,0), 0.01, IF(K424&gt;0, 0.1, 0.0001))</f>
        <v>0.1</v>
      </c>
      <c r="B425" s="417" t="n">
        <f aca="false">B424+pas</f>
        <v>6.09999999999995</v>
      </c>
      <c r="C425" s="401"/>
      <c r="D425" s="418" t="n">
        <f aca="false">IF(AND(L424&lt;L_rampe,Poussee&lt;Poids*SIN(M424)),0,(-W424+Poussee)/m*COS(M424)-U424/m*SIN(M424))</f>
        <v>-2.39085471077185</v>
      </c>
      <c r="E425" s="419" t="n">
        <f aca="false">IF(AND(L424&lt;L_rampe,Poussee&lt;Poids*SIN(M424)),0,(-W424+Poussee)/m*SIN(M424)+U424/m*COS(M424)-Poids/m)</f>
        <v>-18.4199886240522</v>
      </c>
      <c r="F425" s="417" t="n">
        <f aca="false">SQRT(acc_x^2+acc_z^2)</f>
        <v>18.5745031470086</v>
      </c>
      <c r="G425" s="418" t="n">
        <f aca="false">G424+acc_x*pas</f>
        <v>36.6510819469304</v>
      </c>
      <c r="H425" s="419" t="n">
        <f aca="false">H424+acc_z*pas</f>
        <v>131.007529959815</v>
      </c>
      <c r="I425" s="417" t="n">
        <f aca="false">SQRT(vit_x^2+vit_z^2)</f>
        <v>136.037769439418</v>
      </c>
      <c r="J425" s="418" t="n">
        <f aca="false">J424+0.5*(vit_x+G424)*pas*(K424&gt;=0)</f>
        <v>199.242349373027</v>
      </c>
      <c r="K425" s="419" t="n">
        <f aca="false">K424+0.5*(vit_z+H424)*pas</f>
        <v>838.897648809097</v>
      </c>
      <c r="L425" s="417" t="n">
        <f aca="false">SQRT(pos_x^2+pos_z^2)</f>
        <v>862.233598835672</v>
      </c>
      <c r="M425" s="418" t="n">
        <f aca="false">IF(AND(L424&gt;L_rampe,G425&gt;0),ATAN2(G425,H425),$M$4)</f>
        <v>1.29800724909232</v>
      </c>
      <c r="N425" s="417" t="n">
        <f aca="false">DEGREES(Beta)</f>
        <v>74.3703371503763</v>
      </c>
      <c r="O425" s="401"/>
      <c r="P425" s="420" t="n">
        <f aca="false">MATCH(t-pas/2-T_ini,CdP_t)</f>
        <v>23</v>
      </c>
      <c r="Q425" s="417" t="n">
        <f aca="false">(INDEX(CdP,2,i_P+1)-INDEX(CdP,2,i_P+0))/(INDEX(CdP,1,i_P+1)-INDEX(CdP,1,i_P+0))*(t-pas/2-T_ini-INDEX(CdP,1,i_P+0))+INDEX(CdP,2,i_P+0)</f>
        <v>0</v>
      </c>
      <c r="R425" s="418" t="n">
        <f aca="false">Poussee/(g*ISP)</f>
        <v>0</v>
      </c>
      <c r="S425" s="419" t="n">
        <f aca="false">S424-Débit*pas</f>
        <v>7.37799999999998</v>
      </c>
      <c r="T425" s="417" t="n">
        <f aca="false">m*g</f>
        <v>72.3781799999998</v>
      </c>
      <c r="U425" s="421" t="n">
        <f aca="false">IF(pos_xz&lt;L_rampe,Poids*COS(Beta),0)</f>
        <v>0</v>
      </c>
      <c r="V425" s="418" t="n">
        <f aca="false">Rho_moyen*(20000-Alt_rampe-pos_z)/(20000+Alt_rampe+pos_z)</f>
        <v>1.12637197877644</v>
      </c>
      <c r="W425" s="417" t="n">
        <f aca="false">1/2*Rho*Sref*Cx*vit_xz^2</f>
        <v>64.0968304846017</v>
      </c>
      <c r="X425" s="401"/>
      <c r="Y425" s="422" t="str">
        <f aca="false">IF(AND(pos_z&lt;=0,K424&gt;0),"Impact balistique","") &amp; IF(AND(H426&lt;0,vit_z&gt;=0),"Apogée","") &amp; IF(AND(Poussee=0,Q424&gt;0),"Fin de propulsion","") &amp; IF(AND(L426&gt;L_rampe,pos_xz&lt;=L_rampe),"Sortie de rampe","")</f>
        <v/>
      </c>
      <c r="Z425" s="423" t="str">
        <f aca="false">IF(ABS(t-T_para)&lt;pas/2,"Para","")</f>
        <v/>
      </c>
      <c r="AA425" s="424" t="str">
        <f aca="false">IF(ABS(t-T_satellite)&lt;pas/2,"Satellite","")</f>
        <v/>
      </c>
      <c r="AB425" s="412"/>
      <c r="AC425" s="420" t="e">
        <f aca="false">IF(ABS(t-ROUND(t,0))&lt;0.001,t,NA())</f>
        <v>#N/A</v>
      </c>
      <c r="AD425" s="425" t="e">
        <f aca="false">IF(ABS(t-ROUND(t,0))&lt;0.001,pos_x,NA())</f>
        <v>#N/A</v>
      </c>
      <c r="AE425" s="426" t="n">
        <f aca="false">IF(t&lt;T_para, pos_z, NA())</f>
        <v>838.897648809097</v>
      </c>
      <c r="AF425" s="412"/>
      <c r="AG425" s="418" t="n">
        <f aca="false">IF(AND(L424&lt;L_rampe,Poussee&lt;Poids*SIN(M424)),0,(-W424+Poussee)/m-Poids*SIN(M424)/m)</f>
        <v>-18.3881155025113</v>
      </c>
      <c r="AH425" s="417" t="n">
        <f aca="false">IF(AND(L424&lt;L_rampe,Poussee&lt;Poids*SIN(M424)), g*SIN(M424), (-W424+Poussee)/m)</f>
        <v>-8.93577586750739</v>
      </c>
    </row>
    <row r="426" customFormat="false" ht="12" hidden="false" customHeight="false" outlineLevel="0" collapsed="false">
      <c r="A426" s="416" t="n">
        <f aca="false">IF(B425+0.01&lt;=T_ini+ROUNDUP(Temps_fin_propu,0), 0.01, IF(K425&gt;0, 0.1, 0.0001))</f>
        <v>0.1</v>
      </c>
      <c r="B426" s="417" t="n">
        <f aca="false">B425+pas</f>
        <v>6.19999999999995</v>
      </c>
      <c r="C426" s="401"/>
      <c r="D426" s="418" t="n">
        <f aca="false">IF(AND(L425&lt;L_rampe,Poussee&lt;Poids*SIN(M425)),0,(-W425+Poussee)/m*COS(M425)-U425/m*SIN(M425))</f>
        <v>-2.34058922312039</v>
      </c>
      <c r="E426" s="419" t="n">
        <f aca="false">IF(AND(L425&lt;L_rampe,Poussee&lt;Poids*SIN(M425)),0,(-W425+Poussee)/m*SIN(M425)+U425/m*COS(M425)-Poids/m)</f>
        <v>-18.1763236249222</v>
      </c>
      <c r="F426" s="417" t="n">
        <f aca="false">SQRT(acc_x^2+acc_z^2)</f>
        <v>18.3264044053735</v>
      </c>
      <c r="G426" s="418" t="n">
        <f aca="false">G425+acc_x*pas</f>
        <v>36.4170230246183</v>
      </c>
      <c r="H426" s="419" t="n">
        <f aca="false">H425+acc_z*pas</f>
        <v>129.189897597322</v>
      </c>
      <c r="I426" s="417" t="n">
        <f aca="false">SQRT(vit_x^2+vit_z^2)</f>
        <v>134.224547707125</v>
      </c>
      <c r="J426" s="418" t="n">
        <f aca="false">J425+0.5*(vit_x+G425)*pas*(K425&gt;=0)</f>
        <v>202.895754621604</v>
      </c>
      <c r="K426" s="419" t="n">
        <f aca="false">K425+0.5*(vit_z+H425)*pas</f>
        <v>851.907520186954</v>
      </c>
      <c r="L426" s="417" t="n">
        <f aca="false">SQRT(pos_x^2+pos_z^2)</f>
        <v>875.73575363494</v>
      </c>
      <c r="M426" s="418" t="n">
        <f aca="false">IF(AND(L425&gt;L_rampe,G426&gt;0),ATAN2(G426,H426),$M$4)</f>
        <v>1.29603816331137</v>
      </c>
      <c r="N426" s="417" t="n">
        <f aca="false">DEGREES(Beta)</f>
        <v>74.2575168456285</v>
      </c>
      <c r="O426" s="401"/>
      <c r="P426" s="420" t="n">
        <f aca="false">MATCH(t-pas/2-T_ini,CdP_t)</f>
        <v>23</v>
      </c>
      <c r="Q426" s="417" t="n">
        <f aca="false">(INDEX(CdP,2,i_P+1)-INDEX(CdP,2,i_P+0))/(INDEX(CdP,1,i_P+1)-INDEX(CdP,1,i_P+0))*(t-pas/2-T_ini-INDEX(CdP,1,i_P+0))+INDEX(CdP,2,i_P+0)</f>
        <v>0</v>
      </c>
      <c r="R426" s="418" t="n">
        <f aca="false">Poussee/(g*ISP)</f>
        <v>0</v>
      </c>
      <c r="S426" s="419" t="n">
        <f aca="false">S425-Débit*pas</f>
        <v>7.37799999999998</v>
      </c>
      <c r="T426" s="417" t="n">
        <f aca="false">m*g</f>
        <v>72.3781799999998</v>
      </c>
      <c r="U426" s="421" t="n">
        <f aca="false">IF(pos_xz&lt;L_rampe,Poids*COS(Beta),0)</f>
        <v>0</v>
      </c>
      <c r="V426" s="418" t="n">
        <f aca="false">Rho_moyen*(20000-Alt_rampe-pos_z)/(20000+Alt_rampe+pos_z)</f>
        <v>1.12490491649565</v>
      </c>
      <c r="W426" s="417" t="n">
        <f aca="false">1/2*Rho*Sref*Cx*vit_xz^2</f>
        <v>62.3182753061007</v>
      </c>
      <c r="X426" s="401"/>
      <c r="Y426" s="422" t="str">
        <f aca="false">IF(AND(pos_z&lt;=0,K425&gt;0),"Impact balistique","") &amp; IF(AND(H427&lt;0,vit_z&gt;=0),"Apogée","") &amp; IF(AND(Poussee=0,Q425&gt;0),"Fin de propulsion","") &amp; IF(AND(L427&gt;L_rampe,pos_xz&lt;=L_rampe),"Sortie de rampe","")</f>
        <v/>
      </c>
      <c r="Z426" s="423" t="str">
        <f aca="false">IF(ABS(t-T_para)&lt;pas/2,"Para","")</f>
        <v/>
      </c>
      <c r="AA426" s="424" t="str">
        <f aca="false">IF(ABS(t-T_satellite)&lt;pas/2,"Satellite","")</f>
        <v/>
      </c>
      <c r="AB426" s="412"/>
      <c r="AC426" s="420" t="e">
        <f aca="false">IF(ABS(t-ROUND(t,0))&lt;0.001,t,NA())</f>
        <v>#N/A</v>
      </c>
      <c r="AD426" s="425" t="e">
        <f aca="false">IF(ABS(t-ROUND(t,0))&lt;0.001,pos_x,NA())</f>
        <v>#N/A</v>
      </c>
      <c r="AE426" s="426" t="n">
        <f aca="false">IF(t&lt;T_para, pos_z, NA())</f>
        <v>851.907520186954</v>
      </c>
      <c r="AF426" s="412"/>
      <c r="AG426" s="418" t="n">
        <f aca="false">IF(AND(L425&lt;L_rampe,Poussee&lt;Poids*SIN(M425)),0,(-W425+Poussee)/m-Poids*SIN(M425)/m)</f>
        <v>-18.1348194654912</v>
      </c>
      <c r="AH426" s="417" t="n">
        <f aca="false">IF(AND(L425&lt;L_rampe,Poussee&lt;Poids*SIN(M425)), g*SIN(M425), (-W425+Poussee)/m)</f>
        <v>-8.68756173551123</v>
      </c>
    </row>
    <row r="427" customFormat="false" ht="12" hidden="false" customHeight="false" outlineLevel="0" collapsed="false">
      <c r="A427" s="416" t="n">
        <f aca="false">IF(B426+0.01&lt;=T_ini+ROUNDUP(Temps_fin_propu,0), 0.01, IF(K426&gt;0, 0.1, 0.0001))</f>
        <v>0.1</v>
      </c>
      <c r="B427" s="417" t="n">
        <f aca="false">B426+pas</f>
        <v>6.29999999999995</v>
      </c>
      <c r="C427" s="401"/>
      <c r="D427" s="418" t="n">
        <f aca="false">IF(AND(L426&lt;L_rampe,Poussee&lt;Poids*SIN(M426)),0,(-W426+Poussee)/m*COS(M426)-U426/m*SIN(M426))</f>
        <v>-2.29165515452286</v>
      </c>
      <c r="E427" s="419" t="n">
        <f aca="false">IF(AND(L426&lt;L_rampe,Poussee&lt;Poids*SIN(M426)),0,(-W426+Poussee)/m*SIN(M426)+U426/m*COS(M426)-Poids/m)</f>
        <v>-17.9396786544316</v>
      </c>
      <c r="F427" s="417" t="n">
        <f aca="false">SQRT(acc_x^2+acc_z^2)</f>
        <v>18.085456963304</v>
      </c>
      <c r="G427" s="418" t="n">
        <f aca="false">G426+acc_x*pas</f>
        <v>36.187857509166</v>
      </c>
      <c r="H427" s="419" t="n">
        <f aca="false">H426+acc_z*pas</f>
        <v>127.395929731879</v>
      </c>
      <c r="I427" s="417" t="n">
        <f aca="false">SQRT(vit_x^2+vit_z^2)</f>
        <v>132.435961669607</v>
      </c>
      <c r="J427" s="418" t="n">
        <f aca="false">J426+0.5*(vit_x+G426)*pas*(K426&gt;=0)</f>
        <v>206.525998648293</v>
      </c>
      <c r="K427" s="419" t="n">
        <f aca="false">K426+0.5*(vit_z+H426)*pas</f>
        <v>864.736811553414</v>
      </c>
      <c r="L427" s="417" t="n">
        <f aca="false">SQRT(pos_x^2+pos_z^2)</f>
        <v>889.05722052815</v>
      </c>
      <c r="M427" s="418" t="n">
        <f aca="false">IF(AND(L426&gt;L_rampe,G427&gt;0),ATAN2(G427,H427),$M$4)</f>
        <v>1.2940284418893</v>
      </c>
      <c r="N427" s="417" t="n">
        <f aca="false">DEGREES(Beta)</f>
        <v>74.142368290147</v>
      </c>
      <c r="O427" s="401"/>
      <c r="P427" s="420" t="n">
        <f aca="false">MATCH(t-pas/2-T_ini,CdP_t)</f>
        <v>23</v>
      </c>
      <c r="Q427" s="417" t="n">
        <f aca="false">(INDEX(CdP,2,i_P+1)-INDEX(CdP,2,i_P+0))/(INDEX(CdP,1,i_P+1)-INDEX(CdP,1,i_P+0))*(t-pas/2-T_ini-INDEX(CdP,1,i_P+0))+INDEX(CdP,2,i_P+0)</f>
        <v>0</v>
      </c>
      <c r="R427" s="418" t="n">
        <f aca="false">Poussee/(g*ISP)</f>
        <v>0</v>
      </c>
      <c r="S427" s="419" t="n">
        <f aca="false">S426-Débit*pas</f>
        <v>7.37799999999998</v>
      </c>
      <c r="T427" s="417" t="n">
        <f aca="false">m*g</f>
        <v>72.3781799999998</v>
      </c>
      <c r="U427" s="421" t="n">
        <f aca="false">IF(pos_xz&lt;L_rampe,Poids*COS(Beta),0)</f>
        <v>0</v>
      </c>
      <c r="V427" s="418" t="n">
        <f aca="false">Rho_moyen*(20000-Alt_rampe-pos_z)/(20000+Alt_rampe+pos_z)</f>
        <v>1.12346000898834</v>
      </c>
      <c r="W427" s="417" t="n">
        <f aca="false">1/2*Rho*Sref*Cx*vit_xz^2</f>
        <v>60.5905910333267</v>
      </c>
      <c r="X427" s="401"/>
      <c r="Y427" s="422" t="str">
        <f aca="false">IF(AND(pos_z&lt;=0,K426&gt;0),"Impact balistique","") &amp; IF(AND(H428&lt;0,vit_z&gt;=0),"Apogée","") &amp; IF(AND(Poussee=0,Q426&gt;0),"Fin de propulsion","") &amp; IF(AND(L428&gt;L_rampe,pos_xz&lt;=L_rampe),"Sortie de rampe","")</f>
        <v/>
      </c>
      <c r="Z427" s="423" t="str">
        <f aca="false">IF(ABS(t-T_para)&lt;pas/2,"Para","")</f>
        <v/>
      </c>
      <c r="AA427" s="424" t="str">
        <f aca="false">IF(ABS(t-T_satellite)&lt;pas/2,"Satellite","")</f>
        <v/>
      </c>
      <c r="AB427" s="412"/>
      <c r="AC427" s="420" t="e">
        <f aca="false">IF(ABS(t-ROUND(t,0))&lt;0.001,t,NA())</f>
        <v>#N/A</v>
      </c>
      <c r="AD427" s="425" t="e">
        <f aca="false">IF(ABS(t-ROUND(t,0))&lt;0.001,pos_x,NA())</f>
        <v>#N/A</v>
      </c>
      <c r="AE427" s="426" t="n">
        <f aca="false">IF(t&lt;T_para, pos_z, NA())</f>
        <v>864.736811553414</v>
      </c>
      <c r="AF427" s="412"/>
      <c r="AG427" s="418" t="n">
        <f aca="false">IF(AND(L426&lt;L_rampe,Poussee&lt;Poids*SIN(M426)),0,(-W426+Poussee)/m-Poids*SIN(M426)/m)</f>
        <v>-17.888534905409</v>
      </c>
      <c r="AH427" s="417" t="n">
        <f aca="false">IF(AND(L426&lt;L_rampe,Poussee&lt;Poids*SIN(M426)), g*SIN(M426), (-W426+Poussee)/m)</f>
        <v>-8.44649977041215</v>
      </c>
    </row>
    <row r="428" customFormat="false" ht="12" hidden="false" customHeight="false" outlineLevel="0" collapsed="false">
      <c r="A428" s="416" t="n">
        <f aca="false">IF(B427+0.01&lt;=T_ini+ROUNDUP(Temps_fin_propu,0), 0.01, IF(K427&gt;0, 0.1, 0.0001))</f>
        <v>0.1</v>
      </c>
      <c r="B428" s="417" t="n">
        <f aca="false">B427+pas</f>
        <v>6.39999999999995</v>
      </c>
      <c r="C428" s="401"/>
      <c r="D428" s="418" t="n">
        <f aca="false">IF(AND(L427&lt;L_rampe,Poussee&lt;Poids*SIN(M427)),0,(-W427+Poussee)/m*COS(M427)-U427/m*SIN(M427))</f>
        <v>-2.24400324237484</v>
      </c>
      <c r="E428" s="419" t="n">
        <f aca="false">IF(AND(L427&lt;L_rampe,Poussee&lt;Poids*SIN(M427)),0,(-W427+Poussee)/m*SIN(M427)+U427/m*COS(M427)-Poids/m)</f>
        <v>-17.7098011780964</v>
      </c>
      <c r="F428" s="417" t="n">
        <f aca="false">SQRT(acc_x^2+acc_z^2)</f>
        <v>17.8514035392037</v>
      </c>
      <c r="G428" s="418" t="n">
        <f aca="false">G427+acc_x*pas</f>
        <v>35.9634571849285</v>
      </c>
      <c r="H428" s="419" t="n">
        <f aca="false">H427+acc_z*pas</f>
        <v>125.624949614069</v>
      </c>
      <c r="I428" s="417" t="n">
        <f aca="false">SQRT(vit_x^2+vit_z^2)</f>
        <v>130.671336635965</v>
      </c>
      <c r="J428" s="418" t="n">
        <f aca="false">J427+0.5*(vit_x+G427)*pas*(K427&gt;=0)</f>
        <v>210.133564382998</v>
      </c>
      <c r="K428" s="419" t="n">
        <f aca="false">K427+0.5*(vit_z+H427)*pas</f>
        <v>877.387855520712</v>
      </c>
      <c r="L428" s="417" t="n">
        <f aca="false">SQRT(pos_x^2+pos_z^2)</f>
        <v>902.200401183427</v>
      </c>
      <c r="M428" s="418" t="n">
        <f aca="false">IF(AND(L427&gt;L_rampe,G428&gt;0),ATAN2(G428,H428),$M$4)</f>
        <v>1.2919770628172</v>
      </c>
      <c r="N428" s="417" t="n">
        <f aca="false">DEGREES(Beta)</f>
        <v>74.0248329271337</v>
      </c>
      <c r="O428" s="401"/>
      <c r="P428" s="420" t="n">
        <f aca="false">MATCH(t-pas/2-T_ini,CdP_t)</f>
        <v>23</v>
      </c>
      <c r="Q428" s="417" t="n">
        <f aca="false">(INDEX(CdP,2,i_P+1)-INDEX(CdP,2,i_P+0))/(INDEX(CdP,1,i_P+1)-INDEX(CdP,1,i_P+0))*(t-pas/2-T_ini-INDEX(CdP,1,i_P+0))+INDEX(CdP,2,i_P+0)</f>
        <v>0</v>
      </c>
      <c r="R428" s="418" t="n">
        <f aca="false">Poussee/(g*ISP)</f>
        <v>0</v>
      </c>
      <c r="S428" s="419" t="n">
        <f aca="false">S427-Débit*pas</f>
        <v>7.37799999999998</v>
      </c>
      <c r="T428" s="417" t="n">
        <f aca="false">m*g</f>
        <v>72.3781799999998</v>
      </c>
      <c r="U428" s="421" t="n">
        <f aca="false">IF(pos_xz&lt;L_rampe,Poids*COS(Beta),0)</f>
        <v>0</v>
      </c>
      <c r="V428" s="418" t="n">
        <f aca="false">Rho_moyen*(20000-Alt_rampe-pos_z)/(20000+Alt_rampe+pos_z)</f>
        <v>1.12203691568592</v>
      </c>
      <c r="W428" s="417" t="n">
        <f aca="false">1/2*Rho*Sref*Cx*vit_xz^2</f>
        <v>58.911967183464</v>
      </c>
      <c r="X428" s="401"/>
      <c r="Y428" s="422" t="str">
        <f aca="false">IF(AND(pos_z&lt;=0,K427&gt;0),"Impact balistique","") &amp; IF(AND(H429&lt;0,vit_z&gt;=0),"Apogée","") &amp; IF(AND(Poussee=0,Q427&gt;0),"Fin de propulsion","") &amp; IF(AND(L429&gt;L_rampe,pos_xz&lt;=L_rampe),"Sortie de rampe","")</f>
        <v/>
      </c>
      <c r="Z428" s="423" t="str">
        <f aca="false">IF(ABS(t-T_para)&lt;pas/2,"Para","")</f>
        <v/>
      </c>
      <c r="AA428" s="424" t="str">
        <f aca="false">IF(ABS(t-T_satellite)&lt;pas/2,"Satellite","")</f>
        <v/>
      </c>
      <c r="AB428" s="412"/>
      <c r="AC428" s="420" t="e">
        <f aca="false">IF(ABS(t-ROUND(t,0))&lt;0.001,t,NA())</f>
        <v>#N/A</v>
      </c>
      <c r="AD428" s="425" t="e">
        <f aca="false">IF(ABS(t-ROUND(t,0))&lt;0.001,pos_x,NA())</f>
        <v>#N/A</v>
      </c>
      <c r="AE428" s="426" t="n">
        <f aca="false">IF(t&lt;T_para, pos_z, NA())</f>
        <v>877.387855520712</v>
      </c>
      <c r="AF428" s="412"/>
      <c r="AG428" s="418" t="n">
        <f aca="false">IF(AND(L427&lt;L_rampe,Poussee&lt;Poids*SIN(M427)),0,(-W427+Poussee)/m-Poids*SIN(M427)/m)</f>
        <v>-17.6489997623651</v>
      </c>
      <c r="AH428" s="417" t="n">
        <f aca="false">IF(AND(L427&lt;L_rampe,Poussee&lt;Poids*SIN(M427)), g*SIN(M427), (-W427+Poussee)/m)</f>
        <v>-8.21233275051869</v>
      </c>
    </row>
    <row r="429" customFormat="false" ht="12" hidden="false" customHeight="false" outlineLevel="0" collapsed="false">
      <c r="A429" s="416" t="n">
        <f aca="false">IF(B428+0.01&lt;=T_ini+ROUNDUP(Temps_fin_propu,0), 0.01, IF(K428&gt;0, 0.1, 0.0001))</f>
        <v>0.1</v>
      </c>
      <c r="B429" s="417" t="n">
        <f aca="false">B428+pas</f>
        <v>6.49999999999995</v>
      </c>
      <c r="C429" s="401"/>
      <c r="D429" s="418" t="n">
        <f aca="false">IF(AND(L428&lt;L_rampe,Poussee&lt;Poids*SIN(M428)),0,(-W428+Poussee)/m*COS(M428)-U428/m*SIN(M428))</f>
        <v>-2.19758647976473</v>
      </c>
      <c r="E429" s="419" t="n">
        <f aca="false">IF(AND(L428&lt;L_rampe,Poussee&lt;Poids*SIN(M428)),0,(-W428+Poussee)/m*SIN(M428)+U428/m*COS(M428)-Poids/m)</f>
        <v>-17.4864502748835</v>
      </c>
      <c r="F429" s="417" t="n">
        <f aca="false">SQRT(acc_x^2+acc_z^2)</f>
        <v>17.6239986822519</v>
      </c>
      <c r="G429" s="418" t="n">
        <f aca="false">G428+acc_x*pas</f>
        <v>35.7436985369521</v>
      </c>
      <c r="H429" s="419" t="n">
        <f aca="false">H428+acc_z*pas</f>
        <v>123.876304586581</v>
      </c>
      <c r="I429" s="417" t="n">
        <f aca="false">SQRT(vit_x^2+vit_z^2)</f>
        <v>128.930022970323</v>
      </c>
      <c r="J429" s="418" t="n">
        <f aca="false">J428+0.5*(vit_x+G428)*pas*(K428&gt;=0)</f>
        <v>213.718922169092</v>
      </c>
      <c r="K429" s="419" t="n">
        <f aca="false">K428+0.5*(vit_z+H428)*pas</f>
        <v>889.862918230744</v>
      </c>
      <c r="L429" s="417" t="n">
        <f aca="false">SQRT(pos_x^2+pos_z^2)</f>
        <v>915.167629964727</v>
      </c>
      <c r="M429" s="418" t="n">
        <f aca="false">IF(AND(L428&gt;L_rampe,G429&gt;0),ATAN2(G429,H429),$M$4)</f>
        <v>1.28988296788757</v>
      </c>
      <c r="N429" s="417" t="n">
        <f aca="false">DEGREES(Beta)</f>
        <v>73.9048501257667</v>
      </c>
      <c r="O429" s="401"/>
      <c r="P429" s="420" t="n">
        <f aca="false">MATCH(t-pas/2-T_ini,CdP_t)</f>
        <v>23</v>
      </c>
      <c r="Q429" s="417" t="n">
        <f aca="false">(INDEX(CdP,2,i_P+1)-INDEX(CdP,2,i_P+0))/(INDEX(CdP,1,i_P+1)-INDEX(CdP,1,i_P+0))*(t-pas/2-T_ini-INDEX(CdP,1,i_P+0))+INDEX(CdP,2,i_P+0)</f>
        <v>0</v>
      </c>
      <c r="R429" s="418" t="n">
        <f aca="false">Poussee/(g*ISP)</f>
        <v>0</v>
      </c>
      <c r="S429" s="419" t="n">
        <f aca="false">S428-Débit*pas</f>
        <v>7.37799999999998</v>
      </c>
      <c r="T429" s="417" t="n">
        <f aca="false">m*g</f>
        <v>72.3781799999998</v>
      </c>
      <c r="U429" s="421" t="n">
        <f aca="false">IF(pos_xz&lt;L_rampe,Poids*COS(Beta),0)</f>
        <v>0</v>
      </c>
      <c r="V429" s="418" t="n">
        <f aca="false">Rho_moyen*(20000-Alt_rampe-pos_z)/(20000+Alt_rampe+pos_z)</f>
        <v>1.1206353060717</v>
      </c>
      <c r="W429" s="417" t="n">
        <f aca="false">1/2*Rho*Sref*Cx*vit_xz^2</f>
        <v>57.2806758075067</v>
      </c>
      <c r="X429" s="401"/>
      <c r="Y429" s="422" t="str">
        <f aca="false">IF(AND(pos_z&lt;=0,K428&gt;0),"Impact balistique","") &amp; IF(AND(H430&lt;0,vit_z&gt;=0),"Apogée","") &amp; IF(AND(Poussee=0,Q428&gt;0),"Fin de propulsion","") &amp; IF(AND(L430&gt;L_rampe,pos_xz&lt;=L_rampe),"Sortie de rampe","")</f>
        <v/>
      </c>
      <c r="Z429" s="423" t="str">
        <f aca="false">IF(ABS(t-T_para)&lt;pas/2,"Para","")</f>
        <v/>
      </c>
      <c r="AA429" s="424" t="str">
        <f aca="false">IF(ABS(t-T_satellite)&lt;pas/2,"Satellite","")</f>
        <v/>
      </c>
      <c r="AB429" s="412"/>
      <c r="AC429" s="420" t="e">
        <f aca="false">IF(ABS(t-ROUND(t,0))&lt;0.001,t,NA())</f>
        <v>#N/A</v>
      </c>
      <c r="AD429" s="425" t="e">
        <f aca="false">IF(ABS(t-ROUND(t,0))&lt;0.001,pos_x,NA())</f>
        <v>#N/A</v>
      </c>
      <c r="AE429" s="426" t="n">
        <f aca="false">IF(t&lt;T_para, pos_z, NA())</f>
        <v>889.862918230744</v>
      </c>
      <c r="AF429" s="412"/>
      <c r="AG429" s="418" t="n">
        <f aca="false">IF(AND(L428&lt;L_rampe,Poussee&lt;Poids*SIN(M428)),0,(-W428+Poussee)/m-Poids*SIN(M428)/m)</f>
        <v>-17.4159635967174</v>
      </c>
      <c r="AH429" s="417" t="n">
        <f aca="false">IF(AND(L428&lt;L_rampe,Poussee&lt;Poids*SIN(M428)), g*SIN(M428), (-W428+Poussee)/m)</f>
        <v>-7.98481528645488</v>
      </c>
    </row>
    <row r="430" customFormat="false" ht="12" hidden="false" customHeight="false" outlineLevel="0" collapsed="false">
      <c r="A430" s="416" t="n">
        <f aca="false">IF(B429+0.01&lt;=T_ini+ROUNDUP(Temps_fin_propu,0), 0.01, IF(K429&gt;0, 0.1, 0.0001))</f>
        <v>0.1</v>
      </c>
      <c r="B430" s="417" t="n">
        <f aca="false">B429+pas</f>
        <v>6.59999999999995</v>
      </c>
      <c r="C430" s="401"/>
      <c r="D430" s="418" t="n">
        <f aca="false">IF(AND(L429&lt;L_rampe,Poussee&lt;Poids*SIN(M429)),0,(-W429+Poussee)/m*COS(M429)-U429/m*SIN(M429))</f>
        <v>-2.15235999244224</v>
      </c>
      <c r="E430" s="419" t="n">
        <f aca="false">IF(AND(L429&lt;L_rampe,Poussee&lt;Poids*SIN(M429)),0,(-W429+Poussee)/m*SIN(M429)+U429/m*COS(M429)-Poids/m)</f>
        <v>-17.2693960031334</v>
      </c>
      <c r="F430" s="417" t="n">
        <f aca="false">SQRT(acc_x^2+acc_z^2)</f>
        <v>17.4030081264736</v>
      </c>
      <c r="G430" s="418" t="n">
        <f aca="false">G429+acc_x*pas</f>
        <v>35.5284625377078</v>
      </c>
      <c r="H430" s="419" t="n">
        <f aca="false">H429+acc_z*pas</f>
        <v>122.149364986268</v>
      </c>
      <c r="I430" s="417" t="n">
        <f aca="false">SQRT(vit_x^2+vit_z^2)</f>
        <v>127.211394996053</v>
      </c>
      <c r="J430" s="418" t="n">
        <f aca="false">J429+0.5*(vit_x+G429)*pas*(K429&gt;=0)</f>
        <v>217.282530222825</v>
      </c>
      <c r="K430" s="419" t="n">
        <f aca="false">K429+0.5*(vit_z+H429)*pas</f>
        <v>902.164201709387</v>
      </c>
      <c r="L430" s="417" t="n">
        <f aca="false">SQRT(pos_x^2+pos_z^2)</f>
        <v>927.961176335502</v>
      </c>
      <c r="M430" s="418" t="n">
        <f aca="false">IF(AND(L429&gt;L_rampe,G430&gt;0),ATAN2(G430,H430),$M$4)</f>
        <v>1.28774506117106</v>
      </c>
      <c r="N430" s="417" t="n">
        <f aca="false">DEGREES(Beta)</f>
        <v>73.7823570939175</v>
      </c>
      <c r="O430" s="401"/>
      <c r="P430" s="420" t="n">
        <f aca="false">MATCH(t-pas/2-T_ini,CdP_t)</f>
        <v>23</v>
      </c>
      <c r="Q430" s="417" t="n">
        <f aca="false">(INDEX(CdP,2,i_P+1)-INDEX(CdP,2,i_P+0))/(INDEX(CdP,1,i_P+1)-INDEX(CdP,1,i_P+0))*(t-pas/2-T_ini-INDEX(CdP,1,i_P+0))+INDEX(CdP,2,i_P+0)</f>
        <v>0</v>
      </c>
      <c r="R430" s="418" t="n">
        <f aca="false">Poussee/(g*ISP)</f>
        <v>0</v>
      </c>
      <c r="S430" s="419" t="n">
        <f aca="false">S429-Débit*pas</f>
        <v>7.37799999999998</v>
      </c>
      <c r="T430" s="417" t="n">
        <f aca="false">m*g</f>
        <v>72.3781799999998</v>
      </c>
      <c r="U430" s="421" t="n">
        <f aca="false">IF(pos_xz&lt;L_rampe,Poids*COS(Beta),0)</f>
        <v>0</v>
      </c>
      <c r="V430" s="418" t="n">
        <f aca="false">Rho_moyen*(20000-Alt_rampe-pos_z)/(20000+Alt_rampe+pos_z)</f>
        <v>1.11925485931226</v>
      </c>
      <c r="W430" s="417" t="n">
        <f aca="false">1/2*Rho*Sref*Cx*vit_xz^2</f>
        <v>55.6950670279166</v>
      </c>
      <c r="X430" s="401"/>
      <c r="Y430" s="422" t="str">
        <f aca="false">IF(AND(pos_z&lt;=0,K429&gt;0),"Impact balistique","") &amp; IF(AND(H431&lt;0,vit_z&gt;=0),"Apogée","") &amp; IF(AND(Poussee=0,Q429&gt;0),"Fin de propulsion","") &amp; IF(AND(L431&gt;L_rampe,pos_xz&lt;=L_rampe),"Sortie de rampe","")</f>
        <v/>
      </c>
      <c r="Z430" s="423" t="str">
        <f aca="false">IF(ABS(t-T_para)&lt;pas/2,"Para","")</f>
        <v/>
      </c>
      <c r="AA430" s="424" t="str">
        <f aca="false">IF(ABS(t-T_satellite)&lt;pas/2,"Satellite","")</f>
        <v/>
      </c>
      <c r="AB430" s="412"/>
      <c r="AC430" s="420" t="e">
        <f aca="false">IF(ABS(t-ROUND(t,0))&lt;0.001,t,NA())</f>
        <v>#N/A</v>
      </c>
      <c r="AD430" s="425" t="e">
        <f aca="false">IF(ABS(t-ROUND(t,0))&lt;0.001,pos_x,NA())</f>
        <v>#N/A</v>
      </c>
      <c r="AE430" s="426" t="n">
        <f aca="false">IF(t&lt;T_para, pos_z, NA())</f>
        <v>902.164201709387</v>
      </c>
      <c r="AF430" s="412"/>
      <c r="AG430" s="418" t="n">
        <f aca="false">IF(AND(L429&lt;L_rampe,Poussee&lt;Poids*SIN(M429)),0,(-W429+Poussee)/m-Poids*SIN(M429)/m)</f>
        <v>-17.1891869323053</v>
      </c>
      <c r="AH430" s="417" t="n">
        <f aca="false">IF(AND(L429&lt;L_rampe,Poussee&lt;Poids*SIN(M429)), g*SIN(M429), (-W429+Poussee)/m)</f>
        <v>-7.76371317531944</v>
      </c>
    </row>
    <row r="431" customFormat="false" ht="12" hidden="false" customHeight="false" outlineLevel="0" collapsed="false">
      <c r="A431" s="416" t="n">
        <f aca="false">IF(B430+0.01&lt;=T_ini+ROUNDUP(Temps_fin_propu,0), 0.01, IF(K430&gt;0, 0.1, 0.0001))</f>
        <v>0.1</v>
      </c>
      <c r="B431" s="417" t="n">
        <f aca="false">B430+pas</f>
        <v>6.69999999999995</v>
      </c>
      <c r="C431" s="401"/>
      <c r="D431" s="418" t="n">
        <f aca="false">IF(AND(L430&lt;L_rampe,Poussee&lt;Poids*SIN(M430)),0,(-W430+Poussee)/m*COS(M430)-U430/m*SIN(M430))</f>
        <v>-2.10828092362225</v>
      </c>
      <c r="E431" s="419" t="n">
        <f aca="false">IF(AND(L430&lt;L_rampe,Poussee&lt;Poids*SIN(M430)),0,(-W430+Poussee)/m*SIN(M430)+U430/m*COS(M430)-Poids/m)</f>
        <v>-17.0584188067468</v>
      </c>
      <c r="F431" s="417" t="n">
        <f aca="false">SQRT(acc_x^2+acc_z^2)</f>
        <v>17.1882081858256</v>
      </c>
      <c r="G431" s="418" t="n">
        <f aca="false">G430+acc_x*pas</f>
        <v>35.3176344453456</v>
      </c>
      <c r="H431" s="419" t="n">
        <f aca="false">H430+acc_z*pas</f>
        <v>120.443523105593</v>
      </c>
      <c r="I431" s="417" t="n">
        <f aca="false">SQRT(vit_x^2+vit_z^2)</f>
        <v>125.514849961678</v>
      </c>
      <c r="J431" s="418" t="n">
        <f aca="false">J430+0.5*(vit_x+G430)*pas*(K430&gt;=0)</f>
        <v>220.824835071978</v>
      </c>
      <c r="K431" s="419" t="n">
        <f aca="false">K430+0.5*(vit_z+H430)*pas</f>
        <v>914.29384611398</v>
      </c>
      <c r="L431" s="417" t="n">
        <f aca="false">SQRT(pos_x^2+pos_z^2)</f>
        <v>940.583247153839</v>
      </c>
      <c r="M431" s="418" t="n">
        <f aca="false">IF(AND(L430&gt;L_rampe,G431&gt;0),ATAN2(G431,H431),$M$4)</f>
        <v>1.28556220741657</v>
      </c>
      <c r="N431" s="417" t="n">
        <f aca="false">DEGREES(Beta)</f>
        <v>73.6572887864909</v>
      </c>
      <c r="O431" s="401"/>
      <c r="P431" s="420" t="n">
        <f aca="false">MATCH(t-pas/2-T_ini,CdP_t)</f>
        <v>23</v>
      </c>
      <c r="Q431" s="417" t="n">
        <f aca="false">(INDEX(CdP,2,i_P+1)-INDEX(CdP,2,i_P+0))/(INDEX(CdP,1,i_P+1)-INDEX(CdP,1,i_P+0))*(t-pas/2-T_ini-INDEX(CdP,1,i_P+0))+INDEX(CdP,2,i_P+0)</f>
        <v>0</v>
      </c>
      <c r="R431" s="418" t="n">
        <f aca="false">Poussee/(g*ISP)</f>
        <v>0</v>
      </c>
      <c r="S431" s="419" t="n">
        <f aca="false">S430-Débit*pas</f>
        <v>7.37799999999998</v>
      </c>
      <c r="T431" s="417" t="n">
        <f aca="false">m*g</f>
        <v>72.3781799999998</v>
      </c>
      <c r="U431" s="421" t="n">
        <f aca="false">IF(pos_xz&lt;L_rampe,Poids*COS(Beta),0)</f>
        <v>0</v>
      </c>
      <c r="V431" s="418" t="n">
        <f aca="false">Rho_moyen*(20000-Alt_rampe-pos_z)/(20000+Alt_rampe+pos_z)</f>
        <v>1.11789526390606</v>
      </c>
      <c r="W431" s="417" t="n">
        <f aca="false">1/2*Rho*Sref*Cx*vit_xz^2</f>
        <v>54.1535648571276</v>
      </c>
      <c r="X431" s="401"/>
      <c r="Y431" s="422" t="str">
        <f aca="false">IF(AND(pos_z&lt;=0,K430&gt;0),"Impact balistique","") &amp; IF(AND(H432&lt;0,vit_z&gt;=0),"Apogée","") &amp; IF(AND(Poussee=0,Q430&gt;0),"Fin de propulsion","") &amp; IF(AND(L432&gt;L_rampe,pos_xz&lt;=L_rampe),"Sortie de rampe","")</f>
        <v/>
      </c>
      <c r="Z431" s="423" t="str">
        <f aca="false">IF(ABS(t-T_para)&lt;pas/2,"Para","")</f>
        <v/>
      </c>
      <c r="AA431" s="424" t="str">
        <f aca="false">IF(ABS(t-T_satellite)&lt;pas/2,"Satellite","")</f>
        <v/>
      </c>
      <c r="AB431" s="412"/>
      <c r="AC431" s="420" t="e">
        <f aca="false">IF(ABS(t-ROUND(t,0))&lt;0.001,t,NA())</f>
        <v>#N/A</v>
      </c>
      <c r="AD431" s="425" t="e">
        <f aca="false">IF(ABS(t-ROUND(t,0))&lt;0.001,pos_x,NA())</f>
        <v>#N/A</v>
      </c>
      <c r="AE431" s="426" t="n">
        <f aca="false">IF(t&lt;T_para, pos_z, NA())</f>
        <v>914.29384611398</v>
      </c>
      <c r="AF431" s="412"/>
      <c r="AG431" s="418" t="n">
        <f aca="false">IF(AND(L430&lt;L_rampe,Poussee&lt;Poids*SIN(M430)),0,(-W430+Poussee)/m-Poids*SIN(M430)/m)</f>
        <v>-16.9684406400447</v>
      </c>
      <c r="AH431" s="417" t="n">
        <f aca="false">IF(AND(L430&lt;L_rampe,Poussee&lt;Poids*SIN(M430)), g*SIN(M430), (-W430+Poussee)/m)</f>
        <v>-7.54880279586836</v>
      </c>
    </row>
    <row r="432" customFormat="false" ht="12" hidden="false" customHeight="false" outlineLevel="0" collapsed="false">
      <c r="A432" s="416" t="n">
        <f aca="false">IF(B431+0.01&lt;=T_ini+ROUNDUP(Temps_fin_propu,0), 0.01, IF(K431&gt;0, 0.1, 0.0001))</f>
        <v>0.1</v>
      </c>
      <c r="B432" s="417" t="n">
        <f aca="false">B431+pas</f>
        <v>6.79999999999995</v>
      </c>
      <c r="C432" s="401"/>
      <c r="D432" s="418" t="n">
        <f aca="false">IF(AND(L431&lt;L_rampe,Poussee&lt;Poids*SIN(M431)),0,(-W431+Poussee)/m*COS(M431)-U431/m*SIN(M431))</f>
        <v>-2.06530832606098</v>
      </c>
      <c r="E432" s="419" t="n">
        <f aca="false">IF(AND(L431&lt;L_rampe,Poussee&lt;Poids*SIN(M431)),0,(-W431+Poussee)/m*SIN(M431)+U431/m*COS(M431)-Poids/m)</f>
        <v>-16.8533089587313</v>
      </c>
      <c r="F432" s="417" t="n">
        <f aca="false">SQRT(acc_x^2+acc_z^2)</f>
        <v>16.9793851873426</v>
      </c>
      <c r="G432" s="418" t="n">
        <f aca="false">G431+acc_x*pas</f>
        <v>35.1111036127395</v>
      </c>
      <c r="H432" s="419" t="n">
        <f aca="false">H431+acc_z*pas</f>
        <v>118.75819220972</v>
      </c>
      <c r="I432" s="417" t="n">
        <f aca="false">SQRT(vit_x^2+vit_z^2)</f>
        <v>123.839807064713</v>
      </c>
      <c r="J432" s="418" t="n">
        <f aca="false">J431+0.5*(vit_x+G431)*pas*(K431&gt;=0)</f>
        <v>224.346271974882</v>
      </c>
      <c r="K432" s="419" t="n">
        <f aca="false">K431+0.5*(vit_z+H431)*pas</f>
        <v>926.253931879745</v>
      </c>
      <c r="L432" s="417" t="n">
        <f aca="false">SQRT(pos_x^2+pos_z^2)</f>
        <v>953.035988864909</v>
      </c>
      <c r="M432" s="418" t="n">
        <f aca="false">IF(AND(L431&gt;L_rampe,G432&gt;0),ATAN2(G432,H432),$M$4)</f>
        <v>1.28333323037087</v>
      </c>
      <c r="N432" s="417" t="n">
        <f aca="false">DEGREES(Beta)</f>
        <v>73.5295778091412</v>
      </c>
      <c r="O432" s="401"/>
      <c r="P432" s="420" t="n">
        <f aca="false">MATCH(t-pas/2-T_ini,CdP_t)</f>
        <v>23</v>
      </c>
      <c r="Q432" s="417" t="n">
        <f aca="false">(INDEX(CdP,2,i_P+1)-INDEX(CdP,2,i_P+0))/(INDEX(CdP,1,i_P+1)-INDEX(CdP,1,i_P+0))*(t-pas/2-T_ini-INDEX(CdP,1,i_P+0))+INDEX(CdP,2,i_P+0)</f>
        <v>0</v>
      </c>
      <c r="R432" s="418" t="n">
        <f aca="false">Poussee/(g*ISP)</f>
        <v>0</v>
      </c>
      <c r="S432" s="419" t="n">
        <f aca="false">S431-Débit*pas</f>
        <v>7.37799999999998</v>
      </c>
      <c r="T432" s="417" t="n">
        <f aca="false">m*g</f>
        <v>72.3781799999998</v>
      </c>
      <c r="U432" s="421" t="n">
        <f aca="false">IF(pos_xz&lt;L_rampe,Poids*COS(Beta),0)</f>
        <v>0</v>
      </c>
      <c r="V432" s="418" t="n">
        <f aca="false">Rho_moyen*(20000-Alt_rampe-pos_z)/(20000+Alt_rampe+pos_z)</f>
        <v>1.11655621734819</v>
      </c>
      <c r="W432" s="417" t="n">
        <f aca="false">1/2*Rho*Sref*Cx*vit_xz^2</f>
        <v>52.6546632768356</v>
      </c>
      <c r="X432" s="401"/>
      <c r="Y432" s="422" t="str">
        <f aca="false">IF(AND(pos_z&lt;=0,K431&gt;0),"Impact balistique","") &amp; IF(AND(H433&lt;0,vit_z&gt;=0),"Apogée","") &amp; IF(AND(Poussee=0,Q431&gt;0),"Fin de propulsion","") &amp; IF(AND(L433&gt;L_rampe,pos_xz&lt;=L_rampe),"Sortie de rampe","")</f>
        <v/>
      </c>
      <c r="Z432" s="423" t="str">
        <f aca="false">IF(ABS(t-T_para)&lt;pas/2,"Para","")</f>
        <v/>
      </c>
      <c r="AA432" s="424" t="str">
        <f aca="false">IF(ABS(t-T_satellite)&lt;pas/2,"Satellite","")</f>
        <v/>
      </c>
      <c r="AB432" s="412"/>
      <c r="AC432" s="420" t="e">
        <f aca="false">IF(ABS(t-ROUND(t,0))&lt;0.001,t,NA())</f>
        <v>#N/A</v>
      </c>
      <c r="AD432" s="425" t="e">
        <f aca="false">IF(ABS(t-ROUND(t,0))&lt;0.001,pos_x,NA())</f>
        <v>#N/A</v>
      </c>
      <c r="AE432" s="426" t="n">
        <f aca="false">IF(t&lt;T_para, pos_z, NA())</f>
        <v>926.253931879745</v>
      </c>
      <c r="AF432" s="412"/>
      <c r="AG432" s="418" t="n">
        <f aca="false">IF(AND(L431&lt;L_rampe,Poussee&lt;Poids*SIN(M431)),0,(-W431+Poussee)/m-Poids*SIN(M431)/m)</f>
        <v>-16.7535053588912</v>
      </c>
      <c r="AH432" s="417" t="n">
        <f aca="false">IF(AND(L431&lt;L_rampe,Poussee&lt;Poids*SIN(M431)), g*SIN(M431), (-W431+Poussee)/m)</f>
        <v>-7.33987054176305</v>
      </c>
    </row>
    <row r="433" customFormat="false" ht="12" hidden="false" customHeight="false" outlineLevel="0" collapsed="false">
      <c r="A433" s="416" t="n">
        <f aca="false">IF(B432+0.01&lt;=T_ini+ROUNDUP(Temps_fin_propu,0), 0.01, IF(K432&gt;0, 0.1, 0.0001))</f>
        <v>0.1</v>
      </c>
      <c r="B433" s="417" t="n">
        <f aca="false">B432+pas</f>
        <v>6.89999999999995</v>
      </c>
      <c r="C433" s="401"/>
      <c r="D433" s="418" t="n">
        <f aca="false">IF(AND(L432&lt;L_rampe,Poussee&lt;Poids*SIN(M432)),0,(-W432+Poussee)/m*COS(M432)-U432/m*SIN(M432))</f>
        <v>-2.02340306088612</v>
      </c>
      <c r="E433" s="419" t="n">
        <f aca="false">IF(AND(L432&lt;L_rampe,Poussee&lt;Poids*SIN(M432)),0,(-W432+Poussee)/m*SIN(M432)+U432/m*COS(M432)-Poids/m)</f>
        <v>-16.6538660394389</v>
      </c>
      <c r="F433" s="417" t="n">
        <f aca="false">SQRT(acc_x^2+acc_z^2)</f>
        <v>16.776334939622</v>
      </c>
      <c r="G433" s="418" t="n">
        <f aca="false">G432+acc_x*pas</f>
        <v>34.9087633066509</v>
      </c>
      <c r="H433" s="419" t="n">
        <f aca="false">H432+acc_z*pas</f>
        <v>117.092805605776</v>
      </c>
      <c r="I433" s="417" t="n">
        <f aca="false">SQRT(vit_x^2+vit_z^2)</f>
        <v>122.185706529986</v>
      </c>
      <c r="J433" s="418" t="n">
        <f aca="false">J432+0.5*(vit_x+G432)*pas*(K432&gt;=0)</f>
        <v>227.847265320852</v>
      </c>
      <c r="K433" s="419" t="n">
        <f aca="false">K432+0.5*(vit_z+H432)*pas</f>
        <v>938.04648177052</v>
      </c>
      <c r="L433" s="417" t="n">
        <f aca="false">SQRT(pos_x^2+pos_z^2)</f>
        <v>965.321489596208</v>
      </c>
      <c r="M433" s="418" t="n">
        <f aca="false">IF(AND(L432&gt;L_rampe,G433&gt;0),ATAN2(G433,H433),$M$4)</f>
        <v>1.28105691101284</v>
      </c>
      <c r="N433" s="417" t="n">
        <f aca="false">DEGREES(Beta)</f>
        <v>73.3991543171017</v>
      </c>
      <c r="O433" s="401"/>
      <c r="P433" s="420" t="n">
        <f aca="false">MATCH(t-pas/2-T_ini,CdP_t)</f>
        <v>23</v>
      </c>
      <c r="Q433" s="417" t="n">
        <f aca="false">(INDEX(CdP,2,i_P+1)-INDEX(CdP,2,i_P+0))/(INDEX(CdP,1,i_P+1)-INDEX(CdP,1,i_P+0))*(t-pas/2-T_ini-INDEX(CdP,1,i_P+0))+INDEX(CdP,2,i_P+0)</f>
        <v>0</v>
      </c>
      <c r="R433" s="418" t="n">
        <f aca="false">Poussee/(g*ISP)</f>
        <v>0</v>
      </c>
      <c r="S433" s="419" t="n">
        <f aca="false">S432-Débit*pas</f>
        <v>7.37799999999998</v>
      </c>
      <c r="T433" s="417" t="n">
        <f aca="false">m*g</f>
        <v>72.3781799999998</v>
      </c>
      <c r="U433" s="421" t="n">
        <f aca="false">IF(pos_xz&lt;L_rampe,Poids*COS(Beta),0)</f>
        <v>0</v>
      </c>
      <c r="V433" s="418" t="n">
        <f aca="false">Rho_moyen*(20000-Alt_rampe-pos_z)/(20000+Alt_rampe+pos_z)</f>
        <v>1.11523742581054</v>
      </c>
      <c r="W433" s="417" t="n">
        <f aca="false">1/2*Rho*Sref*Cx*vit_xz^2</f>
        <v>51.1969225596123</v>
      </c>
      <c r="X433" s="401"/>
      <c r="Y433" s="422" t="str">
        <f aca="false">IF(AND(pos_z&lt;=0,K432&gt;0),"Impact balistique","") &amp; IF(AND(H434&lt;0,vit_z&gt;=0),"Apogée","") &amp; IF(AND(Poussee=0,Q432&gt;0),"Fin de propulsion","") &amp; IF(AND(L434&gt;L_rampe,pos_xz&lt;=L_rampe),"Sortie de rampe","")</f>
        <v/>
      </c>
      <c r="Z433" s="423" t="str">
        <f aca="false">IF(ABS(t-T_para)&lt;pas/2,"Para","")</f>
        <v/>
      </c>
      <c r="AA433" s="424" t="str">
        <f aca="false">IF(ABS(t-T_satellite)&lt;pas/2,"Satellite","")</f>
        <v/>
      </c>
      <c r="AB433" s="412"/>
      <c r="AC433" s="420" t="e">
        <f aca="false">IF(ABS(t-ROUND(t,0))&lt;0.001,t,NA())</f>
        <v>#N/A</v>
      </c>
      <c r="AD433" s="425" t="e">
        <f aca="false">IF(ABS(t-ROUND(t,0))&lt;0.001,pos_x,NA())</f>
        <v>#N/A</v>
      </c>
      <c r="AE433" s="426" t="n">
        <f aca="false">IF(t&lt;T_para, pos_z, NA())</f>
        <v>938.04648177052</v>
      </c>
      <c r="AF433" s="412"/>
      <c r="AG433" s="418" t="n">
        <f aca="false">IF(AND(L432&lt;L_rampe,Poussee&lt;Poids*SIN(M432)),0,(-W432+Poussee)/m-Poids*SIN(M432)/m)</f>
        <v>-16.5441709514058</v>
      </c>
      <c r="AH433" s="417" t="n">
        <f aca="false">IF(AND(L432&lt;L_rampe,Poussee&lt;Poids*SIN(M432)), g*SIN(M432), (-W432+Poussee)/m)</f>
        <v>-7.13671229016478</v>
      </c>
    </row>
    <row r="434" customFormat="false" ht="12" hidden="false" customHeight="false" outlineLevel="0" collapsed="false">
      <c r="A434" s="416" t="n">
        <f aca="false">IF(B433+0.01&lt;=T_ini+ROUNDUP(Temps_fin_propu,0), 0.01, IF(K433&gt;0, 0.1, 0.0001))</f>
        <v>0.1</v>
      </c>
      <c r="B434" s="417" t="n">
        <f aca="false">B433+pas</f>
        <v>6.99999999999995</v>
      </c>
      <c r="C434" s="401"/>
      <c r="D434" s="418" t="n">
        <f aca="false">IF(AND(L433&lt;L_rampe,Poussee&lt;Poids*SIN(M433)),0,(-W433+Poussee)/m*COS(M433)-U433/m*SIN(M433))</f>
        <v>-1.98252770270491</v>
      </c>
      <c r="E434" s="419" t="n">
        <f aca="false">IF(AND(L433&lt;L_rampe,Poussee&lt;Poids*SIN(M433)),0,(-W433+Poussee)/m*SIN(M433)+U433/m*COS(M433)-Poids/m)</f>
        <v>-16.4598984470373</v>
      </c>
      <c r="F434" s="417" t="n">
        <f aca="false">SQRT(acc_x^2+acc_z^2)</f>
        <v>16.5788622341455</v>
      </c>
      <c r="G434" s="418" t="n">
        <f aca="false">G433+acc_x*pas</f>
        <v>34.7105105363804</v>
      </c>
      <c r="H434" s="419" t="n">
        <f aca="false">H433+acc_z*pas</f>
        <v>115.446815761072</v>
      </c>
      <c r="I434" s="417" t="n">
        <f aca="false">SQRT(vit_x^2+vit_z^2)</f>
        <v>120.552008739246</v>
      </c>
      <c r="J434" s="418" t="n">
        <f aca="false">J433+0.5*(vit_x+G433)*pas*(K433&gt;=0)</f>
        <v>231.328229013003</v>
      </c>
      <c r="K434" s="419" t="n">
        <f aca="false">K433+0.5*(vit_z+H433)*pas</f>
        <v>949.673462838862</v>
      </c>
      <c r="L434" s="417" t="n">
        <f aca="false">SQRT(pos_x^2+pos_z^2)</f>
        <v>977.441781160724</v>
      </c>
      <c r="M434" s="418" t="n">
        <f aca="false">IF(AND(L433&gt;L_rampe,G434&gt;0),ATAN2(G434,H434),$M$4)</f>
        <v>1.27873198569752</v>
      </c>
      <c r="N434" s="417" t="n">
        <f aca="false">DEGREES(Beta)</f>
        <v>73.2659459088509</v>
      </c>
      <c r="O434" s="401"/>
      <c r="P434" s="420" t="n">
        <f aca="false">MATCH(t-pas/2-T_ini,CdP_t)</f>
        <v>23</v>
      </c>
      <c r="Q434" s="417" t="n">
        <f aca="false">(INDEX(CdP,2,i_P+1)-INDEX(CdP,2,i_P+0))/(INDEX(CdP,1,i_P+1)-INDEX(CdP,1,i_P+0))*(t-pas/2-T_ini-INDEX(CdP,1,i_P+0))+INDEX(CdP,2,i_P+0)</f>
        <v>0</v>
      </c>
      <c r="R434" s="418" t="n">
        <f aca="false">Poussee/(g*ISP)</f>
        <v>0</v>
      </c>
      <c r="S434" s="419" t="n">
        <f aca="false">S433-Débit*pas</f>
        <v>7.37799999999998</v>
      </c>
      <c r="T434" s="417" t="n">
        <f aca="false">m*g</f>
        <v>72.3781799999998</v>
      </c>
      <c r="U434" s="421" t="n">
        <f aca="false">IF(pos_xz&lt;L_rampe,Poids*COS(Beta),0)</f>
        <v>0</v>
      </c>
      <c r="V434" s="418" t="n">
        <f aca="false">Rho_moyen*(20000-Alt_rampe-pos_z)/(20000+Alt_rampe+pos_z)</f>
        <v>1.11393860383636</v>
      </c>
      <c r="W434" s="417" t="n">
        <f aca="false">1/2*Rho*Sref*Cx*vit_xz^2</f>
        <v>49.7789658158429</v>
      </c>
      <c r="X434" s="401"/>
      <c r="Y434" s="422" t="str">
        <f aca="false">IF(AND(pos_z&lt;=0,K433&gt;0),"Impact balistique","") &amp; IF(AND(H435&lt;0,vit_z&gt;=0),"Apogée","") &amp; IF(AND(Poussee=0,Q433&gt;0),"Fin de propulsion","") &amp; IF(AND(L435&gt;L_rampe,pos_xz&lt;=L_rampe),"Sortie de rampe","")</f>
        <v/>
      </c>
      <c r="Z434" s="423" t="str">
        <f aca="false">IF(ABS(t-T_para)&lt;pas/2,"Para","")</f>
        <v/>
      </c>
      <c r="AA434" s="424" t="str">
        <f aca="false">IF(ABS(t-T_satellite)&lt;pas/2,"Satellite","")</f>
        <v/>
      </c>
      <c r="AB434" s="412"/>
      <c r="AC434" s="420" t="n">
        <f aca="false">IF(ABS(t-ROUND(t,0))&lt;0.001,t,NA())</f>
        <v>6.99999999999995</v>
      </c>
      <c r="AD434" s="425" t="n">
        <f aca="false">IF(ABS(t-ROUND(t,0))&lt;0.001,pos_x,NA())</f>
        <v>231.328229013003</v>
      </c>
      <c r="AE434" s="426" t="n">
        <f aca="false">IF(t&lt;T_para, pos_z, NA())</f>
        <v>949.673462838862</v>
      </c>
      <c r="AF434" s="412"/>
      <c r="AG434" s="418" t="n">
        <f aca="false">IF(AND(L433&lt;L_rampe,Poussee&lt;Poids*SIN(M433)),0,(-W433+Poussee)/m-Poids*SIN(M433)/m)</f>
        <v>-16.3402359913709</v>
      </c>
      <c r="AH434" s="417" t="n">
        <f aca="false">IF(AND(L433&lt;L_rampe,Poussee&lt;Poids*SIN(M433)), g*SIN(M433), (-W433+Poussee)/m)</f>
        <v>-6.93913290317327</v>
      </c>
    </row>
    <row r="435" customFormat="false" ht="12" hidden="false" customHeight="false" outlineLevel="0" collapsed="false">
      <c r="A435" s="416" t="n">
        <f aca="false">IF(B434+0.01&lt;=T_ini+ROUNDUP(Temps_fin_propu,0), 0.01, IF(K434&gt;0, 0.1, 0.0001))</f>
        <v>0.1</v>
      </c>
      <c r="B435" s="417" t="n">
        <f aca="false">B434+pas</f>
        <v>7.09999999999995</v>
      </c>
      <c r="C435" s="401"/>
      <c r="D435" s="418" t="n">
        <f aca="false">IF(AND(L434&lt;L_rampe,Poussee&lt;Poids*SIN(M434)),0,(-W434+Poussee)/m*COS(M434)-U434/m*SIN(M434))</f>
        <v>-1.94264645055115</v>
      </c>
      <c r="E435" s="419" t="n">
        <f aca="false">IF(AND(L434&lt;L_rampe,Poussee&lt;Poids*SIN(M434)),0,(-W434+Poussee)/m*SIN(M434)+U434/m*COS(M434)-Poids/m)</f>
        <v>-16.2712229379518</v>
      </c>
      <c r="F435" s="417" t="n">
        <f aca="false">SQRT(acc_x^2+acc_z^2)</f>
        <v>16.3867803771323</v>
      </c>
      <c r="G435" s="418" t="n">
        <f aca="false">G434+acc_x*pas</f>
        <v>34.5162458913253</v>
      </c>
      <c r="H435" s="419" t="n">
        <f aca="false">H434+acc_z*pas</f>
        <v>113.819693467277</v>
      </c>
      <c r="I435" s="417" t="n">
        <f aca="false">SQRT(vit_x^2+vit_z^2)</f>
        <v>118.938193409079</v>
      </c>
      <c r="J435" s="418" t="n">
        <f aca="false">J434+0.5*(vit_x+G434)*pas*(K434&gt;=0)</f>
        <v>234.789566834388</v>
      </c>
      <c r="K435" s="419" t="n">
        <f aca="false">K434+0.5*(vit_z+H434)*pas</f>
        <v>961.13678830028</v>
      </c>
      <c r="L435" s="417" t="n">
        <f aca="false">SQRT(pos_x^2+pos_z^2)</f>
        <v>989.398840972869</v>
      </c>
      <c r="M435" s="418" t="n">
        <f aca="false">IF(AND(L434&gt;L_rampe,G435&gt;0),ATAN2(G435,H435),$M$4)</f>
        <v>1.27635714420502</v>
      </c>
      <c r="N435" s="417" t="n">
        <f aca="false">DEGREES(Beta)</f>
        <v>73.1298775143184</v>
      </c>
      <c r="O435" s="401"/>
      <c r="P435" s="420" t="n">
        <f aca="false">MATCH(t-pas/2-T_ini,CdP_t)</f>
        <v>23</v>
      </c>
      <c r="Q435" s="417" t="n">
        <f aca="false">(INDEX(CdP,2,i_P+1)-INDEX(CdP,2,i_P+0))/(INDEX(CdP,1,i_P+1)-INDEX(CdP,1,i_P+0))*(t-pas/2-T_ini-INDEX(CdP,1,i_P+0))+INDEX(CdP,2,i_P+0)</f>
        <v>0</v>
      </c>
      <c r="R435" s="418" t="n">
        <f aca="false">Poussee/(g*ISP)</f>
        <v>0</v>
      </c>
      <c r="S435" s="419" t="n">
        <f aca="false">S434-Débit*pas</f>
        <v>7.37799999999998</v>
      </c>
      <c r="T435" s="417" t="n">
        <f aca="false">m*g</f>
        <v>72.3781799999998</v>
      </c>
      <c r="U435" s="421" t="n">
        <f aca="false">IF(pos_xz&lt;L_rampe,Poids*COS(Beta),0)</f>
        <v>0</v>
      </c>
      <c r="V435" s="418" t="n">
        <f aca="false">Rho_moyen*(20000-Alt_rampe-pos_z)/(20000+Alt_rampe+pos_z)</f>
        <v>1.11265947404866</v>
      </c>
      <c r="W435" s="417" t="n">
        <f aca="false">1/2*Rho*Sref*Cx*vit_xz^2</f>
        <v>48.3994757503231</v>
      </c>
      <c r="X435" s="401"/>
      <c r="Y435" s="422" t="str">
        <f aca="false">IF(AND(pos_z&lt;=0,K434&gt;0),"Impact balistique","") &amp; IF(AND(H436&lt;0,vit_z&gt;=0),"Apogée","") &amp; IF(AND(Poussee=0,Q434&gt;0),"Fin de propulsion","") &amp; IF(AND(L436&gt;L_rampe,pos_xz&lt;=L_rampe),"Sortie de rampe","")</f>
        <v/>
      </c>
      <c r="Z435" s="423" t="str">
        <f aca="false">IF(ABS(t-T_para)&lt;pas/2,"Para","")</f>
        <v/>
      </c>
      <c r="AA435" s="424" t="str">
        <f aca="false">IF(ABS(t-T_satellite)&lt;pas/2,"Satellite","")</f>
        <v/>
      </c>
      <c r="AB435" s="412"/>
      <c r="AC435" s="420" t="e">
        <f aca="false">IF(ABS(t-ROUND(t,0))&lt;0.001,t,NA())</f>
        <v>#N/A</v>
      </c>
      <c r="AD435" s="425" t="e">
        <f aca="false">IF(ABS(t-ROUND(t,0))&lt;0.001,pos_x,NA())</f>
        <v>#N/A</v>
      </c>
      <c r="AE435" s="426" t="n">
        <f aca="false">IF(t&lt;T_para, pos_z, NA())</f>
        <v>961.13678830028</v>
      </c>
      <c r="AF435" s="412"/>
      <c r="AG435" s="418" t="n">
        <f aca="false">IF(AND(L434&lt;L_rampe,Poussee&lt;Poids*SIN(M434)),0,(-W434+Poussee)/m-Poids*SIN(M434)/m)</f>
        <v>-16.1415072810968</v>
      </c>
      <c r="AH435" s="417" t="n">
        <f aca="false">IF(AND(L434&lt;L_rampe,Poussee&lt;Poids*SIN(M434)), g*SIN(M434), (-W434+Poussee)/m)</f>
        <v>-6.74694575980523</v>
      </c>
    </row>
    <row r="436" customFormat="false" ht="12" hidden="false" customHeight="false" outlineLevel="0" collapsed="false">
      <c r="A436" s="416" t="n">
        <f aca="false">IF(B435+0.01&lt;=T_ini+ROUNDUP(Temps_fin_propu,0), 0.01, IF(K435&gt;0, 0.1, 0.0001))</f>
        <v>0.1</v>
      </c>
      <c r="B436" s="417" t="n">
        <f aca="false">B435+pas</f>
        <v>7.19999999999995</v>
      </c>
      <c r="C436" s="401"/>
      <c r="D436" s="418" t="n">
        <f aca="false">IF(AND(L435&lt;L_rampe,Poussee&lt;Poids*SIN(M435)),0,(-W435+Poussee)/m*COS(M435)-U435/m*SIN(M435))</f>
        <v>-1.90372504426749</v>
      </c>
      <c r="E436" s="419" t="n">
        <f aca="false">IF(AND(L435&lt;L_rampe,Poussee&lt;Poids*SIN(M435)),0,(-W435+Poussee)/m*SIN(M435)+U435/m*COS(M435)-Poids/m)</f>
        <v>-16.0876641951946</v>
      </c>
      <c r="F436" s="417" t="n">
        <f aca="false">SQRT(acc_x^2+acc_z^2)</f>
        <v>16.199910749801</v>
      </c>
      <c r="G436" s="418" t="n">
        <f aca="false">G435+acc_x*pas</f>
        <v>34.3258733868985</v>
      </c>
      <c r="H436" s="419" t="n">
        <f aca="false">H435+acc_z*pas</f>
        <v>112.210927047758</v>
      </c>
      <c r="I436" s="417" t="n">
        <f aca="false">SQRT(vit_x^2+vit_z^2)</f>
        <v>117.343758814394</v>
      </c>
      <c r="J436" s="418" t="n">
        <f aca="false">J435+0.5*(vit_x+G435)*pas*(K435&gt;=0)</f>
        <v>238.2316727983</v>
      </c>
      <c r="K436" s="419" t="n">
        <f aca="false">K435+0.5*(vit_z+H435)*pas</f>
        <v>972.438319326032</v>
      </c>
      <c r="L436" s="417" t="n">
        <f aca="false">SQRT(pos_x^2+pos_z^2)</f>
        <v>1001.19459388169</v>
      </c>
      <c r="M436" s="418" t="n">
        <f aca="false">IF(AND(L435&gt;L_rampe,G436&gt;0),ATAN2(G436,H436),$M$4)</f>
        <v>1.27393102768855</v>
      </c>
      <c r="N436" s="417" t="n">
        <f aca="false">DEGREES(Beta)</f>
        <v>72.9908712773178</v>
      </c>
      <c r="O436" s="401"/>
      <c r="P436" s="420" t="n">
        <f aca="false">MATCH(t-pas/2-T_ini,CdP_t)</f>
        <v>23</v>
      </c>
      <c r="Q436" s="417" t="n">
        <f aca="false">(INDEX(CdP,2,i_P+1)-INDEX(CdP,2,i_P+0))/(INDEX(CdP,1,i_P+1)-INDEX(CdP,1,i_P+0))*(t-pas/2-T_ini-INDEX(CdP,1,i_P+0))+INDEX(CdP,2,i_P+0)</f>
        <v>0</v>
      </c>
      <c r="R436" s="418" t="n">
        <f aca="false">Poussee/(g*ISP)</f>
        <v>0</v>
      </c>
      <c r="S436" s="419" t="n">
        <f aca="false">S435-Débit*pas</f>
        <v>7.37799999999998</v>
      </c>
      <c r="T436" s="417" t="n">
        <f aca="false">m*g</f>
        <v>72.3781799999998</v>
      </c>
      <c r="U436" s="421" t="n">
        <f aca="false">IF(pos_xz&lt;L_rampe,Poids*COS(Beta),0)</f>
        <v>0</v>
      </c>
      <c r="V436" s="418" t="n">
        <f aca="false">Rho_moyen*(20000-Alt_rampe-pos_z)/(20000+Alt_rampe+pos_z)</f>
        <v>1.11139976687149</v>
      </c>
      <c r="W436" s="417" t="n">
        <f aca="false">1/2*Rho*Sref*Cx*vit_xz^2</f>
        <v>47.0571916140659</v>
      </c>
      <c r="X436" s="401"/>
      <c r="Y436" s="422" t="str">
        <f aca="false">IF(AND(pos_z&lt;=0,K435&gt;0),"Impact balistique","") &amp; IF(AND(H437&lt;0,vit_z&gt;=0),"Apogée","") &amp; IF(AND(Poussee=0,Q435&gt;0),"Fin de propulsion","") &amp; IF(AND(L437&gt;L_rampe,pos_xz&lt;=L_rampe),"Sortie de rampe","")</f>
        <v/>
      </c>
      <c r="Z436" s="423" t="str">
        <f aca="false">IF(ABS(t-T_para)&lt;pas/2,"Para","")</f>
        <v/>
      </c>
      <c r="AA436" s="424" t="str">
        <f aca="false">IF(ABS(t-T_satellite)&lt;pas/2,"Satellite","")</f>
        <v/>
      </c>
      <c r="AB436" s="412"/>
      <c r="AC436" s="420" t="e">
        <f aca="false">IF(ABS(t-ROUND(t,0))&lt;0.001,t,NA())</f>
        <v>#N/A</v>
      </c>
      <c r="AD436" s="425" t="e">
        <f aca="false">IF(ABS(t-ROUND(t,0))&lt;0.001,pos_x,NA())</f>
        <v>#N/A</v>
      </c>
      <c r="AE436" s="426" t="n">
        <f aca="false">IF(t&lt;T_para, pos_z, NA())</f>
        <v>972.438319326032</v>
      </c>
      <c r="AF436" s="412"/>
      <c r="AG436" s="418" t="n">
        <f aca="false">IF(AND(L435&lt;L_rampe,Poussee&lt;Poids*SIN(M435)),0,(-W435+Poussee)/m-Poids*SIN(M435)/m)</f>
        <v>-15.9477993962381</v>
      </c>
      <c r="AH436" s="417" t="n">
        <f aca="false">IF(AND(L435&lt;L_rampe,Poussee&lt;Poids*SIN(M435)), g*SIN(M435), (-W435+Poussee)/m)</f>
        <v>-6.5599723163897</v>
      </c>
    </row>
    <row r="437" customFormat="false" ht="12" hidden="false" customHeight="false" outlineLevel="0" collapsed="false">
      <c r="A437" s="416" t="n">
        <f aca="false">IF(B436+0.01&lt;=T_ini+ROUNDUP(Temps_fin_propu,0), 0.01, IF(K436&gt;0, 0.1, 0.0001))</f>
        <v>0.1</v>
      </c>
      <c r="B437" s="417" t="n">
        <f aca="false">B436+pas</f>
        <v>7.29999999999995</v>
      </c>
      <c r="C437" s="401"/>
      <c r="D437" s="418" t="n">
        <f aca="false">IF(AND(L436&lt;L_rampe,Poussee&lt;Poids*SIN(M436)),0,(-W436+Poussee)/m*COS(M436)-U436/m*SIN(M436))</f>
        <v>-1.86573068595022</v>
      </c>
      <c r="E437" s="419" t="n">
        <f aca="false">IF(AND(L436&lt;L_rampe,Poussee&lt;Poids*SIN(M436)),0,(-W436+Poussee)/m*SIN(M436)+U436/m*COS(M436)-Poids/m)</f>
        <v>-15.9090544226569</v>
      </c>
      <c r="F437" s="417" t="n">
        <f aca="false">SQRT(acc_x^2+acc_z^2)</f>
        <v>16.0180823950795</v>
      </c>
      <c r="G437" s="418" t="n">
        <f aca="false">G436+acc_x*pas</f>
        <v>34.1393003183035</v>
      </c>
      <c r="H437" s="419" t="n">
        <f aca="false">H436+acc_z*pas</f>
        <v>110.620021605492</v>
      </c>
      <c r="I437" s="417" t="n">
        <f aca="false">SQRT(vit_x^2+vit_z^2)</f>
        <v>115.768221054929</v>
      </c>
      <c r="J437" s="418" t="n">
        <f aca="false">J436+0.5*(vit_x+G436)*pas*(K436&gt;=0)</f>
        <v>241.65493148356</v>
      </c>
      <c r="K437" s="419" t="n">
        <f aca="false">K436+0.5*(vit_z+H436)*pas</f>
        <v>983.579866758694</v>
      </c>
      <c r="L437" s="417" t="n">
        <f aca="false">SQRT(pos_x^2+pos_z^2)</f>
        <v>1012.8309139256</v>
      </c>
      <c r="M437" s="418" t="n">
        <f aca="false">IF(AND(L436&gt;L_rampe,G437&gt;0),ATAN2(G437,H437),$M$4)</f>
        <v>1.27145222651588</v>
      </c>
      <c r="N437" s="417" t="n">
        <f aca="false">DEGREES(Beta)</f>
        <v>72.8488464318714</v>
      </c>
      <c r="O437" s="401"/>
      <c r="P437" s="420" t="n">
        <f aca="false">MATCH(t-pas/2-T_ini,CdP_t)</f>
        <v>23</v>
      </c>
      <c r="Q437" s="417" t="n">
        <f aca="false">(INDEX(CdP,2,i_P+1)-INDEX(CdP,2,i_P+0))/(INDEX(CdP,1,i_P+1)-INDEX(CdP,1,i_P+0))*(t-pas/2-T_ini-INDEX(CdP,1,i_P+0))+INDEX(CdP,2,i_P+0)</f>
        <v>0</v>
      </c>
      <c r="R437" s="418" t="n">
        <f aca="false">Poussee/(g*ISP)</f>
        <v>0</v>
      </c>
      <c r="S437" s="419" t="n">
        <f aca="false">S436-Débit*pas</f>
        <v>7.37799999999998</v>
      </c>
      <c r="T437" s="417" t="n">
        <f aca="false">m*g</f>
        <v>72.3781799999998</v>
      </c>
      <c r="U437" s="421" t="n">
        <f aca="false">IF(pos_xz&lt;L_rampe,Poids*COS(Beta),0)</f>
        <v>0</v>
      </c>
      <c r="V437" s="418" t="n">
        <f aca="false">Rho_moyen*(20000-Alt_rampe-pos_z)/(20000+Alt_rampe+pos_z)</f>
        <v>1.11015922026364</v>
      </c>
      <c r="W437" s="417" t="n">
        <f aca="false">1/2*Rho*Sref*Cx*vit_xz^2</f>
        <v>45.750906337985</v>
      </c>
      <c r="X437" s="401"/>
      <c r="Y437" s="422" t="str">
        <f aca="false">IF(AND(pos_z&lt;=0,K436&gt;0),"Impact balistique","") &amp; IF(AND(H438&lt;0,vit_z&gt;=0),"Apogée","") &amp; IF(AND(Poussee=0,Q436&gt;0),"Fin de propulsion","") &amp; IF(AND(L438&gt;L_rampe,pos_xz&lt;=L_rampe),"Sortie de rampe","")</f>
        <v/>
      </c>
      <c r="Z437" s="423" t="str">
        <f aca="false">IF(ABS(t-T_para)&lt;pas/2,"Para","")</f>
        <v/>
      </c>
      <c r="AA437" s="424" t="str">
        <f aca="false">IF(ABS(t-T_satellite)&lt;pas/2,"Satellite","")</f>
        <v/>
      </c>
      <c r="AB437" s="412"/>
      <c r="AC437" s="420" t="e">
        <f aca="false">IF(ABS(t-ROUND(t,0))&lt;0.001,t,NA())</f>
        <v>#N/A</v>
      </c>
      <c r="AD437" s="425" t="e">
        <f aca="false">IF(ABS(t-ROUND(t,0))&lt;0.001,pos_x,NA())</f>
        <v>#N/A</v>
      </c>
      <c r="AE437" s="426" t="n">
        <f aca="false">IF(t&lt;T_para, pos_z, NA())</f>
        <v>983.579866758694</v>
      </c>
      <c r="AF437" s="412"/>
      <c r="AG437" s="418" t="n">
        <f aca="false">IF(AND(L436&lt;L_rampe,Poussee&lt;Poids*SIN(M436)),0,(-W436+Poussee)/m-Poids*SIN(M436)/m)</f>
        <v>-15.7589342560987</v>
      </c>
      <c r="AH437" s="417" t="n">
        <f aca="false">IF(AND(L436&lt;L_rampe,Poussee&lt;Poids*SIN(M436)), g*SIN(M436), (-W436+Poussee)/m)</f>
        <v>-6.37804169342179</v>
      </c>
    </row>
    <row r="438" customFormat="false" ht="12" hidden="false" customHeight="false" outlineLevel="0" collapsed="false">
      <c r="A438" s="416" t="n">
        <f aca="false">IF(B437+0.01&lt;=T_ini+ROUNDUP(Temps_fin_propu,0), 0.01, IF(K437&gt;0, 0.1, 0.0001))</f>
        <v>0.1</v>
      </c>
      <c r="B438" s="417" t="n">
        <f aca="false">B437+pas</f>
        <v>7.39999999999995</v>
      </c>
      <c r="C438" s="401"/>
      <c r="D438" s="418" t="n">
        <f aca="false">IF(AND(L437&lt;L_rampe,Poussee&lt;Poids*SIN(M437)),0,(-W437+Poussee)/m*COS(M437)-U437/m*SIN(M437))</f>
        <v>-1.82863196611306</v>
      </c>
      <c r="E438" s="419" t="n">
        <f aca="false">IF(AND(L437&lt;L_rampe,Poussee&lt;Poids*SIN(M437)),0,(-W437+Poussee)/m*SIN(M437)+U437/m*COS(M437)-Poids/m)</f>
        <v>-15.7352329635903</v>
      </c>
      <c r="F438" s="417" t="n">
        <f aca="false">SQRT(acc_x^2+acc_z^2)</f>
        <v>15.8411316289572</v>
      </c>
      <c r="G438" s="418" t="n">
        <f aca="false">G437+acc_x*pas</f>
        <v>33.9564371216922</v>
      </c>
      <c r="H438" s="419" t="n">
        <f aca="false">H437+acc_z*pas</f>
        <v>109.046498309133</v>
      </c>
      <c r="I438" s="417" t="n">
        <f aca="false">SQRT(vit_x^2+vit_z^2)</f>
        <v>114.211113362418</v>
      </c>
      <c r="J438" s="418" t="n">
        <f aca="false">J437+0.5*(vit_x+G437)*pas*(K437&gt;=0)</f>
        <v>245.05971835556</v>
      </c>
      <c r="K438" s="419" t="n">
        <f aca="false">K437+0.5*(vit_z+H437)*pas</f>
        <v>994.563192754425</v>
      </c>
      <c r="L438" s="417" t="n">
        <f aca="false">SQRT(pos_x^2+pos_z^2)</f>
        <v>1024.30962601275</v>
      </c>
      <c r="M438" s="418" t="n">
        <f aca="false">IF(AND(L437&gt;L_rampe,G438&gt;0),ATAN2(G438,H438),$M$4)</f>
        <v>1.268919277998</v>
      </c>
      <c r="N438" s="417" t="n">
        <f aca="false">DEGREES(Beta)</f>
        <v>72.703719172073</v>
      </c>
      <c r="O438" s="401"/>
      <c r="P438" s="420" t="n">
        <f aca="false">MATCH(t-pas/2-T_ini,CdP_t)</f>
        <v>23</v>
      </c>
      <c r="Q438" s="417" t="n">
        <f aca="false">(INDEX(CdP,2,i_P+1)-INDEX(CdP,2,i_P+0))/(INDEX(CdP,1,i_P+1)-INDEX(CdP,1,i_P+0))*(t-pas/2-T_ini-INDEX(CdP,1,i_P+0))+INDEX(CdP,2,i_P+0)</f>
        <v>0</v>
      </c>
      <c r="R438" s="418" t="n">
        <f aca="false">Poussee/(g*ISP)</f>
        <v>0</v>
      </c>
      <c r="S438" s="419" t="n">
        <f aca="false">S437-Débit*pas</f>
        <v>7.37799999999998</v>
      </c>
      <c r="T438" s="417" t="n">
        <f aca="false">m*g</f>
        <v>72.3781799999998</v>
      </c>
      <c r="U438" s="421" t="n">
        <f aca="false">IF(pos_xz&lt;L_rampe,Poids*COS(Beta),0)</f>
        <v>0</v>
      </c>
      <c r="V438" s="418" t="n">
        <f aca="false">Rho_moyen*(20000-Alt_rampe-pos_z)/(20000+Alt_rampe+pos_z)</f>
        <v>1.10893757946394</v>
      </c>
      <c r="W438" s="417" t="n">
        <f aca="false">1/2*Rho*Sref*Cx*vit_xz^2</f>
        <v>44.4794638361399</v>
      </c>
      <c r="X438" s="401"/>
      <c r="Y438" s="422" t="str">
        <f aca="false">IF(AND(pos_z&lt;=0,K437&gt;0),"Impact balistique","") &amp; IF(AND(H439&lt;0,vit_z&gt;=0),"Apogée","") &amp; IF(AND(Poussee=0,Q437&gt;0),"Fin de propulsion","") &amp; IF(AND(L439&gt;L_rampe,pos_xz&lt;=L_rampe),"Sortie de rampe","")</f>
        <v/>
      </c>
      <c r="Z438" s="423" t="str">
        <f aca="false">IF(ABS(t-T_para)&lt;pas/2,"Para","")</f>
        <v/>
      </c>
      <c r="AA438" s="424" t="str">
        <f aca="false">IF(ABS(t-T_satellite)&lt;pas/2,"Satellite","")</f>
        <v/>
      </c>
      <c r="AB438" s="412"/>
      <c r="AC438" s="420" t="e">
        <f aca="false">IF(ABS(t-ROUND(t,0))&lt;0.001,t,NA())</f>
        <v>#N/A</v>
      </c>
      <c r="AD438" s="425" t="e">
        <f aca="false">IF(ABS(t-ROUND(t,0))&lt;0.001,pos_x,NA())</f>
        <v>#N/A</v>
      </c>
      <c r="AE438" s="426" t="n">
        <f aca="false">IF(t&lt;T_para, pos_z, NA())</f>
        <v>994.563192754425</v>
      </c>
      <c r="AF438" s="412"/>
      <c r="AG438" s="418" t="n">
        <f aca="false">IF(AND(L437&lt;L_rampe,Poussee&lt;Poids*SIN(M437)),0,(-W437+Poussee)/m-Poids*SIN(M437)/m)</f>
        <v>-15.5747407175505</v>
      </c>
      <c r="AH438" s="417" t="n">
        <f aca="false">IF(AND(L437&lt;L_rampe,Poussee&lt;Poids*SIN(M437)), g*SIN(M437), (-W437+Poussee)/m)</f>
        <v>-6.20099028706765</v>
      </c>
    </row>
    <row r="439" customFormat="false" ht="12" hidden="false" customHeight="false" outlineLevel="0" collapsed="false">
      <c r="A439" s="416" t="n">
        <f aca="false">IF(B438+0.01&lt;=T_ini+ROUNDUP(Temps_fin_propu,0), 0.01, IF(K438&gt;0, 0.1, 0.0001))</f>
        <v>0.1</v>
      </c>
      <c r="B439" s="417" t="n">
        <f aca="false">B438+pas</f>
        <v>7.49999999999995</v>
      </c>
      <c r="C439" s="401"/>
      <c r="D439" s="418" t="n">
        <f aca="false">IF(AND(L438&lt;L_rampe,Poussee&lt;Poids*SIN(M438)),0,(-W438+Poussee)/m*COS(M438)-U438/m*SIN(M438))</f>
        <v>-1.79239879425274</v>
      </c>
      <c r="E439" s="419" t="n">
        <f aca="false">IF(AND(L438&lt;L_rampe,Poussee&lt;Poids*SIN(M438)),0,(-W438+Poussee)/m*SIN(M438)+U438/m*COS(M438)-Poids/m)</f>
        <v>-15.5660459416371</v>
      </c>
      <c r="F439" s="417" t="n">
        <f aca="false">SQRT(acc_x^2+acc_z^2)</f>
        <v>15.6689016748079</v>
      </c>
      <c r="G439" s="418" t="n">
        <f aca="false">G438+acc_x*pas</f>
        <v>33.7771972422669</v>
      </c>
      <c r="H439" s="419" t="n">
        <f aca="false">H438+acc_z*pas</f>
        <v>107.489893714969</v>
      </c>
      <c r="I439" s="417" t="n">
        <f aca="false">SQRT(vit_x^2+vit_z^2)</f>
        <v>112.671985446243</v>
      </c>
      <c r="J439" s="418" t="n">
        <f aca="false">J438+0.5*(vit_x+G438)*pas*(K438&gt;=0)</f>
        <v>248.446400073758</v>
      </c>
      <c r="K439" s="419" t="n">
        <f aca="false">K438+0.5*(vit_z+H438)*pas</f>
        <v>1005.39001235563</v>
      </c>
      <c r="L439" s="417" t="n">
        <f aca="false">SQRT(pos_x^2+pos_z^2)</f>
        <v>1035.63250753057</v>
      </c>
      <c r="M439" s="418" t="n">
        <f aca="false">IF(AND(L438&gt;L_rampe,G439&gt;0),ATAN2(G439,H439),$M$4)</f>
        <v>1.26633066399846</v>
      </c>
      <c r="N439" s="417" t="n">
        <f aca="false">DEGREES(Beta)</f>
        <v>72.5554025151111</v>
      </c>
      <c r="O439" s="401"/>
      <c r="P439" s="420" t="n">
        <f aca="false">MATCH(t-pas/2-T_ini,CdP_t)</f>
        <v>23</v>
      </c>
      <c r="Q439" s="417" t="n">
        <f aca="false">(INDEX(CdP,2,i_P+1)-INDEX(CdP,2,i_P+0))/(INDEX(CdP,1,i_P+1)-INDEX(CdP,1,i_P+0))*(t-pas/2-T_ini-INDEX(CdP,1,i_P+0))+INDEX(CdP,2,i_P+0)</f>
        <v>0</v>
      </c>
      <c r="R439" s="418" t="n">
        <f aca="false">Poussee/(g*ISP)</f>
        <v>0</v>
      </c>
      <c r="S439" s="419" t="n">
        <f aca="false">S438-Débit*pas</f>
        <v>7.37799999999998</v>
      </c>
      <c r="T439" s="417" t="n">
        <f aca="false">m*g</f>
        <v>72.3781799999998</v>
      </c>
      <c r="U439" s="421" t="n">
        <f aca="false">IF(pos_xz&lt;L_rampe,Poids*COS(Beta),0)</f>
        <v>0</v>
      </c>
      <c r="V439" s="418" t="n">
        <f aca="false">Rho_moyen*(20000-Alt_rampe-pos_z)/(20000+Alt_rampe+pos_z)</f>
        <v>1.10773459674767</v>
      </c>
      <c r="W439" s="417" t="n">
        <f aca="false">1/2*Rho*Sref*Cx*vit_xz^2</f>
        <v>43.2417564671586</v>
      </c>
      <c r="X439" s="401"/>
      <c r="Y439" s="422" t="str">
        <f aca="false">IF(AND(pos_z&lt;=0,K438&gt;0),"Impact balistique","") &amp; IF(AND(H440&lt;0,vit_z&gt;=0),"Apogée","") &amp; IF(AND(Poussee=0,Q438&gt;0),"Fin de propulsion","") &amp; IF(AND(L440&gt;L_rampe,pos_xz&lt;=L_rampe),"Sortie de rampe","")</f>
        <v/>
      </c>
      <c r="Z439" s="423" t="str">
        <f aca="false">IF(ABS(t-T_para)&lt;pas/2,"Para","")</f>
        <v/>
      </c>
      <c r="AA439" s="424" t="str">
        <f aca="false">IF(ABS(t-T_satellite)&lt;pas/2,"Satellite","")</f>
        <v/>
      </c>
      <c r="AB439" s="412"/>
      <c r="AC439" s="420" t="e">
        <f aca="false">IF(ABS(t-ROUND(t,0))&lt;0.001,t,NA())</f>
        <v>#N/A</v>
      </c>
      <c r="AD439" s="425" t="e">
        <f aca="false">IF(ABS(t-ROUND(t,0))&lt;0.001,pos_x,NA())</f>
        <v>#N/A</v>
      </c>
      <c r="AE439" s="426" t="n">
        <f aca="false">IF(t&lt;T_para, pos_z, NA())</f>
        <v>1005.39001235563</v>
      </c>
      <c r="AF439" s="412"/>
      <c r="AG439" s="418" t="n">
        <f aca="false">IF(AND(L438&lt;L_rampe,Poussee&lt;Poids*SIN(M438)),0,(-W438+Poussee)/m-Poids*SIN(M438)/m)</f>
        <v>-15.395054190823</v>
      </c>
      <c r="AH439" s="417" t="n">
        <f aca="false">IF(AND(L438&lt;L_rampe,Poussee&lt;Poids*SIN(M438)), g*SIN(M438), (-W438+Poussee)/m)</f>
        <v>-6.0286614036514</v>
      </c>
    </row>
    <row r="440" customFormat="false" ht="12" hidden="false" customHeight="false" outlineLevel="0" collapsed="false">
      <c r="A440" s="416" t="n">
        <f aca="false">IF(B439+0.01&lt;=T_ini+ROUNDUP(Temps_fin_propu,0), 0.01, IF(K439&gt;0, 0.1, 0.0001))</f>
        <v>0.1</v>
      </c>
      <c r="B440" s="417" t="n">
        <f aca="false">B439+pas</f>
        <v>7.59999999999995</v>
      </c>
      <c r="C440" s="401"/>
      <c r="D440" s="418" t="n">
        <f aca="false">IF(AND(L439&lt;L_rampe,Poussee&lt;Poids*SIN(M439)),0,(-W439+Poussee)/m*COS(M439)-U439/m*SIN(M439))</f>
        <v>-1.75700233352338</v>
      </c>
      <c r="E440" s="419" t="n">
        <f aca="false">IF(AND(L439&lt;L_rampe,Poussee&lt;Poids*SIN(M439)),0,(-W439+Poussee)/m*SIN(M439)+U439/m*COS(M439)-Poids/m)</f>
        <v>-15.4013459228953</v>
      </c>
      <c r="F440" s="417" t="n">
        <f aca="false">SQRT(acc_x^2+acc_z^2)</f>
        <v>15.5012423191398</v>
      </c>
      <c r="G440" s="418" t="n">
        <f aca="false">G439+acc_x*pas</f>
        <v>33.6014970089146</v>
      </c>
      <c r="H440" s="419" t="n">
        <f aca="false">H439+acc_z*pas</f>
        <v>105.94975912268</v>
      </c>
      <c r="I440" s="417" t="n">
        <f aca="false">SQRT(vit_x^2+vit_z^2)</f>
        <v>111.150402875536</v>
      </c>
      <c r="J440" s="418" t="n">
        <f aca="false">J439+0.5*(vit_x+G439)*pas*(K439&gt;=0)</f>
        <v>251.815334786317</v>
      </c>
      <c r="K440" s="419" t="n">
        <f aca="false">K439+0.5*(vit_z+H439)*pas</f>
        <v>1016.06199499751</v>
      </c>
      <c r="L440" s="417" t="n">
        <f aca="false">SQRT(pos_x^2+pos_z^2)</f>
        <v>1046.80128988833</v>
      </c>
      <c r="M440" s="418" t="n">
        <f aca="false">IF(AND(L439&gt;L_rampe,G440&gt;0),ATAN2(G440,H440),$M$4)</f>
        <v>1.2636848084163</v>
      </c>
      <c r="N440" s="417" t="n">
        <f aca="false">DEGREES(Beta)</f>
        <v>72.4038061570521</v>
      </c>
      <c r="O440" s="401"/>
      <c r="P440" s="420" t="n">
        <f aca="false">MATCH(t-pas/2-T_ini,CdP_t)</f>
        <v>23</v>
      </c>
      <c r="Q440" s="417" t="n">
        <f aca="false">(INDEX(CdP,2,i_P+1)-INDEX(CdP,2,i_P+0))/(INDEX(CdP,1,i_P+1)-INDEX(CdP,1,i_P+0))*(t-pas/2-T_ini-INDEX(CdP,1,i_P+0))+INDEX(CdP,2,i_P+0)</f>
        <v>0</v>
      </c>
      <c r="R440" s="418" t="n">
        <f aca="false">Poussee/(g*ISP)</f>
        <v>0</v>
      </c>
      <c r="S440" s="419" t="n">
        <f aca="false">S439-Débit*pas</f>
        <v>7.37799999999998</v>
      </c>
      <c r="T440" s="417" t="n">
        <f aca="false">m*g</f>
        <v>72.3781799999998</v>
      </c>
      <c r="U440" s="421" t="n">
        <f aca="false">IF(pos_xz&lt;L_rampe,Poids*COS(Beta),0)</f>
        <v>0</v>
      </c>
      <c r="V440" s="418" t="n">
        <f aca="false">Rho_moyen*(20000-Alt_rampe-pos_z)/(20000+Alt_rampe+pos_z)</f>
        <v>1.10655003119345</v>
      </c>
      <c r="W440" s="417" t="n">
        <f aca="false">1/2*Rho*Sref*Cx*vit_xz^2</f>
        <v>42.0367226433127</v>
      </c>
      <c r="X440" s="401"/>
      <c r="Y440" s="422" t="str">
        <f aca="false">IF(AND(pos_z&lt;=0,K439&gt;0),"Impact balistique","") &amp; IF(AND(H441&lt;0,vit_z&gt;=0),"Apogée","") &amp; IF(AND(Poussee=0,Q439&gt;0),"Fin de propulsion","") &amp; IF(AND(L441&gt;L_rampe,pos_xz&lt;=L_rampe),"Sortie de rampe","")</f>
        <v/>
      </c>
      <c r="Z440" s="423" t="str">
        <f aca="false">IF(ABS(t-T_para)&lt;pas/2,"Para","")</f>
        <v/>
      </c>
      <c r="AA440" s="424" t="str">
        <f aca="false">IF(ABS(t-T_satellite)&lt;pas/2,"Satellite","")</f>
        <v/>
      </c>
      <c r="AB440" s="412"/>
      <c r="AC440" s="420" t="e">
        <f aca="false">IF(ABS(t-ROUND(t,0))&lt;0.001,t,NA())</f>
        <v>#N/A</v>
      </c>
      <c r="AD440" s="425" t="e">
        <f aca="false">IF(ABS(t-ROUND(t,0))&lt;0.001,pos_x,NA())</f>
        <v>#N/A</v>
      </c>
      <c r="AE440" s="426" t="n">
        <f aca="false">IF(t&lt;T_para, pos_z, NA())</f>
        <v>1016.06199499751</v>
      </c>
      <c r="AF440" s="412"/>
      <c r="AG440" s="418" t="n">
        <f aca="false">IF(AND(L439&lt;L_rampe,Poussee&lt;Poids*SIN(M439)),0,(-W439+Poussee)/m-Poids*SIN(M439)/m)</f>
        <v>-15.219716275544</v>
      </c>
      <c r="AH440" s="417" t="n">
        <f aca="false">IF(AND(L439&lt;L_rampe,Poussee&lt;Poids*SIN(M439)), g*SIN(M439), (-W439+Poussee)/m)</f>
        <v>-5.86090491558128</v>
      </c>
    </row>
    <row r="441" customFormat="false" ht="12" hidden="false" customHeight="false" outlineLevel="0" collapsed="false">
      <c r="A441" s="416" t="n">
        <f aca="false">IF(B440+0.01&lt;=T_ini+ROUNDUP(Temps_fin_propu,0), 0.01, IF(K440&gt;0, 0.1, 0.0001))</f>
        <v>0.1</v>
      </c>
      <c r="B441" s="417" t="n">
        <f aca="false">B440+pas</f>
        <v>7.69999999999995</v>
      </c>
      <c r="C441" s="401"/>
      <c r="D441" s="418" t="n">
        <f aca="false">IF(AND(L440&lt;L_rampe,Poussee&lt;Poids*SIN(M440)),0,(-W440+Poussee)/m*COS(M440)-U440/m*SIN(M440))</f>
        <v>-1.72241493924886</v>
      </c>
      <c r="E441" s="419" t="n">
        <f aca="false">IF(AND(L440&lt;L_rampe,Poussee&lt;Poids*SIN(M440)),0,(-W440+Poussee)/m*SIN(M440)+U440/m*COS(M440)-Poids/m)</f>
        <v>-15.2409915976156</v>
      </c>
      <c r="F441" s="417" t="n">
        <f aca="false">SQRT(acc_x^2+acc_z^2)</f>
        <v>15.3380095873466</v>
      </c>
      <c r="G441" s="418" t="n">
        <f aca="false">G440+acc_x*pas</f>
        <v>33.4292555149897</v>
      </c>
      <c r="H441" s="419" t="n">
        <f aca="false">H440+acc_z*pas</f>
        <v>104.425659962918</v>
      </c>
      <c r="I441" s="417" t="n">
        <f aca="false">SQRT(vit_x^2+vit_z^2)</f>
        <v>109.64594649588</v>
      </c>
      <c r="J441" s="418" t="n">
        <f aca="false">J440+0.5*(vit_x+G440)*pas*(K440&gt;=0)</f>
        <v>255.166872412512</v>
      </c>
      <c r="K441" s="419" t="n">
        <f aca="false">K440+0.5*(vit_z+H440)*pas</f>
        <v>1026.58076595179</v>
      </c>
      <c r="L441" s="417" t="n">
        <f aca="false">SQRT(pos_x^2+pos_z^2)</f>
        <v>1057.81765999578</v>
      </c>
      <c r="M441" s="418" t="n">
        <f aca="false">IF(AND(L440&gt;L_rampe,G441&gt;0),ATAN2(G441,H441),$M$4)</f>
        <v>1.26098007453515</v>
      </c>
      <c r="N441" s="417" t="n">
        <f aca="false">DEGREES(Beta)</f>
        <v>72.2488363209558</v>
      </c>
      <c r="O441" s="401"/>
      <c r="P441" s="420" t="n">
        <f aca="false">MATCH(t-pas/2-T_ini,CdP_t)</f>
        <v>23</v>
      </c>
      <c r="Q441" s="417" t="n">
        <f aca="false">(INDEX(CdP,2,i_P+1)-INDEX(CdP,2,i_P+0))/(INDEX(CdP,1,i_P+1)-INDEX(CdP,1,i_P+0))*(t-pas/2-T_ini-INDEX(CdP,1,i_P+0))+INDEX(CdP,2,i_P+0)</f>
        <v>0</v>
      </c>
      <c r="R441" s="418" t="n">
        <f aca="false">Poussee/(g*ISP)</f>
        <v>0</v>
      </c>
      <c r="S441" s="419" t="n">
        <f aca="false">S440-Débit*pas</f>
        <v>7.37799999999998</v>
      </c>
      <c r="T441" s="417" t="n">
        <f aca="false">m*g</f>
        <v>72.3781799999998</v>
      </c>
      <c r="U441" s="421" t="n">
        <f aca="false">IF(pos_xz&lt;L_rampe,Poids*COS(Beta),0)</f>
        <v>0</v>
      </c>
      <c r="V441" s="418" t="n">
        <f aca="false">Rho_moyen*(20000-Alt_rampe-pos_z)/(20000+Alt_rampe+pos_z)</f>
        <v>1.10538364846011</v>
      </c>
      <c r="W441" s="417" t="n">
        <f aca="false">1/2*Rho*Sref*Cx*vit_xz^2</f>
        <v>40.8633445774996</v>
      </c>
      <c r="X441" s="401"/>
      <c r="Y441" s="422" t="str">
        <f aca="false">IF(AND(pos_z&lt;=0,K440&gt;0),"Impact balistique","") &amp; IF(AND(H442&lt;0,vit_z&gt;=0),"Apogée","") &amp; IF(AND(Poussee=0,Q440&gt;0),"Fin de propulsion","") &amp; IF(AND(L442&gt;L_rampe,pos_xz&lt;=L_rampe),"Sortie de rampe","")</f>
        <v/>
      </c>
      <c r="Z441" s="423" t="str">
        <f aca="false">IF(ABS(t-T_para)&lt;pas/2,"Para","")</f>
        <v/>
      </c>
      <c r="AA441" s="424" t="str">
        <f aca="false">IF(ABS(t-T_satellite)&lt;pas/2,"Satellite","")</f>
        <v/>
      </c>
      <c r="AB441" s="412"/>
      <c r="AC441" s="420" t="e">
        <f aca="false">IF(ABS(t-ROUND(t,0))&lt;0.001,t,NA())</f>
        <v>#N/A</v>
      </c>
      <c r="AD441" s="425" t="e">
        <f aca="false">IF(ABS(t-ROUND(t,0))&lt;0.001,pos_x,NA())</f>
        <v>#N/A</v>
      </c>
      <c r="AE441" s="426" t="n">
        <f aca="false">IF(t&lt;T_para, pos_z, NA())</f>
        <v>1026.58076595179</v>
      </c>
      <c r="AF441" s="412"/>
      <c r="AG441" s="418" t="n">
        <f aca="false">IF(AND(L440&lt;L_rampe,Poussee&lt;Poids*SIN(M440)),0,(-W440+Poussee)/m-Poids*SIN(M440)/m)</f>
        <v>-15.0485744155192</v>
      </c>
      <c r="AH441" s="417" t="n">
        <f aca="false">IF(AND(L440&lt;L_rampe,Poussee&lt;Poids*SIN(M440)), g*SIN(M440), (-W440+Poussee)/m)</f>
        <v>-5.69757693728826</v>
      </c>
    </row>
    <row r="442" customFormat="false" ht="12" hidden="false" customHeight="false" outlineLevel="0" collapsed="false">
      <c r="A442" s="416" t="n">
        <f aca="false">IF(B441+0.01&lt;=T_ini+ROUNDUP(Temps_fin_propu,0), 0.01, IF(K441&gt;0, 0.1, 0.0001))</f>
        <v>0.1</v>
      </c>
      <c r="B442" s="417" t="n">
        <f aca="false">B441+pas</f>
        <v>7.79999999999995</v>
      </c>
      <c r="C442" s="401"/>
      <c r="D442" s="418" t="n">
        <f aca="false">IF(AND(L441&lt;L_rampe,Poussee&lt;Poids*SIN(M441)),0,(-W441+Poussee)/m*COS(M441)-U441/m*SIN(M441))</f>
        <v>-1.68861010102275</v>
      </c>
      <c r="E442" s="419" t="n">
        <f aca="false">IF(AND(L441&lt;L_rampe,Poussee&lt;Poids*SIN(M441)),0,(-W441+Poussee)/m*SIN(M441)+U441/m*COS(M441)-Poids/m)</f>
        <v>-15.0848474802343</v>
      </c>
      <c r="F442" s="417" t="n">
        <f aca="false">SQRT(acc_x^2+acc_z^2)</f>
        <v>15.1790654381357</v>
      </c>
      <c r="G442" s="418" t="n">
        <f aca="false">G441+acc_x*pas</f>
        <v>33.2603945048874</v>
      </c>
      <c r="H442" s="419" t="n">
        <f aca="false">H441+acc_z*pas</f>
        <v>102.917175214895</v>
      </c>
      <c r="I442" s="417" t="n">
        <f aca="false">SQRT(vit_x^2+vit_z^2)</f>
        <v>108.158211878868</v>
      </c>
      <c r="J442" s="418" t="n">
        <f aca="false">J441+0.5*(vit_x+G441)*pas*(K441&gt;=0)</f>
        <v>258.501354913506</v>
      </c>
      <c r="K442" s="419" t="n">
        <f aca="false">K441+0.5*(vit_z+H441)*pas</f>
        <v>1036.94790771068</v>
      </c>
      <c r="L442" s="417" t="n">
        <f aca="false">SQRT(pos_x^2+pos_z^2)</f>
        <v>1068.68326168125</v>
      </c>
      <c r="M442" s="418" t="n">
        <f aca="false">IF(AND(L441&gt;L_rampe,G442&gt;0),ATAN2(G442,H442),$M$4)</f>
        <v>1.25821476223064</v>
      </c>
      <c r="N442" s="417" t="n">
        <f aca="false">DEGREES(Beta)</f>
        <v>72.0903955968723</v>
      </c>
      <c r="O442" s="401"/>
      <c r="P442" s="420" t="n">
        <f aca="false">MATCH(t-pas/2-T_ini,CdP_t)</f>
        <v>23</v>
      </c>
      <c r="Q442" s="417" t="n">
        <f aca="false">(INDEX(CdP,2,i_P+1)-INDEX(CdP,2,i_P+0))/(INDEX(CdP,1,i_P+1)-INDEX(CdP,1,i_P+0))*(t-pas/2-T_ini-INDEX(CdP,1,i_P+0))+INDEX(CdP,2,i_P+0)</f>
        <v>0</v>
      </c>
      <c r="R442" s="418" t="n">
        <f aca="false">Poussee/(g*ISP)</f>
        <v>0</v>
      </c>
      <c r="S442" s="419" t="n">
        <f aca="false">S441-Débit*pas</f>
        <v>7.37799999999998</v>
      </c>
      <c r="T442" s="417" t="n">
        <f aca="false">m*g</f>
        <v>72.3781799999998</v>
      </c>
      <c r="U442" s="421" t="n">
        <f aca="false">IF(pos_xz&lt;L_rampe,Poids*COS(Beta),0)</f>
        <v>0</v>
      </c>
      <c r="V442" s="418" t="n">
        <f aca="false">Rho_moyen*(20000-Alt_rampe-pos_z)/(20000+Alt_rampe+pos_z)</f>
        <v>1.10423522057304</v>
      </c>
      <c r="W442" s="417" t="n">
        <f aca="false">1/2*Rho*Sref*Cx*vit_xz^2</f>
        <v>39.7206461591091</v>
      </c>
      <c r="X442" s="401"/>
      <c r="Y442" s="422" t="str">
        <f aca="false">IF(AND(pos_z&lt;=0,K441&gt;0),"Impact balistique","") &amp; IF(AND(H443&lt;0,vit_z&gt;=0),"Apogée","") &amp; IF(AND(Poussee=0,Q441&gt;0),"Fin de propulsion","") &amp; IF(AND(L443&gt;L_rampe,pos_xz&lt;=L_rampe),"Sortie de rampe","")</f>
        <v/>
      </c>
      <c r="Z442" s="423" t="str">
        <f aca="false">IF(ABS(t-T_para)&lt;pas/2,"Para","")</f>
        <v/>
      </c>
      <c r="AA442" s="424" t="str">
        <f aca="false">IF(ABS(t-T_satellite)&lt;pas/2,"Satellite","")</f>
        <v/>
      </c>
      <c r="AB442" s="412"/>
      <c r="AC442" s="420" t="e">
        <f aca="false">IF(ABS(t-ROUND(t,0))&lt;0.001,t,NA())</f>
        <v>#N/A</v>
      </c>
      <c r="AD442" s="425" t="e">
        <f aca="false">IF(ABS(t-ROUND(t,0))&lt;0.001,pos_x,NA())</f>
        <v>#N/A</v>
      </c>
      <c r="AE442" s="426" t="n">
        <f aca="false">IF(t&lt;T_para, pos_z, NA())</f>
        <v>1036.94790771068</v>
      </c>
      <c r="AF442" s="412"/>
      <c r="AG442" s="418" t="n">
        <f aca="false">IF(AND(L441&lt;L_rampe,Poussee&lt;Poids*SIN(M441)),0,(-W441+Poussee)/m-Poids*SIN(M441)/m)</f>
        <v>-14.8814815708396</v>
      </c>
      <c r="AH442" s="417" t="n">
        <f aca="false">IF(AND(L441&lt;L_rampe,Poussee&lt;Poids*SIN(M441)), g*SIN(M441), (-W441+Poussee)/m)</f>
        <v>-5.53853951985628</v>
      </c>
    </row>
    <row r="443" customFormat="false" ht="12" hidden="false" customHeight="false" outlineLevel="0" collapsed="false">
      <c r="A443" s="416" t="n">
        <f aca="false">IF(B442+0.01&lt;=T_ini+ROUNDUP(Temps_fin_propu,0), 0.01, IF(K442&gt;0, 0.1, 0.0001))</f>
        <v>0.1</v>
      </c>
      <c r="B443" s="417" t="n">
        <f aca="false">B442+pas</f>
        <v>7.89999999999995</v>
      </c>
      <c r="C443" s="401"/>
      <c r="D443" s="418" t="n">
        <f aca="false">IF(AND(L442&lt;L_rampe,Poussee&lt;Poids*SIN(M442)),0,(-W442+Poussee)/m*COS(M442)-U442/m*SIN(M442))</f>
        <v>-1.65556238816413</v>
      </c>
      <c r="E443" s="419" t="n">
        <f aca="false">IF(AND(L442&lt;L_rampe,Poussee&lt;Poids*SIN(M442)),0,(-W442+Poussee)/m*SIN(M442)+U442/m*COS(M442)-Poids/m)</f>
        <v>-14.9327836265394</v>
      </c>
      <c r="F443" s="417" t="n">
        <f aca="false">SQRT(acc_x^2+acc_z^2)</f>
        <v>15.0242774754111</v>
      </c>
      <c r="G443" s="418" t="n">
        <f aca="false">G442+acc_x*pas</f>
        <v>33.094838266071</v>
      </c>
      <c r="H443" s="419" t="n">
        <f aca="false">H442+acc_z*pas</f>
        <v>101.423896852241</v>
      </c>
      <c r="I443" s="417" t="n">
        <f aca="false">SQRT(vit_x^2+vit_z^2)</f>
        <v>106.686808802923</v>
      </c>
      <c r="J443" s="418" t="n">
        <f aca="false">J442+0.5*(vit_x+G442)*pas*(K442&gt;=0)</f>
        <v>261.819116552054</v>
      </c>
      <c r="K443" s="419" t="n">
        <f aca="false">K442+0.5*(vit_z+H442)*pas</f>
        <v>1047.16496131404</v>
      </c>
      <c r="L443" s="417" t="n">
        <f aca="false">SQRT(pos_x^2+pos_z^2)</f>
        <v>1079.39969705199</v>
      </c>
      <c r="M443" s="418" t="n">
        <f aca="false">IF(AND(L442&gt;L_rampe,G443&gt;0),ATAN2(G443,H443),$M$4)</f>
        <v>1.25538710502773</v>
      </c>
      <c r="N443" s="417" t="n">
        <f aca="false">DEGREES(Beta)</f>
        <v>71.9283827732357</v>
      </c>
      <c r="O443" s="401"/>
      <c r="P443" s="420" t="n">
        <f aca="false">MATCH(t-pas/2-T_ini,CdP_t)</f>
        <v>23</v>
      </c>
      <c r="Q443" s="417" t="n">
        <f aca="false">(INDEX(CdP,2,i_P+1)-INDEX(CdP,2,i_P+0))/(INDEX(CdP,1,i_P+1)-INDEX(CdP,1,i_P+0))*(t-pas/2-T_ini-INDEX(CdP,1,i_P+0))+INDEX(CdP,2,i_P+0)</f>
        <v>0</v>
      </c>
      <c r="R443" s="418" t="n">
        <f aca="false">Poussee/(g*ISP)</f>
        <v>0</v>
      </c>
      <c r="S443" s="419" t="n">
        <f aca="false">S442-Débit*pas</f>
        <v>7.37799999999998</v>
      </c>
      <c r="T443" s="417" t="n">
        <f aca="false">m*g</f>
        <v>72.3781799999998</v>
      </c>
      <c r="U443" s="421" t="n">
        <f aca="false">IF(pos_xz&lt;L_rampe,Poids*COS(Beta),0)</f>
        <v>0</v>
      </c>
      <c r="V443" s="418" t="n">
        <f aca="false">Rho_moyen*(20000-Alt_rampe-pos_z)/(20000+Alt_rampe+pos_z)</f>
        <v>1.1031045257195</v>
      </c>
      <c r="W443" s="417" t="n">
        <f aca="false">1/2*Rho*Sref*Cx*vit_xz^2</f>
        <v>38.6076909504114</v>
      </c>
      <c r="X443" s="401"/>
      <c r="Y443" s="422" t="str">
        <f aca="false">IF(AND(pos_z&lt;=0,K442&gt;0),"Impact balistique","") &amp; IF(AND(H444&lt;0,vit_z&gt;=0),"Apogée","") &amp; IF(AND(Poussee=0,Q442&gt;0),"Fin de propulsion","") &amp; IF(AND(L444&gt;L_rampe,pos_xz&lt;=L_rampe),"Sortie de rampe","")</f>
        <v/>
      </c>
      <c r="Z443" s="423" t="str">
        <f aca="false">IF(ABS(t-T_para)&lt;pas/2,"Para","")</f>
        <v/>
      </c>
      <c r="AA443" s="424" t="str">
        <f aca="false">IF(ABS(t-T_satellite)&lt;pas/2,"Satellite","")</f>
        <v/>
      </c>
      <c r="AB443" s="412"/>
      <c r="AC443" s="420" t="e">
        <f aca="false">IF(ABS(t-ROUND(t,0))&lt;0.001,t,NA())</f>
        <v>#N/A</v>
      </c>
      <c r="AD443" s="425" t="e">
        <f aca="false">IF(ABS(t-ROUND(t,0))&lt;0.001,pos_x,NA())</f>
        <v>#N/A</v>
      </c>
      <c r="AE443" s="426" t="n">
        <f aca="false">IF(t&lt;T_para, pos_z, NA())</f>
        <v>1047.16496131404</v>
      </c>
      <c r="AF443" s="412"/>
      <c r="AG443" s="418" t="n">
        <f aca="false">IF(AND(L442&lt;L_rampe,Poussee&lt;Poids*SIN(M442)),0,(-W442+Poussee)/m-Poids*SIN(M442)/m)</f>
        <v>-14.7182959059948</v>
      </c>
      <c r="AH443" s="417" t="n">
        <f aca="false">IF(AND(L442&lt;L_rampe,Poussee&lt;Poids*SIN(M442)), g*SIN(M442), (-W442+Poussee)/m)</f>
        <v>-5.38366036312134</v>
      </c>
    </row>
    <row r="444" customFormat="false" ht="12" hidden="false" customHeight="false" outlineLevel="0" collapsed="false">
      <c r="A444" s="416" t="n">
        <f aca="false">IF(B443+0.01&lt;=T_ini+ROUNDUP(Temps_fin_propu,0), 0.01, IF(K443&gt;0, 0.1, 0.0001))</f>
        <v>0.1</v>
      </c>
      <c r="B444" s="417" t="n">
        <f aca="false">B443+pas</f>
        <v>7.99999999999995</v>
      </c>
      <c r="C444" s="401"/>
      <c r="D444" s="418" t="n">
        <f aca="false">IF(AND(L443&lt;L_rampe,Poussee&lt;Poids*SIN(M443)),0,(-W443+Poussee)/m*COS(M443)-U443/m*SIN(M443))</f>
        <v>-1.62324739831472</v>
      </c>
      <c r="E444" s="419" t="n">
        <f aca="false">IF(AND(L443&lt;L_rampe,Poussee&lt;Poids*SIN(M443)),0,(-W443+Poussee)/m*SIN(M443)+U443/m*COS(M443)-Poids/m)</f>
        <v>-14.784675366857</v>
      </c>
      <c r="F444" s="417" t="n">
        <f aca="false">SQRT(acc_x^2+acc_z^2)</f>
        <v>14.8735186764761</v>
      </c>
      <c r="G444" s="418" t="n">
        <f aca="false">G443+acc_x*pas</f>
        <v>32.9325135262396</v>
      </c>
      <c r="H444" s="419" t="n">
        <f aca="false">H443+acc_z*pas</f>
        <v>99.9454293155551</v>
      </c>
      <c r="I444" s="417" t="n">
        <f aca="false">SQRT(vit_x^2+vit_z^2)</f>
        <v>105.231360763921</v>
      </c>
      <c r="J444" s="418" t="n">
        <f aca="false">J443+0.5*(vit_x+G443)*pas*(K443&gt;=0)</f>
        <v>265.120484141669</v>
      </c>
      <c r="K444" s="419" t="n">
        <f aca="false">K443+0.5*(vit_z+H443)*pas</f>
        <v>1057.23342762243</v>
      </c>
      <c r="L444" s="417" t="n">
        <f aca="false">SQRT(pos_x^2+pos_z^2)</f>
        <v>1089.96852779967</v>
      </c>
      <c r="M444" s="418" t="n">
        <f aca="false">IF(AND(L443&gt;L_rampe,G444&gt;0),ATAN2(G444,H444),$M$4)</f>
        <v>1.25249526699882</v>
      </c>
      <c r="N444" s="417" t="n">
        <f aca="false">DEGREES(Beta)</f>
        <v>71.7626926591437</v>
      </c>
      <c r="O444" s="401"/>
      <c r="P444" s="420" t="n">
        <f aca="false">MATCH(t-pas/2-T_ini,CdP_t)</f>
        <v>23</v>
      </c>
      <c r="Q444" s="417" t="n">
        <f aca="false">(INDEX(CdP,2,i_P+1)-INDEX(CdP,2,i_P+0))/(INDEX(CdP,1,i_P+1)-INDEX(CdP,1,i_P+0))*(t-pas/2-T_ini-INDEX(CdP,1,i_P+0))+INDEX(CdP,2,i_P+0)</f>
        <v>0</v>
      </c>
      <c r="R444" s="418" t="n">
        <f aca="false">Poussee/(g*ISP)</f>
        <v>0</v>
      </c>
      <c r="S444" s="419" t="n">
        <f aca="false">S443-Débit*pas</f>
        <v>7.37799999999998</v>
      </c>
      <c r="T444" s="417" t="n">
        <f aca="false">m*g</f>
        <v>72.3781799999998</v>
      </c>
      <c r="U444" s="421" t="n">
        <f aca="false">IF(pos_xz&lt;L_rampe,Poids*COS(Beta),0)</f>
        <v>0</v>
      </c>
      <c r="V444" s="418" t="n">
        <f aca="false">Rho_moyen*(20000-Alt_rampe-pos_z)/(20000+Alt_rampe+pos_z)</f>
        <v>1.10199134805253</v>
      </c>
      <c r="W444" s="417" t="n">
        <f aca="false">1/2*Rho*Sref*Cx*vit_xz^2</f>
        <v>37.5235802957098</v>
      </c>
      <c r="X444" s="401"/>
      <c r="Y444" s="422" t="str">
        <f aca="false">IF(AND(pos_z&lt;=0,K443&gt;0),"Impact balistique","") &amp; IF(AND(H445&lt;0,vit_z&gt;=0),"Apogée","") &amp; IF(AND(Poussee=0,Q443&gt;0),"Fin de propulsion","") &amp; IF(AND(L445&gt;L_rampe,pos_xz&lt;=L_rampe),"Sortie de rampe","")</f>
        <v/>
      </c>
      <c r="Z444" s="423" t="str">
        <f aca="false">IF(ABS(t-T_para)&lt;pas/2,"Para","")</f>
        <v>Para</v>
      </c>
      <c r="AA444" s="424" t="str">
        <f aca="false">IF(ABS(t-T_satellite)&lt;pas/2,"Satellite","")</f>
        <v/>
      </c>
      <c r="AB444" s="412"/>
      <c r="AC444" s="420" t="n">
        <f aca="false">IF(ABS(t-ROUND(t,0))&lt;0.001,t,NA())</f>
        <v>7.99999999999995</v>
      </c>
      <c r="AD444" s="425" t="n">
        <f aca="false">IF(ABS(t-ROUND(t,0))&lt;0.001,pos_x,NA())</f>
        <v>265.120484141669</v>
      </c>
      <c r="AE444" s="426" t="n">
        <f aca="false">IF(t&lt;T_para, pos_z, NA())</f>
        <v>1057.23342762243</v>
      </c>
      <c r="AF444" s="412"/>
      <c r="AG444" s="418" t="n">
        <f aca="false">IF(AND(L443&lt;L_rampe,Poussee&lt;Poids*SIN(M443)),0,(-W443+Poussee)/m-Poids*SIN(M443)/m)</f>
        <v>-14.5588804927537</v>
      </c>
      <c r="AH444" s="417" t="n">
        <f aca="false">IF(AND(L443&lt;L_rampe,Poussee&lt;Poids*SIN(M443)), g*SIN(M443), (-W443+Poussee)/m)</f>
        <v>-5.23281254410565</v>
      </c>
    </row>
    <row r="445" customFormat="false" ht="12" hidden="false" customHeight="false" outlineLevel="0" collapsed="false">
      <c r="A445" s="416" t="n">
        <f aca="false">IF(B444+0.01&lt;=T_ini+ROUNDUP(Temps_fin_propu,0), 0.01, IF(K444&gt;0, 0.1, 0.0001))</f>
        <v>0.1</v>
      </c>
      <c r="B445" s="417" t="n">
        <f aca="false">B444+pas</f>
        <v>8.09999999999995</v>
      </c>
      <c r="C445" s="401"/>
      <c r="D445" s="418" t="n">
        <f aca="false">IF(AND(L444&lt;L_rampe,Poussee&lt;Poids*SIN(M444)),0,(-W444+Poussee)/m*COS(M444)-U444/m*SIN(M444))</f>
        <v>-1.59164170897868</v>
      </c>
      <c r="E445" s="419" t="n">
        <f aca="false">IF(AND(L444&lt;L_rampe,Poussee&lt;Poids*SIN(M444)),0,(-W444+Poussee)/m*SIN(M444)+U444/m*COS(M444)-Poids/m)</f>
        <v>-14.6404030542239</v>
      </c>
      <c r="F445" s="417" t="n">
        <f aca="false">SQRT(acc_x^2+acc_z^2)</f>
        <v>14.7266671355025</v>
      </c>
      <c r="G445" s="418" t="n">
        <f aca="false">G444+acc_x*pas</f>
        <v>32.7733493553417</v>
      </c>
      <c r="H445" s="419" t="n">
        <f aca="false">H444+acc_z*pas</f>
        <v>98.4813890101327</v>
      </c>
      <c r="I445" s="417" t="n">
        <f aca="false">SQRT(vit_x^2+vit_z^2)</f>
        <v>103.791504514254</v>
      </c>
      <c r="J445" s="418" t="n">
        <f aca="false">J444+0.5*(vit_x+G444)*pas*(K444&gt;=0)</f>
        <v>268.405777285748</v>
      </c>
      <c r="K445" s="419" t="n">
        <f aca="false">K444+0.5*(vit_z+H444)*pas</f>
        <v>1067.15476853871</v>
      </c>
      <c r="L445" s="417" t="n">
        <f aca="false">SQRT(pos_x^2+pos_z^2)</f>
        <v>1100.39127645365</v>
      </c>
      <c r="M445" s="418" t="n">
        <f aca="false">IF(AND(L444&gt;L_rampe,G445&gt;0),ATAN2(G445,H445),$M$4)</f>
        <v>1.24953733949342</v>
      </c>
      <c r="N445" s="417" t="n">
        <f aca="false">DEGREES(Beta)</f>
        <v>71.5932158969785</v>
      </c>
      <c r="O445" s="401"/>
      <c r="P445" s="420" t="n">
        <f aca="false">MATCH(t-pas/2-T_ini,CdP_t)</f>
        <v>23</v>
      </c>
      <c r="Q445" s="417" t="n">
        <f aca="false">(INDEX(CdP,2,i_P+1)-INDEX(CdP,2,i_P+0))/(INDEX(CdP,1,i_P+1)-INDEX(CdP,1,i_P+0))*(t-pas/2-T_ini-INDEX(CdP,1,i_P+0))+INDEX(CdP,2,i_P+0)</f>
        <v>0</v>
      </c>
      <c r="R445" s="418" t="n">
        <f aca="false">Poussee/(g*ISP)</f>
        <v>0</v>
      </c>
      <c r="S445" s="419" t="n">
        <f aca="false">S444-Débit*pas</f>
        <v>7.37799999999998</v>
      </c>
      <c r="T445" s="417" t="n">
        <f aca="false">m*g</f>
        <v>72.3781799999998</v>
      </c>
      <c r="U445" s="421" t="n">
        <f aca="false">IF(pos_xz&lt;L_rampe,Poids*COS(Beta),0)</f>
        <v>0</v>
      </c>
      <c r="V445" s="418" t="n">
        <f aca="false">Rho_moyen*(20000-Alt_rampe-pos_z)/(20000+Alt_rampe+pos_z)</f>
        <v>1.100895477503</v>
      </c>
      <c r="W445" s="417" t="n">
        <f aca="false">1/2*Rho*Sref*Cx*vit_xz^2</f>
        <v>36.4674515360636</v>
      </c>
      <c r="X445" s="401"/>
      <c r="Y445" s="422" t="str">
        <f aca="false">IF(AND(pos_z&lt;=0,K444&gt;0),"Impact balistique","") &amp; IF(AND(H446&lt;0,vit_z&gt;=0),"Apogée","") &amp; IF(AND(Poussee=0,Q444&gt;0),"Fin de propulsion","") &amp; IF(AND(L446&gt;L_rampe,pos_xz&lt;=L_rampe),"Sortie de rampe","")</f>
        <v/>
      </c>
      <c r="Z445" s="423" t="str">
        <f aca="false">IF(ABS(t-T_para)&lt;pas/2,"Para","")</f>
        <v/>
      </c>
      <c r="AA445" s="424" t="str">
        <f aca="false">IF(ABS(t-T_satellite)&lt;pas/2,"Satellite","")</f>
        <v/>
      </c>
      <c r="AB445" s="412"/>
      <c r="AC445" s="420" t="e">
        <f aca="false">IF(ABS(t-ROUND(t,0))&lt;0.001,t,NA())</f>
        <v>#N/A</v>
      </c>
      <c r="AD445" s="425" t="e">
        <f aca="false">IF(ABS(t-ROUND(t,0))&lt;0.001,pos_x,NA())</f>
        <v>#N/A</v>
      </c>
      <c r="AE445" s="426" t="e">
        <f aca="false">IF(t&lt;T_para, pos_z, NA())</f>
        <v>#N/A</v>
      </c>
      <c r="AF445" s="412"/>
      <c r="AG445" s="418" t="n">
        <f aca="false">IF(AND(L444&lt;L_rampe,Poussee&lt;Poids*SIN(M444)),0,(-W444+Poussee)/m-Poids*SIN(M444)/m)</f>
        <v>-14.4031030266472</v>
      </c>
      <c r="AH445" s="417" t="n">
        <f aca="false">IF(AND(L444&lt;L_rampe,Poussee&lt;Poids*SIN(M444)), g*SIN(M444), (-W444+Poussee)/m)</f>
        <v>-5.08587426073595</v>
      </c>
    </row>
    <row r="446" customFormat="false" ht="12" hidden="false" customHeight="false" outlineLevel="0" collapsed="false">
      <c r="A446" s="416" t="n">
        <f aca="false">IF(B445+0.01&lt;=T_ini+ROUNDUP(Temps_fin_propu,0), 0.01, IF(K445&gt;0, 0.1, 0.0001))</f>
        <v>0.1</v>
      </c>
      <c r="B446" s="417" t="n">
        <f aca="false">B445+pas</f>
        <v>8.19999999999994</v>
      </c>
      <c r="C446" s="401"/>
      <c r="D446" s="418" t="n">
        <f aca="false">IF(AND(L445&lt;L_rampe,Poussee&lt;Poids*SIN(M445)),0,(-W445+Poussee)/m*COS(M445)-U445/m*SIN(M445))</f>
        <v>-1.56072283182109</v>
      </c>
      <c r="E446" s="419" t="n">
        <f aca="false">IF(AND(L445&lt;L_rampe,Poussee&lt;Poids*SIN(M445)),0,(-W445+Poussee)/m*SIN(M445)+U445/m*COS(M445)-Poids/m)</f>
        <v>-14.4998518265884</v>
      </c>
      <c r="F446" s="417" t="n">
        <f aca="false">SQRT(acc_x^2+acc_z^2)</f>
        <v>14.5836058212908</v>
      </c>
      <c r="G446" s="418" t="n">
        <f aca="false">G445+acc_x*pas</f>
        <v>32.6172770721596</v>
      </c>
      <c r="H446" s="419" t="n">
        <f aca="false">H445+acc_z*pas</f>
        <v>97.0314038274739</v>
      </c>
      <c r="I446" s="417" t="n">
        <f aca="false">SQRT(vit_x^2+vit_z^2)</f>
        <v>102.36688962908</v>
      </c>
      <c r="J446" s="418" t="n">
        <f aca="false">J445+0.5*(vit_x+G445)*pas*(K445&gt;=0)</f>
        <v>271.675308607123</v>
      </c>
      <c r="K446" s="419" t="n">
        <f aca="false">K445+0.5*(vit_z+H445)*pas</f>
        <v>1076.9304081806</v>
      </c>
      <c r="L446" s="417" t="n">
        <f aca="false">SQRT(pos_x^2+pos_z^2)</f>
        <v>1110.66942758446</v>
      </c>
      <c r="M446" s="418" t="n">
        <f aca="false">IF(AND(L445&gt;L_rampe,G446&gt;0),ATAN2(G446,H446),$M$4)</f>
        <v>1.24651133768902</v>
      </c>
      <c r="N446" s="417" t="n">
        <f aca="false">DEGREES(Beta)</f>
        <v>71.4198387647874</v>
      </c>
      <c r="O446" s="401"/>
      <c r="P446" s="420" t="n">
        <f aca="false">MATCH(t-pas/2-T_ini,CdP_t)</f>
        <v>23</v>
      </c>
      <c r="Q446" s="417" t="n">
        <f aca="false">(INDEX(CdP,2,i_P+1)-INDEX(CdP,2,i_P+0))/(INDEX(CdP,1,i_P+1)-INDEX(CdP,1,i_P+0))*(t-pas/2-T_ini-INDEX(CdP,1,i_P+0))+INDEX(CdP,2,i_P+0)</f>
        <v>0</v>
      </c>
      <c r="R446" s="418" t="n">
        <f aca="false">Poussee/(g*ISP)</f>
        <v>0</v>
      </c>
      <c r="S446" s="419" t="n">
        <f aca="false">S445-Débit*pas</f>
        <v>7.37799999999998</v>
      </c>
      <c r="T446" s="417" t="n">
        <f aca="false">m*g</f>
        <v>72.3781799999998</v>
      </c>
      <c r="U446" s="421" t="n">
        <f aca="false">IF(pos_xz&lt;L_rampe,Poids*COS(Beta),0)</f>
        <v>0</v>
      </c>
      <c r="V446" s="418" t="n">
        <f aca="false">Rho_moyen*(20000-Alt_rampe-pos_z)/(20000+Alt_rampe+pos_z)</f>
        <v>1.09981670959931</v>
      </c>
      <c r="W446" s="417" t="n">
        <f aca="false">1/2*Rho*Sref*Cx*vit_xz^2</f>
        <v>35.4384763228972</v>
      </c>
      <c r="X446" s="401"/>
      <c r="Y446" s="422" t="str">
        <f aca="false">IF(AND(pos_z&lt;=0,K445&gt;0),"Impact balistique","") &amp; IF(AND(H447&lt;0,vit_z&gt;=0),"Apogée","") &amp; IF(AND(Poussee=0,Q445&gt;0),"Fin de propulsion","") &amp; IF(AND(L447&gt;L_rampe,pos_xz&lt;=L_rampe),"Sortie de rampe","")</f>
        <v/>
      </c>
      <c r="Z446" s="423" t="str">
        <f aca="false">IF(ABS(t-T_para)&lt;pas/2,"Para","")</f>
        <v/>
      </c>
      <c r="AA446" s="424" t="str">
        <f aca="false">IF(ABS(t-T_satellite)&lt;pas/2,"Satellite","")</f>
        <v/>
      </c>
      <c r="AB446" s="412"/>
      <c r="AC446" s="420" t="e">
        <f aca="false">IF(ABS(t-ROUND(t,0))&lt;0.001,t,NA())</f>
        <v>#N/A</v>
      </c>
      <c r="AD446" s="425" t="e">
        <f aca="false">IF(ABS(t-ROUND(t,0))&lt;0.001,pos_x,NA())</f>
        <v>#N/A</v>
      </c>
      <c r="AE446" s="426" t="e">
        <f aca="false">IF(t&lt;T_para, pos_z, NA())</f>
        <v>#N/A</v>
      </c>
      <c r="AF446" s="412"/>
      <c r="AG446" s="418" t="n">
        <f aca="false">IF(AND(L445&lt;L_rampe,Poussee&lt;Poids*SIN(M445)),0,(-W445+Poussee)/m-Poids*SIN(M445)/m)</f>
        <v>-14.2508355559538</v>
      </c>
      <c r="AH446" s="417" t="n">
        <f aca="false">IF(AND(L445&lt;L_rampe,Poussee&lt;Poids*SIN(M445)), g*SIN(M445), (-W445+Poussee)/m)</f>
        <v>-4.94272858987039</v>
      </c>
    </row>
    <row r="447" customFormat="false" ht="12" hidden="false" customHeight="false" outlineLevel="0" collapsed="false">
      <c r="A447" s="416" t="n">
        <f aca="false">IF(B446+0.01&lt;=T_ini+ROUNDUP(Temps_fin_propu,0), 0.01, IF(K446&gt;0, 0.1, 0.0001))</f>
        <v>0.1</v>
      </c>
      <c r="B447" s="417" t="n">
        <f aca="false">B446+pas</f>
        <v>8.29999999999994</v>
      </c>
      <c r="C447" s="401"/>
      <c r="D447" s="418" t="n">
        <f aca="false">IF(AND(L446&lt;L_rampe,Poussee&lt;Poids*SIN(M446)),0,(-W446+Poussee)/m*COS(M446)-U446/m*SIN(M446))</f>
        <v>-1.53046916955419</v>
      </c>
      <c r="E447" s="419" t="n">
        <f aca="false">IF(AND(L446&lt;L_rampe,Poussee&lt;Poids*SIN(M446)),0,(-W446+Poussee)/m*SIN(M446)+U446/m*COS(M446)-Poids/m)</f>
        <v>-14.362911382148</v>
      </c>
      <c r="F447" s="417" t="n">
        <f aca="false">SQRT(acc_x^2+acc_z^2)</f>
        <v>14.444222348413</v>
      </c>
      <c r="G447" s="418" t="n">
        <f aca="false">G446+acc_x*pas</f>
        <v>32.4642301552042</v>
      </c>
      <c r="H447" s="419" t="n">
        <f aca="false">H446+acc_z*pas</f>
        <v>95.5951126892591</v>
      </c>
      <c r="I447" s="417" t="n">
        <f aca="false">SQRT(vit_x^2+vit_z^2)</f>
        <v>100.957178098648</v>
      </c>
      <c r="J447" s="418" t="n">
        <f aca="false">J446+0.5*(vit_x+G446)*pas*(K446&gt;=0)</f>
        <v>274.929383968491</v>
      </c>
      <c r="K447" s="419" t="n">
        <f aca="false">K446+0.5*(vit_z+H446)*pas</f>
        <v>1086.56173400643</v>
      </c>
      <c r="L447" s="417" t="n">
        <f aca="false">SQRT(pos_x^2+pos_z^2)</f>
        <v>1120.80442896</v>
      </c>
      <c r="M447" s="418" t="n">
        <f aca="false">IF(AND(L446&gt;L_rampe,G447&gt;0),ATAN2(G447,H447),$M$4)</f>
        <v>1.24341519695257</v>
      </c>
      <c r="N447" s="417" t="n">
        <f aca="false">DEGREES(Beta)</f>
        <v>71.2424429678101</v>
      </c>
      <c r="O447" s="401"/>
      <c r="P447" s="420" t="n">
        <f aca="false">MATCH(t-pas/2-T_ini,CdP_t)</f>
        <v>23</v>
      </c>
      <c r="Q447" s="417" t="n">
        <f aca="false">(INDEX(CdP,2,i_P+1)-INDEX(CdP,2,i_P+0))/(INDEX(CdP,1,i_P+1)-INDEX(CdP,1,i_P+0))*(t-pas/2-T_ini-INDEX(CdP,1,i_P+0))+INDEX(CdP,2,i_P+0)</f>
        <v>0</v>
      </c>
      <c r="R447" s="418" t="n">
        <f aca="false">Poussee/(g*ISP)</f>
        <v>0</v>
      </c>
      <c r="S447" s="419" t="n">
        <f aca="false">S446-Débit*pas</f>
        <v>7.37799999999998</v>
      </c>
      <c r="T447" s="417" t="n">
        <f aca="false">m*g</f>
        <v>72.3781799999998</v>
      </c>
      <c r="U447" s="421" t="n">
        <f aca="false">IF(pos_xz&lt;L_rampe,Poids*COS(Beta),0)</f>
        <v>0</v>
      </c>
      <c r="V447" s="418" t="n">
        <f aca="false">Rho_moyen*(20000-Alt_rampe-pos_z)/(20000+Alt_rampe+pos_z)</f>
        <v>1.09875484529455</v>
      </c>
      <c r="W447" s="417" t="n">
        <f aca="false">1/2*Rho*Sref*Cx*vit_xz^2</f>
        <v>34.4358590242861</v>
      </c>
      <c r="X447" s="401"/>
      <c r="Y447" s="422" t="str">
        <f aca="false">IF(AND(pos_z&lt;=0,K446&gt;0),"Impact balistique","") &amp; IF(AND(H448&lt;0,vit_z&gt;=0),"Apogée","") &amp; IF(AND(Poussee=0,Q446&gt;0),"Fin de propulsion","") &amp; IF(AND(L448&gt;L_rampe,pos_xz&lt;=L_rampe),"Sortie de rampe","")</f>
        <v/>
      </c>
      <c r="Z447" s="423" t="str">
        <f aca="false">IF(ABS(t-T_para)&lt;pas/2,"Para","")</f>
        <v/>
      </c>
      <c r="AA447" s="424" t="str">
        <f aca="false">IF(ABS(t-T_satellite)&lt;pas/2,"Satellite","")</f>
        <v/>
      </c>
      <c r="AB447" s="412"/>
      <c r="AC447" s="420" t="e">
        <f aca="false">IF(ABS(t-ROUND(t,0))&lt;0.001,t,NA())</f>
        <v>#N/A</v>
      </c>
      <c r="AD447" s="425" t="e">
        <f aca="false">IF(ABS(t-ROUND(t,0))&lt;0.001,pos_x,NA())</f>
        <v>#N/A</v>
      </c>
      <c r="AE447" s="426" t="e">
        <f aca="false">IF(t&lt;T_para, pos_z, NA())</f>
        <v>#N/A</v>
      </c>
      <c r="AF447" s="412"/>
      <c r="AG447" s="418" t="n">
        <f aca="false">IF(AND(L446&lt;L_rampe,Poussee&lt;Poids*SIN(M446)),0,(-W446+Poussee)/m-Poids*SIN(M446)/m)</f>
        <v>-14.10195422215</v>
      </c>
      <c r="AH447" s="417" t="n">
        <f aca="false">IF(AND(L446&lt;L_rampe,Poussee&lt;Poids*SIN(M446)), g*SIN(M446), (-W446+Poussee)/m)</f>
        <v>-4.80326325872828</v>
      </c>
    </row>
    <row r="448" customFormat="false" ht="12" hidden="false" customHeight="false" outlineLevel="0" collapsed="false">
      <c r="A448" s="416" t="n">
        <f aca="false">IF(B447+0.01&lt;=T_ini+ROUNDUP(Temps_fin_propu,0), 0.01, IF(K447&gt;0, 0.1, 0.0001))</f>
        <v>0.1</v>
      </c>
      <c r="B448" s="417" t="n">
        <f aca="false">B447+pas</f>
        <v>8.39999999999994</v>
      </c>
      <c r="C448" s="401"/>
      <c r="D448" s="418" t="n">
        <f aca="false">IF(AND(L447&lt;L_rampe,Poussee&lt;Poids*SIN(M447)),0,(-W447+Poussee)/m*COS(M447)-U447/m*SIN(M447))</f>
        <v>-1.50085997525346</v>
      </c>
      <c r="E448" s="419" t="n">
        <f aca="false">IF(AND(L447&lt;L_rampe,Poussee&lt;Poids*SIN(M447)),0,(-W447+Poussee)/m*SIN(M447)+U447/m*COS(M447)-Poids/m)</f>
        <v>-14.2294757669975</v>
      </c>
      <c r="F448" s="417" t="n">
        <f aca="false">SQRT(acc_x^2+acc_z^2)</f>
        <v>14.308408760896</v>
      </c>
      <c r="G448" s="418" t="n">
        <f aca="false">G447+acc_x*pas</f>
        <v>32.3141441576788</v>
      </c>
      <c r="H448" s="419" t="n">
        <f aca="false">H447+acc_z*pas</f>
        <v>94.1721651125593</v>
      </c>
      <c r="I448" s="417" t="n">
        <f aca="false">SQRT(vit_x^2+vit_z^2)</f>
        <v>99.5620439456241</v>
      </c>
      <c r="J448" s="418" t="n">
        <f aca="false">J447+0.5*(vit_x+G447)*pas*(K447&gt;=0)</f>
        <v>278.168302684136</v>
      </c>
      <c r="K448" s="419" t="n">
        <f aca="false">K447+0.5*(vit_z+H447)*pas</f>
        <v>1096.05009789652</v>
      </c>
      <c r="L448" s="417" t="n">
        <f aca="false">SQRT(pos_x^2+pos_z^2)</f>
        <v>1130.79769265645</v>
      </c>
      <c r="M448" s="418" t="n">
        <f aca="false">IF(AND(L447&gt;L_rampe,G448&gt;0),ATAN2(G448,H448),$M$4)</f>
        <v>1.24024676900103</v>
      </c>
      <c r="N448" s="417" t="n">
        <f aca="false">DEGREES(Beta)</f>
        <v>71.0609054184959</v>
      </c>
      <c r="O448" s="401"/>
      <c r="P448" s="420" t="n">
        <f aca="false">MATCH(t-pas/2-T_ini,CdP_t)</f>
        <v>23</v>
      </c>
      <c r="Q448" s="417" t="n">
        <f aca="false">(INDEX(CdP,2,i_P+1)-INDEX(CdP,2,i_P+0))/(INDEX(CdP,1,i_P+1)-INDEX(CdP,1,i_P+0))*(t-pas/2-T_ini-INDEX(CdP,1,i_P+0))+INDEX(CdP,2,i_P+0)</f>
        <v>0</v>
      </c>
      <c r="R448" s="418" t="n">
        <f aca="false">Poussee/(g*ISP)</f>
        <v>0</v>
      </c>
      <c r="S448" s="419" t="n">
        <f aca="false">S447-Débit*pas</f>
        <v>7.37799999999998</v>
      </c>
      <c r="T448" s="417" t="n">
        <f aca="false">m*g</f>
        <v>72.3781799999998</v>
      </c>
      <c r="U448" s="421" t="n">
        <f aca="false">IF(pos_xz&lt;L_rampe,Poids*COS(Beta),0)</f>
        <v>0</v>
      </c>
      <c r="V448" s="418" t="n">
        <f aca="false">Rho_moyen*(20000-Alt_rampe-pos_z)/(20000+Alt_rampe+pos_z)</f>
        <v>1.09770969080064</v>
      </c>
      <c r="W448" s="417" t="n">
        <f aca="false">1/2*Rho*Sref*Cx*vit_xz^2</f>
        <v>33.4588352181505</v>
      </c>
      <c r="X448" s="401"/>
      <c r="Y448" s="422" t="str">
        <f aca="false">IF(AND(pos_z&lt;=0,K447&gt;0),"Impact balistique","") &amp; IF(AND(H449&lt;0,vit_z&gt;=0),"Apogée","") &amp; IF(AND(Poussee=0,Q447&gt;0),"Fin de propulsion","") &amp; IF(AND(L449&gt;L_rampe,pos_xz&lt;=L_rampe),"Sortie de rampe","")</f>
        <v/>
      </c>
      <c r="Z448" s="423" t="str">
        <f aca="false">IF(ABS(t-T_para)&lt;pas/2,"Para","")</f>
        <v/>
      </c>
      <c r="AA448" s="424" t="str">
        <f aca="false">IF(ABS(t-T_satellite)&lt;pas/2,"Satellite","")</f>
        <v/>
      </c>
      <c r="AB448" s="412"/>
      <c r="AC448" s="420" t="e">
        <f aca="false">IF(ABS(t-ROUND(t,0))&lt;0.001,t,NA())</f>
        <v>#N/A</v>
      </c>
      <c r="AD448" s="425" t="e">
        <f aca="false">IF(ABS(t-ROUND(t,0))&lt;0.001,pos_x,NA())</f>
        <v>#N/A</v>
      </c>
      <c r="AE448" s="426" t="e">
        <f aca="false">IF(t&lt;T_para, pos_z, NA())</f>
        <v>#N/A</v>
      </c>
      <c r="AF448" s="412"/>
      <c r="AG448" s="418" t="n">
        <f aca="false">IF(AND(L447&lt;L_rampe,Poussee&lt;Poids*SIN(M447)),0,(-W447+Poussee)/m-Poids*SIN(M447)/m)</f>
        <v>-13.9563390108408</v>
      </c>
      <c r="AH448" s="417" t="n">
        <f aca="false">IF(AND(L447&lt;L_rampe,Poussee&lt;Poids*SIN(M447)), g*SIN(M447), (-W447+Poussee)/m)</f>
        <v>-4.6673704288813</v>
      </c>
    </row>
    <row r="449" customFormat="false" ht="12" hidden="false" customHeight="false" outlineLevel="0" collapsed="false">
      <c r="A449" s="416" t="n">
        <f aca="false">IF(B448+0.01&lt;=T_ini+ROUNDUP(Temps_fin_propu,0), 0.01, IF(K448&gt;0, 0.1, 0.0001))</f>
        <v>0.1</v>
      </c>
      <c r="B449" s="417" t="n">
        <f aca="false">B448+pas</f>
        <v>8.49999999999994</v>
      </c>
      <c r="C449" s="401"/>
      <c r="D449" s="418" t="n">
        <f aca="false">IF(AND(L448&lt;L_rampe,Poussee&lt;Poids*SIN(M448)),0,(-W448+Poussee)/m*COS(M448)-U448/m*SIN(M448))</f>
        <v>-1.47187531395646</v>
      </c>
      <c r="E449" s="419" t="n">
        <f aca="false">IF(AND(L448&lt;L_rampe,Poussee&lt;Poids*SIN(M448)),0,(-W448+Poussee)/m*SIN(M448)+U448/m*COS(M448)-Poids/m)</f>
        <v>-14.0994431743157</v>
      </c>
      <c r="F449" s="417" t="n">
        <f aca="false">SQRT(acc_x^2+acc_z^2)</f>
        <v>14.1760613276605</v>
      </c>
      <c r="G449" s="418" t="n">
        <f aca="false">G448+acc_x*pas</f>
        <v>32.1669566262832</v>
      </c>
      <c r="H449" s="419" t="n">
        <f aca="false">H448+acc_z*pas</f>
        <v>92.7622207951278</v>
      </c>
      <c r="I449" s="417" t="n">
        <f aca="false">SQRT(vit_x^2+vit_z^2)</f>
        <v>98.1811728664983</v>
      </c>
      <c r="J449" s="418" t="n">
        <f aca="false">J448+0.5*(vit_x+G448)*pas*(K448&gt;=0)</f>
        <v>281.392357723334</v>
      </c>
      <c r="K449" s="419" t="n">
        <f aca="false">K448+0.5*(vit_z+H448)*pas</f>
        <v>1105.39681719191</v>
      </c>
      <c r="L449" s="417" t="n">
        <f aca="false">SQRT(pos_x^2+pos_z^2)</f>
        <v>1140.65059612622</v>
      </c>
      <c r="M449" s="418" t="n">
        <f aca="false">IF(AND(L448&gt;L_rampe,G449&gt;0),ATAN2(G449,H449),$M$4)</f>
        <v>1.23700381784897</v>
      </c>
      <c r="N449" s="417" t="n">
        <f aca="false">DEGREES(Beta)</f>
        <v>70.8750980043158</v>
      </c>
      <c r="O449" s="401"/>
      <c r="P449" s="420" t="n">
        <f aca="false">MATCH(t-pas/2-T_ini,CdP_t)</f>
        <v>23</v>
      </c>
      <c r="Q449" s="417" t="n">
        <f aca="false">(INDEX(CdP,2,i_P+1)-INDEX(CdP,2,i_P+0))/(INDEX(CdP,1,i_P+1)-INDEX(CdP,1,i_P+0))*(t-pas/2-T_ini-INDEX(CdP,1,i_P+0))+INDEX(CdP,2,i_P+0)</f>
        <v>0</v>
      </c>
      <c r="R449" s="418" t="n">
        <f aca="false">Poussee/(g*ISP)</f>
        <v>0</v>
      </c>
      <c r="S449" s="419" t="n">
        <f aca="false">S448-Débit*pas</f>
        <v>7.37799999999998</v>
      </c>
      <c r="T449" s="417" t="n">
        <f aca="false">m*g</f>
        <v>72.3781799999998</v>
      </c>
      <c r="U449" s="421" t="n">
        <f aca="false">IF(pos_xz&lt;L_rampe,Poids*COS(Beta),0)</f>
        <v>0</v>
      </c>
      <c r="V449" s="418" t="n">
        <f aca="false">Rho_moyen*(20000-Alt_rampe-pos_z)/(20000+Alt_rampe+pos_z)</f>
        <v>1.09668105742915</v>
      </c>
      <c r="W449" s="417" t="n">
        <f aca="false">1/2*Rho*Sref*Cx*vit_xz^2</f>
        <v>32.5066702669836</v>
      </c>
      <c r="X449" s="401"/>
      <c r="Y449" s="422" t="str">
        <f aca="false">IF(AND(pos_z&lt;=0,K448&gt;0),"Impact balistique","") &amp; IF(AND(H450&lt;0,vit_z&gt;=0),"Apogée","") &amp; IF(AND(Poussee=0,Q448&gt;0),"Fin de propulsion","") &amp; IF(AND(L450&gt;L_rampe,pos_xz&lt;=L_rampe),"Sortie de rampe","")</f>
        <v/>
      </c>
      <c r="Z449" s="423" t="str">
        <f aca="false">IF(ABS(t-T_para)&lt;pas/2,"Para","")</f>
        <v/>
      </c>
      <c r="AA449" s="424" t="str">
        <f aca="false">IF(ABS(t-T_satellite)&lt;pas/2,"Satellite","")</f>
        <v/>
      </c>
      <c r="AB449" s="412"/>
      <c r="AC449" s="420" t="e">
        <f aca="false">IF(ABS(t-ROUND(t,0))&lt;0.001,t,NA())</f>
        <v>#N/A</v>
      </c>
      <c r="AD449" s="425" t="e">
        <f aca="false">IF(ABS(t-ROUND(t,0))&lt;0.001,pos_x,NA())</f>
        <v>#N/A</v>
      </c>
      <c r="AE449" s="426" t="e">
        <f aca="false">IF(t&lt;T_para, pos_z, NA())</f>
        <v>#N/A</v>
      </c>
      <c r="AF449" s="412"/>
      <c r="AG449" s="418" t="n">
        <f aca="false">IF(AND(L448&lt;L_rampe,Poussee&lt;Poids*SIN(M448)),0,(-W448+Poussee)/m-Poids*SIN(M448)/m)</f>
        <v>-13.8138735122319</v>
      </c>
      <c r="AH449" s="417" t="n">
        <f aca="false">IF(AND(L448&lt;L_rampe,Poussee&lt;Poids*SIN(M448)), g*SIN(M448), (-W448+Poussee)/m)</f>
        <v>-4.53494649202367</v>
      </c>
    </row>
    <row r="450" customFormat="false" ht="12" hidden="false" customHeight="false" outlineLevel="0" collapsed="false">
      <c r="A450" s="416" t="n">
        <f aca="false">IF(B449+0.01&lt;=T_ini+ROUNDUP(Temps_fin_propu,0), 0.01, IF(K449&gt;0, 0.1, 0.0001))</f>
        <v>0.1</v>
      </c>
      <c r="B450" s="417" t="n">
        <f aca="false">B449+pas</f>
        <v>8.59999999999994</v>
      </c>
      <c r="C450" s="401"/>
      <c r="D450" s="418" t="n">
        <f aca="false">IF(AND(L449&lt;L_rampe,Poussee&lt;Poids*SIN(M449)),0,(-W449+Poussee)/m*COS(M449)-U449/m*SIN(M449))</f>
        <v>-1.44349602640849</v>
      </c>
      <c r="E450" s="419" t="n">
        <f aca="false">IF(AND(L449&lt;L_rampe,Poussee&lt;Poids*SIN(M449)),0,(-W449+Poussee)/m*SIN(M449)+U449/m*COS(M449)-Poids/m)</f>
        <v>-13.9727157543771</v>
      </c>
      <c r="F450" s="417" t="n">
        <f aca="false">SQRT(acc_x^2+acc_z^2)</f>
        <v>14.0470803489862</v>
      </c>
      <c r="G450" s="418" t="n">
        <f aca="false">G449+acc_x*pas</f>
        <v>32.0226070236423</v>
      </c>
      <c r="H450" s="419" t="n">
        <f aca="false">H449+acc_z*pas</f>
        <v>91.3649492196901</v>
      </c>
      <c r="I450" s="417" t="n">
        <f aca="false">SQRT(vit_x^2+vit_z^2)</f>
        <v>96.814261896206</v>
      </c>
      <c r="J450" s="418" t="n">
        <f aca="false">J449+0.5*(vit_x+G449)*pas*(K449&gt;=0)</f>
        <v>284.60183590583</v>
      </c>
      <c r="K450" s="419" t="n">
        <f aca="false">K449+0.5*(vit_z+H449)*pas</f>
        <v>1114.60317569265</v>
      </c>
      <c r="L450" s="417" t="n">
        <f aca="false">SQRT(pos_x^2+pos_z^2)</f>
        <v>1150.36448322482</v>
      </c>
      <c r="M450" s="418" t="n">
        <f aca="false">IF(AND(L449&gt;L_rampe,G450&gt;0),ATAN2(G450,H450),$M$4)</f>
        <v>1.23368401553017</v>
      </c>
      <c r="N450" s="417" t="n">
        <f aca="false">DEGREES(Beta)</f>
        <v>70.6848873426304</v>
      </c>
      <c r="O450" s="401"/>
      <c r="P450" s="420" t="n">
        <f aca="false">MATCH(t-pas/2-T_ini,CdP_t)</f>
        <v>23</v>
      </c>
      <c r="Q450" s="417" t="n">
        <f aca="false">(INDEX(CdP,2,i_P+1)-INDEX(CdP,2,i_P+0))/(INDEX(CdP,1,i_P+1)-INDEX(CdP,1,i_P+0))*(t-pas/2-T_ini-INDEX(CdP,1,i_P+0))+INDEX(CdP,2,i_P+0)</f>
        <v>0</v>
      </c>
      <c r="R450" s="418" t="n">
        <f aca="false">Poussee/(g*ISP)</f>
        <v>0</v>
      </c>
      <c r="S450" s="419" t="n">
        <f aca="false">S449-Débit*pas</f>
        <v>7.37799999999998</v>
      </c>
      <c r="T450" s="417" t="n">
        <f aca="false">m*g</f>
        <v>72.3781799999998</v>
      </c>
      <c r="U450" s="421" t="n">
        <f aca="false">IF(pos_xz&lt;L_rampe,Poids*COS(Beta),0)</f>
        <v>0</v>
      </c>
      <c r="V450" s="418" t="n">
        <f aca="false">Rho_moyen*(20000-Alt_rampe-pos_z)/(20000+Alt_rampe+pos_z)</f>
        <v>1.0956687614385</v>
      </c>
      <c r="W450" s="417" t="n">
        <f aca="false">1/2*Rho*Sref*Cx*vit_xz^2</f>
        <v>31.5786579691198</v>
      </c>
      <c r="X450" s="401"/>
      <c r="Y450" s="422" t="str">
        <f aca="false">IF(AND(pos_z&lt;=0,K449&gt;0),"Impact balistique","") &amp; IF(AND(H451&lt;0,vit_z&gt;=0),"Apogée","") &amp; IF(AND(Poussee=0,Q449&gt;0),"Fin de propulsion","") &amp; IF(AND(L451&gt;L_rampe,pos_xz&lt;=L_rampe),"Sortie de rampe","")</f>
        <v/>
      </c>
      <c r="Z450" s="423" t="str">
        <f aca="false">IF(ABS(t-T_para)&lt;pas/2,"Para","")</f>
        <v/>
      </c>
      <c r="AA450" s="424" t="str">
        <f aca="false">IF(ABS(t-T_satellite)&lt;pas/2,"Satellite","")</f>
        <v/>
      </c>
      <c r="AB450" s="412"/>
      <c r="AC450" s="420" t="e">
        <f aca="false">IF(ABS(t-ROUND(t,0))&lt;0.001,t,NA())</f>
        <v>#N/A</v>
      </c>
      <c r="AD450" s="425" t="e">
        <f aca="false">IF(ABS(t-ROUND(t,0))&lt;0.001,pos_x,NA())</f>
        <v>#N/A</v>
      </c>
      <c r="AE450" s="426" t="e">
        <f aca="false">IF(t&lt;T_para, pos_z, NA())</f>
        <v>#N/A</v>
      </c>
      <c r="AF450" s="412"/>
      <c r="AG450" s="418" t="n">
        <f aca="false">IF(AND(L449&lt;L_rampe,Poussee&lt;Poids*SIN(M449)),0,(-W449+Poussee)/m-Poids*SIN(M449)/m)</f>
        <v>-13.6744446902498</v>
      </c>
      <c r="AH450" s="417" t="n">
        <f aca="false">IF(AND(L449&lt;L_rampe,Poussee&lt;Poids*SIN(M449)), g*SIN(M449), (-W449+Poussee)/m)</f>
        <v>-4.40589187679367</v>
      </c>
    </row>
    <row r="451" customFormat="false" ht="12" hidden="false" customHeight="false" outlineLevel="0" collapsed="false">
      <c r="A451" s="416" t="n">
        <f aca="false">IF(B450+0.01&lt;=T_ini+ROUNDUP(Temps_fin_propu,0), 0.01, IF(K450&gt;0, 0.1, 0.0001))</f>
        <v>0.1</v>
      </c>
      <c r="B451" s="417" t="n">
        <f aca="false">B450+pas</f>
        <v>8.69999999999994</v>
      </c>
      <c r="C451" s="401"/>
      <c r="D451" s="418" t="n">
        <f aca="false">IF(AND(L450&lt;L_rampe,Poussee&lt;Poids*SIN(M450)),0,(-W450+Poussee)/m*COS(M450)-U450/m*SIN(M450))</f>
        <v>-1.41570369482846</v>
      </c>
      <c r="E451" s="419" t="n">
        <f aca="false">IF(AND(L450&lt;L_rampe,Poussee&lt;Poids*SIN(M450)),0,(-W450+Poussee)/m*SIN(M450)+U450/m*COS(M450)-Poids/m)</f>
        <v>-13.8491994347192</v>
      </c>
      <c r="F451" s="417" t="n">
        <f aca="false">SQRT(acc_x^2+acc_z^2)</f>
        <v>13.9213699733243</v>
      </c>
      <c r="G451" s="418" t="n">
        <f aca="false">G450+acc_x*pas</f>
        <v>31.8810366541595</v>
      </c>
      <c r="H451" s="419" t="n">
        <f aca="false">H450+acc_z*pas</f>
        <v>89.9800292762182</v>
      </c>
      <c r="I451" s="417" t="n">
        <f aca="false">SQRT(vit_x^2+vit_z^2)</f>
        <v>95.4610190951937</v>
      </c>
      <c r="J451" s="418" t="n">
        <f aca="false">J450+0.5*(vit_x+G450)*pas*(K450&gt;=0)</f>
        <v>287.79701808972</v>
      </c>
      <c r="K451" s="419" t="n">
        <f aca="false">K450+0.5*(vit_z+H450)*pas</f>
        <v>1123.67042461744</v>
      </c>
      <c r="L451" s="417" t="n">
        <f aca="false">SQRT(pos_x^2+pos_z^2)</f>
        <v>1159.94066519856</v>
      </c>
      <c r="M451" s="418" t="n">
        <f aca="false">IF(AND(L450&gt;L_rampe,G451&gt;0),ATAN2(G451,H451),$M$4)</f>
        <v>1.23028493757961</v>
      </c>
      <c r="N451" s="417" t="n">
        <f aca="false">DEGREES(Beta)</f>
        <v>70.4901345218276</v>
      </c>
      <c r="O451" s="401"/>
      <c r="P451" s="420" t="n">
        <f aca="false">MATCH(t-pas/2-T_ini,CdP_t)</f>
        <v>23</v>
      </c>
      <c r="Q451" s="417" t="n">
        <f aca="false">(INDEX(CdP,2,i_P+1)-INDEX(CdP,2,i_P+0))/(INDEX(CdP,1,i_P+1)-INDEX(CdP,1,i_P+0))*(t-pas/2-T_ini-INDEX(CdP,1,i_P+0))+INDEX(CdP,2,i_P+0)</f>
        <v>0</v>
      </c>
      <c r="R451" s="418" t="n">
        <f aca="false">Poussee/(g*ISP)</f>
        <v>0</v>
      </c>
      <c r="S451" s="419" t="n">
        <f aca="false">S450-Débit*pas</f>
        <v>7.37799999999998</v>
      </c>
      <c r="T451" s="417" t="n">
        <f aca="false">m*g</f>
        <v>72.3781799999998</v>
      </c>
      <c r="U451" s="421" t="n">
        <f aca="false">IF(pos_xz&lt;L_rampe,Poids*COS(Beta),0)</f>
        <v>0</v>
      </c>
      <c r="V451" s="418" t="n">
        <f aca="false">Rho_moyen*(20000-Alt_rampe-pos_z)/(20000+Alt_rampe+pos_z)</f>
        <v>1.09467262388716</v>
      </c>
      <c r="W451" s="417" t="n">
        <f aca="false">1/2*Rho*Sref*Cx*vit_xz^2</f>
        <v>30.6741192818863</v>
      </c>
      <c r="X451" s="401"/>
      <c r="Y451" s="422" t="str">
        <f aca="false">IF(AND(pos_z&lt;=0,K450&gt;0),"Impact balistique","") &amp; IF(AND(H452&lt;0,vit_z&gt;=0),"Apogée","") &amp; IF(AND(Poussee=0,Q450&gt;0),"Fin de propulsion","") &amp; IF(AND(L452&gt;L_rampe,pos_xz&lt;=L_rampe),"Sortie de rampe","")</f>
        <v/>
      </c>
      <c r="Z451" s="423" t="str">
        <f aca="false">IF(ABS(t-T_para)&lt;pas/2,"Para","")</f>
        <v/>
      </c>
      <c r="AA451" s="424" t="str">
        <f aca="false">IF(ABS(t-T_satellite)&lt;pas/2,"Satellite","")</f>
        <v/>
      </c>
      <c r="AB451" s="412"/>
      <c r="AC451" s="420" t="e">
        <f aca="false">IF(ABS(t-ROUND(t,0))&lt;0.001,t,NA())</f>
        <v>#N/A</v>
      </c>
      <c r="AD451" s="425" t="e">
        <f aca="false">IF(ABS(t-ROUND(t,0))&lt;0.001,pos_x,NA())</f>
        <v>#N/A</v>
      </c>
      <c r="AE451" s="426" t="e">
        <f aca="false">IF(t&lt;T_para, pos_z, NA())</f>
        <v>#N/A</v>
      </c>
      <c r="AF451" s="412"/>
      <c r="AG451" s="418" t="n">
        <f aca="false">IF(AND(L450&lt;L_rampe,Poussee&lt;Poids*SIN(M450)),0,(-W450+Poussee)/m-Poids*SIN(M450)/m)</f>
        <v>-13.5379426594508</v>
      </c>
      <c r="AH451" s="417" t="n">
        <f aca="false">IF(AND(L450&lt;L_rampe,Poussee&lt;Poids*SIN(M450)), g*SIN(M450), (-W450+Poussee)/m)</f>
        <v>-4.28011086596907</v>
      </c>
    </row>
    <row r="452" customFormat="false" ht="12" hidden="false" customHeight="false" outlineLevel="0" collapsed="false">
      <c r="A452" s="416" t="n">
        <f aca="false">IF(B451+0.01&lt;=T_ini+ROUNDUP(Temps_fin_propu,0), 0.01, IF(K451&gt;0, 0.1, 0.0001))</f>
        <v>0.1</v>
      </c>
      <c r="B452" s="417" t="n">
        <f aca="false">B451+pas</f>
        <v>8.79999999999994</v>
      </c>
      <c r="C452" s="401"/>
      <c r="D452" s="418" t="n">
        <f aca="false">IF(AND(L451&lt;L_rampe,Poussee&lt;Poids*SIN(M451)),0,(-W451+Poussee)/m*COS(M451)-U451/m*SIN(M451))</f>
        <v>-1.38848061057787</v>
      </c>
      <c r="E452" s="419" t="n">
        <f aca="false">IF(AND(L451&lt;L_rampe,Poussee&lt;Poids*SIN(M451)),0,(-W451+Poussee)/m*SIN(M451)+U451/m*COS(M451)-Poids/m)</f>
        <v>-13.7288037498447</v>
      </c>
      <c r="F452" s="417" t="n">
        <f aca="false">SQRT(acc_x^2+acc_z^2)</f>
        <v>13.7988380238229</v>
      </c>
      <c r="G452" s="418" t="n">
        <f aca="false">G451+acc_x*pas</f>
        <v>31.7421885931017</v>
      </c>
      <c r="H452" s="419" t="n">
        <f aca="false">H451+acc_z*pas</f>
        <v>88.6071489012337</v>
      </c>
      <c r="I452" s="417" t="n">
        <f aca="false">SQRT(vit_x^2+vit_z^2)</f>
        <v>94.1211632582462</v>
      </c>
      <c r="J452" s="418" t="n">
        <f aca="false">J451+0.5*(vit_x+G451)*pas*(K451&gt;=0)</f>
        <v>290.978179352083</v>
      </c>
      <c r="K452" s="419" t="n">
        <f aca="false">K451+0.5*(vit_z+H451)*pas</f>
        <v>1132.59978352632</v>
      </c>
      <c r="L452" s="417" t="n">
        <f aca="false">SQRT(pos_x^2+pos_z^2)</f>
        <v>1169.38042163485</v>
      </c>
      <c r="M452" s="418" t="n">
        <f aca="false">IF(AND(L451&gt;L_rampe,G452&gt;0),ATAN2(G452,H452),$M$4)</f>
        <v>1.22680405826137</v>
      </c>
      <c r="N452" s="417" t="n">
        <f aca="false">DEGREES(Beta)</f>
        <v>70.2906948278982</v>
      </c>
      <c r="O452" s="401"/>
      <c r="P452" s="420" t="n">
        <f aca="false">MATCH(t-pas/2-T_ini,CdP_t)</f>
        <v>23</v>
      </c>
      <c r="Q452" s="417" t="n">
        <f aca="false">(INDEX(CdP,2,i_P+1)-INDEX(CdP,2,i_P+0))/(INDEX(CdP,1,i_P+1)-INDEX(CdP,1,i_P+0))*(t-pas/2-T_ini-INDEX(CdP,1,i_P+0))+INDEX(CdP,2,i_P+0)</f>
        <v>0</v>
      </c>
      <c r="R452" s="418" t="n">
        <f aca="false">Poussee/(g*ISP)</f>
        <v>0</v>
      </c>
      <c r="S452" s="419" t="n">
        <f aca="false">S451-Débit*pas</f>
        <v>7.37799999999998</v>
      </c>
      <c r="T452" s="417" t="n">
        <f aca="false">m*g</f>
        <v>72.3781799999998</v>
      </c>
      <c r="U452" s="421" t="n">
        <f aca="false">IF(pos_xz&lt;L_rampe,Poids*COS(Beta),0)</f>
        <v>0</v>
      </c>
      <c r="V452" s="418" t="n">
        <f aca="false">Rho_moyen*(20000-Alt_rampe-pos_z)/(20000+Alt_rampe+pos_z)</f>
        <v>1.09369247049279</v>
      </c>
      <c r="W452" s="417" t="n">
        <f aca="false">1/2*Rho*Sref*Cx*vit_xz^2</f>
        <v>29.7924011123026</v>
      </c>
      <c r="X452" s="401"/>
      <c r="Y452" s="422" t="str">
        <f aca="false">IF(AND(pos_z&lt;=0,K451&gt;0),"Impact balistique","") &amp; IF(AND(H453&lt;0,vit_z&gt;=0),"Apogée","") &amp; IF(AND(Poussee=0,Q451&gt;0),"Fin de propulsion","") &amp; IF(AND(L453&gt;L_rampe,pos_xz&lt;=L_rampe),"Sortie de rampe","")</f>
        <v/>
      </c>
      <c r="Z452" s="423" t="str">
        <f aca="false">IF(ABS(t-T_para)&lt;pas/2,"Para","")</f>
        <v/>
      </c>
      <c r="AA452" s="424" t="str">
        <f aca="false">IF(ABS(t-T_satellite)&lt;pas/2,"Satellite","")</f>
        <v/>
      </c>
      <c r="AB452" s="412"/>
      <c r="AC452" s="420" t="e">
        <f aca="false">IF(ABS(t-ROUND(t,0))&lt;0.001,t,NA())</f>
        <v>#N/A</v>
      </c>
      <c r="AD452" s="425" t="e">
        <f aca="false">IF(ABS(t-ROUND(t,0))&lt;0.001,pos_x,NA())</f>
        <v>#N/A</v>
      </c>
      <c r="AE452" s="426" t="e">
        <f aca="false">IF(t&lt;T_para, pos_z, NA())</f>
        <v>#N/A</v>
      </c>
      <c r="AF452" s="412"/>
      <c r="AG452" s="418" t="n">
        <f aca="false">IF(AND(L451&lt;L_rampe,Poussee&lt;Poids*SIN(M451)),0,(-W451+Poussee)/m-Poids*SIN(M451)/m)</f>
        <v>-13.4042604688926</v>
      </c>
      <c r="AH452" s="417" t="n">
        <f aca="false">IF(AND(L451&lt;L_rampe,Poussee&lt;Poids*SIN(M451)), g*SIN(M451), (-W451+Poussee)/m)</f>
        <v>-4.15751142340558</v>
      </c>
    </row>
    <row r="453" customFormat="false" ht="12" hidden="false" customHeight="false" outlineLevel="0" collapsed="false">
      <c r="A453" s="416" t="n">
        <f aca="false">IF(B452+0.01&lt;=T_ini+ROUNDUP(Temps_fin_propu,0), 0.01, IF(K452&gt;0, 0.1, 0.0001))</f>
        <v>0.1</v>
      </c>
      <c r="B453" s="417" t="n">
        <f aca="false">B452+pas</f>
        <v>8.89999999999994</v>
      </c>
      <c r="C453" s="401"/>
      <c r="D453" s="418" t="n">
        <f aca="false">IF(AND(L452&lt;L_rampe,Poussee&lt;Poids*SIN(M452)),0,(-W452+Poussee)/m*COS(M452)-U452/m*SIN(M452))</f>
        <v>-1.36180974362389</v>
      </c>
      <c r="E453" s="419" t="n">
        <f aca="false">IF(AND(L452&lt;L_rampe,Poussee&lt;Poids*SIN(M452)),0,(-W452+Poussee)/m*SIN(M452)+U452/m*COS(M452)-Poids/m)</f>
        <v>-13.6114416798802</v>
      </c>
      <c r="F453" s="417" t="n">
        <f aca="false">SQRT(acc_x^2+acc_z^2)</f>
        <v>13.6793958339763</v>
      </c>
      <c r="G453" s="418" t="n">
        <f aca="false">G452+acc_x*pas</f>
        <v>31.6060076187393</v>
      </c>
      <c r="H453" s="419" t="n">
        <f aca="false">H452+acc_z*pas</f>
        <v>87.2460047332457</v>
      </c>
      <c r="I453" s="417" t="n">
        <f aca="false">SQRT(vit_x^2+vit_z^2)</f>
        <v>92.7944236444698</v>
      </c>
      <c r="J453" s="418" t="n">
        <f aca="false">J452+0.5*(vit_x+G452)*pas*(K452&gt;=0)</f>
        <v>294.145589162675</v>
      </c>
      <c r="K453" s="419" t="n">
        <f aca="false">K452+0.5*(vit_z+H452)*pas</f>
        <v>1141.39244120804</v>
      </c>
      <c r="L453" s="417" t="n">
        <f aca="false">SQRT(pos_x^2+pos_z^2)</f>
        <v>1178.68500137683</v>
      </c>
      <c r="M453" s="418" t="n">
        <f aca="false">IF(AND(L452&gt;L_rampe,G453&gt;0),ATAN2(G453,H453),$M$4)</f>
        <v>1.22323874552678</v>
      </c>
      <c r="N453" s="417" t="n">
        <f aca="false">DEGREES(Beta)</f>
        <v>70.086417455562</v>
      </c>
      <c r="O453" s="401"/>
      <c r="P453" s="420" t="n">
        <f aca="false">MATCH(t-pas/2-T_ini,CdP_t)</f>
        <v>23</v>
      </c>
      <c r="Q453" s="417" t="n">
        <f aca="false">(INDEX(CdP,2,i_P+1)-INDEX(CdP,2,i_P+0))/(INDEX(CdP,1,i_P+1)-INDEX(CdP,1,i_P+0))*(t-pas/2-T_ini-INDEX(CdP,1,i_P+0))+INDEX(CdP,2,i_P+0)</f>
        <v>0</v>
      </c>
      <c r="R453" s="418" t="n">
        <f aca="false">Poussee/(g*ISP)</f>
        <v>0</v>
      </c>
      <c r="S453" s="419" t="n">
        <f aca="false">S452-Débit*pas</f>
        <v>7.37799999999998</v>
      </c>
      <c r="T453" s="417" t="n">
        <f aca="false">m*g</f>
        <v>72.3781799999998</v>
      </c>
      <c r="U453" s="421" t="n">
        <f aca="false">IF(pos_xz&lt;L_rampe,Poids*COS(Beta),0)</f>
        <v>0</v>
      </c>
      <c r="V453" s="418" t="n">
        <f aca="false">Rho_moyen*(20000-Alt_rampe-pos_z)/(20000+Alt_rampe+pos_z)</f>
        <v>1.09272813149672</v>
      </c>
      <c r="W453" s="417" t="n">
        <f aca="false">1/2*Rho*Sref*Cx*vit_xz^2</f>
        <v>28.9328751712827</v>
      </c>
      <c r="X453" s="401"/>
      <c r="Y453" s="422" t="str">
        <f aca="false">IF(AND(pos_z&lt;=0,K452&gt;0),"Impact balistique","") &amp; IF(AND(H454&lt;0,vit_z&gt;=0),"Apogée","") &amp; IF(AND(Poussee=0,Q452&gt;0),"Fin de propulsion","") &amp; IF(AND(L454&gt;L_rampe,pos_xz&lt;=L_rampe),"Sortie de rampe","")</f>
        <v/>
      </c>
      <c r="Z453" s="423" t="str">
        <f aca="false">IF(ABS(t-T_para)&lt;pas/2,"Para","")</f>
        <v/>
      </c>
      <c r="AA453" s="424" t="str">
        <f aca="false">IF(ABS(t-T_satellite)&lt;pas/2,"Satellite","")</f>
        <v/>
      </c>
      <c r="AB453" s="412"/>
      <c r="AC453" s="420" t="e">
        <f aca="false">IF(ABS(t-ROUND(t,0))&lt;0.001,t,NA())</f>
        <v>#N/A</v>
      </c>
      <c r="AD453" s="425" t="e">
        <f aca="false">IF(ABS(t-ROUND(t,0))&lt;0.001,pos_x,NA())</f>
        <v>#N/A</v>
      </c>
      <c r="AE453" s="426" t="e">
        <f aca="false">IF(t&lt;T_para, pos_z, NA())</f>
        <v>#N/A</v>
      </c>
      <c r="AF453" s="412"/>
      <c r="AG453" s="418" t="n">
        <f aca="false">IF(AND(L452&lt;L_rampe,Poussee&lt;Poids*SIN(M452)),0,(-W452+Poussee)/m-Poids*SIN(M452)/m)</f>
        <v>-13.2732938921702</v>
      </c>
      <c r="AH453" s="417" t="n">
        <f aca="false">IF(AND(L452&lt;L_rampe,Poussee&lt;Poids*SIN(M452)), g*SIN(M452), (-W452+Poussee)/m)</f>
        <v>-4.03800503013048</v>
      </c>
    </row>
    <row r="454" customFormat="false" ht="12" hidden="false" customHeight="false" outlineLevel="0" collapsed="false">
      <c r="A454" s="416" t="n">
        <f aca="false">IF(B453+0.01&lt;=T_ini+ROUNDUP(Temps_fin_propu,0), 0.01, IF(K453&gt;0, 0.1, 0.0001))</f>
        <v>0.1</v>
      </c>
      <c r="B454" s="417" t="n">
        <f aca="false">B453+pas</f>
        <v>8.99999999999994</v>
      </c>
      <c r="C454" s="401"/>
      <c r="D454" s="418" t="n">
        <f aca="false">IF(AND(L453&lt;L_rampe,Poussee&lt;Poids*SIN(M453)),0,(-W453+Poussee)/m*COS(M453)-U453/m*SIN(M453))</f>
        <v>-1.33567471369569</v>
      </c>
      <c r="E454" s="419" t="n">
        <f aca="false">IF(AND(L453&lt;L_rampe,Poussee&lt;Poids*SIN(M453)),0,(-W453+Poussee)/m*SIN(M453)+U453/m*COS(M453)-Poids/m)</f>
        <v>-13.4970294976477</v>
      </c>
      <c r="F454" s="417" t="n">
        <f aca="false">SQRT(acc_x^2+acc_z^2)</f>
        <v>13.5629580918463</v>
      </c>
      <c r="G454" s="418" t="n">
        <f aca="false">G453+acc_x*pas</f>
        <v>31.4724401473697</v>
      </c>
      <c r="H454" s="419" t="n">
        <f aca="false">H453+acc_z*pas</f>
        <v>85.8963017834809</v>
      </c>
      <c r="I454" s="417" t="n">
        <f aca="false">SQRT(vit_x^2+vit_z^2)</f>
        <v>91.4805397279038</v>
      </c>
      <c r="J454" s="418" t="n">
        <f aca="false">J453+0.5*(vit_x+G453)*pas*(K453&gt;=0)</f>
        <v>297.299511550981</v>
      </c>
      <c r="K454" s="419" t="n">
        <f aca="false">K453+0.5*(vit_z+H453)*pas</f>
        <v>1150.04955653388</v>
      </c>
      <c r="L454" s="417" t="n">
        <f aca="false">SQRT(pos_x^2+pos_z^2)</f>
        <v>1187.85562340388</v>
      </c>
      <c r="M454" s="418" t="n">
        <f aca="false">IF(AND(L453&gt;L_rampe,G454&gt;0),ATAN2(G454,H454),$M$4)</f>
        <v>1.21958625568667</v>
      </c>
      <c r="N454" s="417" t="n">
        <f aca="false">DEGREES(Beta)</f>
        <v>69.8771452030093</v>
      </c>
      <c r="O454" s="401"/>
      <c r="P454" s="420" t="n">
        <f aca="false">MATCH(t-pas/2-T_ini,CdP_t)</f>
        <v>23</v>
      </c>
      <c r="Q454" s="417" t="n">
        <f aca="false">(INDEX(CdP,2,i_P+1)-INDEX(CdP,2,i_P+0))/(INDEX(CdP,1,i_P+1)-INDEX(CdP,1,i_P+0))*(t-pas/2-T_ini-INDEX(CdP,1,i_P+0))+INDEX(CdP,2,i_P+0)</f>
        <v>0</v>
      </c>
      <c r="R454" s="418" t="n">
        <f aca="false">Poussee/(g*ISP)</f>
        <v>0</v>
      </c>
      <c r="S454" s="419" t="n">
        <f aca="false">S453-Débit*pas</f>
        <v>7.37799999999998</v>
      </c>
      <c r="T454" s="417" t="n">
        <f aca="false">m*g</f>
        <v>72.3781799999998</v>
      </c>
      <c r="U454" s="421" t="n">
        <f aca="false">IF(pos_xz&lt;L_rampe,Poids*COS(Beta),0)</f>
        <v>0</v>
      </c>
      <c r="V454" s="418" t="n">
        <f aca="false">Rho_moyen*(20000-Alt_rampe-pos_z)/(20000+Alt_rampe+pos_z)</f>
        <v>1.09177944153386</v>
      </c>
      <c r="W454" s="417" t="n">
        <f aca="false">1/2*Rho*Sref*Cx*vit_xz^2</f>
        <v>28.0949368875677</v>
      </c>
      <c r="X454" s="401"/>
      <c r="Y454" s="422" t="str">
        <f aca="false">IF(AND(pos_z&lt;=0,K453&gt;0),"Impact balistique","") &amp; IF(AND(H455&lt;0,vit_z&gt;=0),"Apogée","") &amp; IF(AND(Poussee=0,Q453&gt;0),"Fin de propulsion","") &amp; IF(AND(L455&gt;L_rampe,pos_xz&lt;=L_rampe),"Sortie de rampe","")</f>
        <v/>
      </c>
      <c r="Z454" s="423" t="str">
        <f aca="false">IF(ABS(t-T_para)&lt;pas/2,"Para","")</f>
        <v/>
      </c>
      <c r="AA454" s="424" t="str">
        <f aca="false">IF(ABS(t-T_satellite)&lt;pas/2,"Satellite","")</f>
        <v/>
      </c>
      <c r="AB454" s="412"/>
      <c r="AC454" s="420" t="n">
        <f aca="false">IF(ABS(t-ROUND(t,0))&lt;0.001,t,NA())</f>
        <v>8.99999999999994</v>
      </c>
      <c r="AD454" s="425" t="n">
        <f aca="false">IF(ABS(t-ROUND(t,0))&lt;0.001,pos_x,NA())</f>
        <v>297.299511550981</v>
      </c>
      <c r="AE454" s="426" t="e">
        <f aca="false">IF(t&lt;T_para, pos_z, NA())</f>
        <v>#N/A</v>
      </c>
      <c r="AF454" s="412"/>
      <c r="AG454" s="418" t="n">
        <f aca="false">IF(AND(L453&lt;L_rampe,Poussee&lt;Poids*SIN(M453)),0,(-W453+Poussee)/m-Poids*SIN(M453)/m)</f>
        <v>-13.1449412228388</v>
      </c>
      <c r="AH454" s="417" t="n">
        <f aca="false">IF(AND(L453&lt;L_rampe,Poussee&lt;Poids*SIN(M453)), g*SIN(M453), (-W453+Poussee)/m)</f>
        <v>-3.92150652904347</v>
      </c>
    </row>
    <row r="455" customFormat="false" ht="12" hidden="false" customHeight="false" outlineLevel="0" collapsed="false">
      <c r="A455" s="416" t="n">
        <f aca="false">IF(B454+0.01&lt;=T_ini+ROUNDUP(Temps_fin_propu,0), 0.01, IF(K454&gt;0, 0.1, 0.0001))</f>
        <v>0.1</v>
      </c>
      <c r="B455" s="417" t="n">
        <f aca="false">B454+pas</f>
        <v>9.09999999999994</v>
      </c>
      <c r="C455" s="401"/>
      <c r="D455" s="418" t="n">
        <f aca="false">IF(AND(L454&lt;L_rampe,Poussee&lt;Poids*SIN(M454)),0,(-W454+Poussee)/m*COS(M454)-U454/m*SIN(M454))</f>
        <v>-1.31005976304005</v>
      </c>
      <c r="E455" s="419" t="n">
        <f aca="false">IF(AND(L454&lt;L_rampe,Poussee&lt;Poids*SIN(M454)),0,(-W454+Poussee)/m*SIN(M454)+U454/m*COS(M454)-Poids/m)</f>
        <v>-13.385486623648</v>
      </c>
      <c r="F455" s="417" t="n">
        <f aca="false">SQRT(acc_x^2+acc_z^2)</f>
        <v>13.4494426923422</v>
      </c>
      <c r="G455" s="418" t="n">
        <f aca="false">G454+acc_x*pas</f>
        <v>31.3414341710657</v>
      </c>
      <c r="H455" s="419" t="n">
        <f aca="false">H454+acc_z*pas</f>
        <v>84.5577531211161</v>
      </c>
      <c r="I455" s="417" t="n">
        <f aca="false">SQRT(vit_x^2+vit_z^2)</f>
        <v>90.1792609683117</v>
      </c>
      <c r="J455" s="418" t="n">
        <f aca="false">J454+0.5*(vit_x+G454)*pas*(K454&gt;=0)</f>
        <v>300.440205266902</v>
      </c>
      <c r="K455" s="419" t="n">
        <f aca="false">K454+0.5*(vit_z+H454)*pas</f>
        <v>1158.57225927911</v>
      </c>
      <c r="L455" s="417" t="n">
        <f aca="false">SQRT(pos_x^2+pos_z^2)</f>
        <v>1196.89347767958</v>
      </c>
      <c r="M455" s="418" t="n">
        <f aca="false">IF(AND(L454&gt;L_rampe,G455&gt;0),ATAN2(G455,H455),$M$4)</f>
        <v>1.21584372778021</v>
      </c>
      <c r="N455" s="417" t="n">
        <f aca="false">DEGREES(Beta)</f>
        <v>69.6627141492592</v>
      </c>
      <c r="O455" s="401"/>
      <c r="P455" s="420" t="n">
        <f aca="false">MATCH(t-pas/2-T_ini,CdP_t)</f>
        <v>23</v>
      </c>
      <c r="Q455" s="417" t="n">
        <f aca="false">(INDEX(CdP,2,i_P+1)-INDEX(CdP,2,i_P+0))/(INDEX(CdP,1,i_P+1)-INDEX(CdP,1,i_P+0))*(t-pas/2-T_ini-INDEX(CdP,1,i_P+0))+INDEX(CdP,2,i_P+0)</f>
        <v>0</v>
      </c>
      <c r="R455" s="418" t="n">
        <f aca="false">Poussee/(g*ISP)</f>
        <v>0</v>
      </c>
      <c r="S455" s="419" t="n">
        <f aca="false">S454-Débit*pas</f>
        <v>7.37799999999998</v>
      </c>
      <c r="T455" s="417" t="n">
        <f aca="false">m*g</f>
        <v>72.3781799999998</v>
      </c>
      <c r="U455" s="421" t="n">
        <f aca="false">IF(pos_xz&lt;L_rampe,Poids*COS(Beta),0)</f>
        <v>0</v>
      </c>
      <c r="V455" s="418" t="n">
        <f aca="false">Rho_moyen*(20000-Alt_rampe-pos_z)/(20000+Alt_rampe+pos_z)</f>
        <v>1.09084623950754</v>
      </c>
      <c r="W455" s="417" t="n">
        <f aca="false">1/2*Rho*Sref*Cx*vit_xz^2</f>
        <v>27.2780043778684</v>
      </c>
      <c r="X455" s="401"/>
      <c r="Y455" s="422" t="str">
        <f aca="false">IF(AND(pos_z&lt;=0,K454&gt;0),"Impact balistique","") &amp; IF(AND(H456&lt;0,vit_z&gt;=0),"Apogée","") &amp; IF(AND(Poussee=0,Q454&gt;0),"Fin de propulsion","") &amp; IF(AND(L456&gt;L_rampe,pos_xz&lt;=L_rampe),"Sortie de rampe","")</f>
        <v/>
      </c>
      <c r="Z455" s="423" t="str">
        <f aca="false">IF(ABS(t-T_para)&lt;pas/2,"Para","")</f>
        <v/>
      </c>
      <c r="AA455" s="424" t="str">
        <f aca="false">IF(ABS(t-T_satellite)&lt;pas/2,"Satellite","")</f>
        <v/>
      </c>
      <c r="AB455" s="412"/>
      <c r="AC455" s="420" t="e">
        <f aca="false">IF(ABS(t-ROUND(t,0))&lt;0.001,t,NA())</f>
        <v>#N/A</v>
      </c>
      <c r="AD455" s="425" t="e">
        <f aca="false">IF(ABS(t-ROUND(t,0))&lt;0.001,pos_x,NA())</f>
        <v>#N/A</v>
      </c>
      <c r="AE455" s="426" t="e">
        <f aca="false">IF(t&lt;T_para, pos_z, NA())</f>
        <v>#N/A</v>
      </c>
      <c r="AF455" s="412"/>
      <c r="AG455" s="418" t="n">
        <f aca="false">IF(AND(L454&lt;L_rampe,Poussee&lt;Poids*SIN(M454)),0,(-W454+Poussee)/m-Poids*SIN(M454)/m)</f>
        <v>-13.0191030744661</v>
      </c>
      <c r="AH455" s="417" t="n">
        <f aca="false">IF(AND(L454&lt;L_rampe,Poussee&lt;Poids*SIN(M454)), g*SIN(M454), (-W454+Poussee)/m)</f>
        <v>-3.80793397771317</v>
      </c>
    </row>
    <row r="456" customFormat="false" ht="12" hidden="false" customHeight="false" outlineLevel="0" collapsed="false">
      <c r="A456" s="416" t="n">
        <f aca="false">IF(B455+0.01&lt;=T_ini+ROUNDUP(Temps_fin_propu,0), 0.01, IF(K455&gt;0, 0.1, 0.0001))</f>
        <v>0.1</v>
      </c>
      <c r="B456" s="417" t="n">
        <f aca="false">B455+pas</f>
        <v>9.19999999999994</v>
      </c>
      <c r="C456" s="401"/>
      <c r="D456" s="418" t="n">
        <f aca="false">IF(AND(L455&lt;L_rampe,Poussee&lt;Poids*SIN(M455)),0,(-W455+Poussee)/m*COS(M455)-U455/m*SIN(M455))</f>
        <v>-1.28494973068953</v>
      </c>
      <c r="E456" s="419" t="n">
        <f aca="false">IF(AND(L455&lt;L_rampe,Poussee&lt;Poids*SIN(M455)),0,(-W455+Poussee)/m*SIN(M455)+U455/m*COS(M455)-Poids/m)</f>
        <v>-13.2767354884799</v>
      </c>
      <c r="F456" s="417" t="n">
        <f aca="false">SQRT(acc_x^2+acc_z^2)</f>
        <v>13.3387705970776</v>
      </c>
      <c r="G456" s="418" t="n">
        <f aca="false">G455+acc_x*pas</f>
        <v>31.2129391979968</v>
      </c>
      <c r="H456" s="419" t="n">
        <f aca="false">H455+acc_z*pas</f>
        <v>83.2300795722681</v>
      </c>
      <c r="I456" s="417" t="n">
        <f aca="false">SQRT(vit_x^2+vit_z^2)</f>
        <v>88.8903466017763</v>
      </c>
      <c r="J456" s="418" t="n">
        <f aca="false">J455+0.5*(vit_x+G455)*pas*(K455&gt;=0)</f>
        <v>303.567923935356</v>
      </c>
      <c r="K456" s="419" t="n">
        <f aca="false">K455+0.5*(vit_z+H455)*pas</f>
        <v>1166.96165091378</v>
      </c>
      <c r="L456" s="417" t="n">
        <f aca="false">SQRT(pos_x^2+pos_z^2)</f>
        <v>1205.79972596855</v>
      </c>
      <c r="M456" s="418" t="n">
        <f aca="false">IF(AND(L455&gt;L_rampe,G456&gt;0),ATAN2(G456,H456),$M$4)</f>
        <v>1.21200817762204</v>
      </c>
      <c r="N456" s="417" t="n">
        <f aca="false">DEGREES(Beta)</f>
        <v>69.442953313085</v>
      </c>
      <c r="O456" s="401"/>
      <c r="P456" s="420" t="n">
        <f aca="false">MATCH(t-pas/2-T_ini,CdP_t)</f>
        <v>23</v>
      </c>
      <c r="Q456" s="417" t="n">
        <f aca="false">(INDEX(CdP,2,i_P+1)-INDEX(CdP,2,i_P+0))/(INDEX(CdP,1,i_P+1)-INDEX(CdP,1,i_P+0))*(t-pas/2-T_ini-INDEX(CdP,1,i_P+0))+INDEX(CdP,2,i_P+0)</f>
        <v>0</v>
      </c>
      <c r="R456" s="418" t="n">
        <f aca="false">Poussee/(g*ISP)</f>
        <v>0</v>
      </c>
      <c r="S456" s="419" t="n">
        <f aca="false">S455-Débit*pas</f>
        <v>7.37799999999998</v>
      </c>
      <c r="T456" s="417" t="n">
        <f aca="false">m*g</f>
        <v>72.3781799999998</v>
      </c>
      <c r="U456" s="421" t="n">
        <f aca="false">IF(pos_xz&lt;L_rampe,Poids*COS(Beta),0)</f>
        <v>0</v>
      </c>
      <c r="V456" s="418" t="n">
        <f aca="false">Rho_moyen*(20000-Alt_rampe-pos_z)/(20000+Alt_rampe+pos_z)</f>
        <v>1.0899283684692</v>
      </c>
      <c r="W456" s="417" t="n">
        <f aca="false">1/2*Rho*Sref*Cx*vit_xz^2</f>
        <v>26.4815174699289</v>
      </c>
      <c r="X456" s="401"/>
      <c r="Y456" s="422" t="str">
        <f aca="false">IF(AND(pos_z&lt;=0,K455&gt;0),"Impact balistique","") &amp; IF(AND(H457&lt;0,vit_z&gt;=0),"Apogée","") &amp; IF(AND(Poussee=0,Q455&gt;0),"Fin de propulsion","") &amp; IF(AND(L457&gt;L_rampe,pos_xz&lt;=L_rampe),"Sortie de rampe","")</f>
        <v/>
      </c>
      <c r="Z456" s="423" t="str">
        <f aca="false">IF(ABS(t-T_para)&lt;pas/2,"Para","")</f>
        <v/>
      </c>
      <c r="AA456" s="424" t="str">
        <f aca="false">IF(ABS(t-T_satellite)&lt;pas/2,"Satellite","")</f>
        <v/>
      </c>
      <c r="AB456" s="412"/>
      <c r="AC456" s="420" t="e">
        <f aca="false">IF(ABS(t-ROUND(t,0))&lt;0.001,t,NA())</f>
        <v>#N/A</v>
      </c>
      <c r="AD456" s="425" t="e">
        <f aca="false">IF(ABS(t-ROUND(t,0))&lt;0.001,pos_x,NA())</f>
        <v>#N/A</v>
      </c>
      <c r="AE456" s="426" t="e">
        <f aca="false">IF(t&lt;T_para, pos_z, NA())</f>
        <v>#N/A</v>
      </c>
      <c r="AF456" s="412"/>
      <c r="AG456" s="418" t="n">
        <f aca="false">IF(AND(L455&lt;L_rampe,Poussee&lt;Poids*SIN(M455)),0,(-W455+Poussee)/m-Poids*SIN(M455)/m)</f>
        <v>-12.8956821845704</v>
      </c>
      <c r="AH456" s="417" t="n">
        <f aca="false">IF(AND(L455&lt;L_rampe,Poussee&lt;Poids*SIN(M455)), g*SIN(M455), (-W455+Poussee)/m)</f>
        <v>-3.69720850879215</v>
      </c>
    </row>
    <row r="457" customFormat="false" ht="12" hidden="false" customHeight="false" outlineLevel="0" collapsed="false">
      <c r="A457" s="416" t="n">
        <f aca="false">IF(B456+0.01&lt;=T_ini+ROUNDUP(Temps_fin_propu,0), 0.01, IF(K456&gt;0, 0.1, 0.0001))</f>
        <v>0.1</v>
      </c>
      <c r="B457" s="417" t="n">
        <f aca="false">B456+pas</f>
        <v>9.29999999999994</v>
      </c>
      <c r="C457" s="401"/>
      <c r="D457" s="418" t="n">
        <f aca="false">IF(AND(L456&lt;L_rampe,Poussee&lt;Poids*SIN(M456)),0,(-W456+Poussee)/m*COS(M456)-U456/m*SIN(M456))</f>
        <v>-1.26033002816256</v>
      </c>
      <c r="E457" s="419" t="n">
        <f aca="false">IF(AND(L456&lt;L_rampe,Poussee&lt;Poids*SIN(M456)),0,(-W456+Poussee)/m*SIN(M456)+U456/m*COS(M456)-Poids/m)</f>
        <v>-13.1707014022576</v>
      </c>
      <c r="F457" s="417" t="n">
        <f aca="false">SQRT(acc_x^2+acc_z^2)</f>
        <v>13.230865701356</v>
      </c>
      <c r="G457" s="418" t="n">
        <f aca="false">G456+acc_x*pas</f>
        <v>31.0869061951805</v>
      </c>
      <c r="H457" s="419" t="n">
        <f aca="false">H456+acc_z*pas</f>
        <v>81.9130094320423</v>
      </c>
      <c r="I457" s="417" t="n">
        <f aca="false">SQRT(vit_x^2+vit_z^2)</f>
        <v>87.6135654508011</v>
      </c>
      <c r="J457" s="418" t="n">
        <f aca="false">J456+0.5*(vit_x+G456)*pas*(K456&gt;=0)</f>
        <v>306.682916205014</v>
      </c>
      <c r="K457" s="419" t="n">
        <f aca="false">K456+0.5*(vit_z+H456)*pas</f>
        <v>1175.21880536399</v>
      </c>
      <c r="L457" s="417" t="n">
        <f aca="false">SQRT(pos_x^2+pos_z^2)</f>
        <v>1214.57550262352</v>
      </c>
      <c r="M457" s="418" t="n">
        <f aca="false">IF(AND(L456&gt;L_rampe,G457&gt;0),ATAN2(G457,H457),$M$4)</f>
        <v>1.20807649150813</v>
      </c>
      <c r="N457" s="417" t="n">
        <f aca="false">DEGREES(Beta)</f>
        <v>69.2176842923878</v>
      </c>
      <c r="O457" s="401"/>
      <c r="P457" s="420" t="n">
        <f aca="false">MATCH(t-pas/2-T_ini,CdP_t)</f>
        <v>23</v>
      </c>
      <c r="Q457" s="417" t="n">
        <f aca="false">(INDEX(CdP,2,i_P+1)-INDEX(CdP,2,i_P+0))/(INDEX(CdP,1,i_P+1)-INDEX(CdP,1,i_P+0))*(t-pas/2-T_ini-INDEX(CdP,1,i_P+0))+INDEX(CdP,2,i_P+0)</f>
        <v>0</v>
      </c>
      <c r="R457" s="418" t="n">
        <f aca="false">Poussee/(g*ISP)</f>
        <v>0</v>
      </c>
      <c r="S457" s="419" t="n">
        <f aca="false">S456-Débit*pas</f>
        <v>7.37799999999998</v>
      </c>
      <c r="T457" s="417" t="n">
        <f aca="false">m*g</f>
        <v>72.3781799999998</v>
      </c>
      <c r="U457" s="421" t="n">
        <f aca="false">IF(pos_xz&lt;L_rampe,Poids*COS(Beta),0)</f>
        <v>0</v>
      </c>
      <c r="V457" s="418" t="n">
        <f aca="false">Rho_moyen*(20000-Alt_rampe-pos_z)/(20000+Alt_rampe+pos_z)</f>
        <v>1.08902567550271</v>
      </c>
      <c r="W457" s="417" t="n">
        <f aca="false">1/2*Rho*Sref*Cx*vit_xz^2</f>
        <v>25.7049367754378</v>
      </c>
      <c r="X457" s="401"/>
      <c r="Y457" s="422" t="str">
        <f aca="false">IF(AND(pos_z&lt;=0,K456&gt;0),"Impact balistique","") &amp; IF(AND(H458&lt;0,vit_z&gt;=0),"Apogée","") &amp; IF(AND(Poussee=0,Q456&gt;0),"Fin de propulsion","") &amp; IF(AND(L458&gt;L_rampe,pos_xz&lt;=L_rampe),"Sortie de rampe","")</f>
        <v/>
      </c>
      <c r="Z457" s="423" t="str">
        <f aca="false">IF(ABS(t-T_para)&lt;pas/2,"Para","")</f>
        <v/>
      </c>
      <c r="AA457" s="424" t="str">
        <f aca="false">IF(ABS(t-T_satellite)&lt;pas/2,"Satellite","")</f>
        <v/>
      </c>
      <c r="AB457" s="412"/>
      <c r="AC457" s="420" t="e">
        <f aca="false">IF(ABS(t-ROUND(t,0))&lt;0.001,t,NA())</f>
        <v>#N/A</v>
      </c>
      <c r="AD457" s="425" t="e">
        <f aca="false">IF(ABS(t-ROUND(t,0))&lt;0.001,pos_x,NA())</f>
        <v>#N/A</v>
      </c>
      <c r="AE457" s="426" t="e">
        <f aca="false">IF(t&lt;T_para, pos_z, NA())</f>
        <v>#N/A</v>
      </c>
      <c r="AF457" s="412"/>
      <c r="AG457" s="418" t="n">
        <f aca="false">IF(AND(L456&lt;L_rampe,Poussee&lt;Poids*SIN(M456)),0,(-W456+Poussee)/m-Poids*SIN(M456)/m)</f>
        <v>-12.7745832217088</v>
      </c>
      <c r="AH457" s="417" t="n">
        <f aca="false">IF(AND(L456&lt;L_rampe,Poussee&lt;Poids*SIN(M456)), g*SIN(M456), (-W456+Poussee)/m)</f>
        <v>-3.5892541976049</v>
      </c>
    </row>
    <row r="458" customFormat="false" ht="12" hidden="false" customHeight="false" outlineLevel="0" collapsed="false">
      <c r="A458" s="416" t="n">
        <f aca="false">IF(B457+0.01&lt;=T_ini+ROUNDUP(Temps_fin_propu,0), 0.01, IF(K457&gt;0, 0.1, 0.0001))</f>
        <v>0.1</v>
      </c>
      <c r="B458" s="417" t="n">
        <f aca="false">B457+pas</f>
        <v>9.39999999999994</v>
      </c>
      <c r="C458" s="401"/>
      <c r="D458" s="418" t="n">
        <f aca="false">IF(AND(L457&lt;L_rampe,Poussee&lt;Poids*SIN(M457)),0,(-W457+Poussee)/m*COS(M457)-U457/m*SIN(M457))</f>
        <v>-1.23618661652056</v>
      </c>
      <c r="E458" s="419" t="n">
        <f aca="false">IF(AND(L457&lt;L_rampe,Poussee&lt;Poids*SIN(M457)),0,(-W457+Poussee)/m*SIN(M457)+U457/m*COS(M457)-Poids/m)</f>
        <v>-13.0673124306114</v>
      </c>
      <c r="F458" s="417" t="n">
        <f aca="false">SQRT(acc_x^2+acc_z^2)</f>
        <v>13.1256547078642</v>
      </c>
      <c r="G458" s="418" t="n">
        <f aca="false">G457+acc_x*pas</f>
        <v>30.9632875335285</v>
      </c>
      <c r="H458" s="419" t="n">
        <f aca="false">H457+acc_z*pas</f>
        <v>80.6062781889812</v>
      </c>
      <c r="I458" s="417" t="n">
        <f aca="false">SQRT(vit_x^2+vit_z^2)</f>
        <v>86.3486957536904</v>
      </c>
      <c r="J458" s="418" t="n">
        <f aca="false">J457+0.5*(vit_x+G457)*pas*(K457&gt;=0)</f>
        <v>309.78542589145</v>
      </c>
      <c r="K458" s="419" t="n">
        <f aca="false">K457+0.5*(vit_z+H457)*pas</f>
        <v>1183.34476974504</v>
      </c>
      <c r="L458" s="417" t="n">
        <f aca="false">SQRT(pos_x^2+pos_z^2)</f>
        <v>1223.22191534394</v>
      </c>
      <c r="M458" s="418" t="n">
        <f aca="false">IF(AND(L457&gt;L_rampe,G458&gt;0),ATAN2(G458,H458),$M$4)</f>
        <v>1.20404541955992</v>
      </c>
      <c r="N458" s="417" t="n">
        <f aca="false">DEGREES(Beta)</f>
        <v>68.9867208828422</v>
      </c>
      <c r="O458" s="401"/>
      <c r="P458" s="420" t="n">
        <f aca="false">MATCH(t-pas/2-T_ini,CdP_t)</f>
        <v>23</v>
      </c>
      <c r="Q458" s="417" t="n">
        <f aca="false">(INDEX(CdP,2,i_P+1)-INDEX(CdP,2,i_P+0))/(INDEX(CdP,1,i_P+1)-INDEX(CdP,1,i_P+0))*(t-pas/2-T_ini-INDEX(CdP,1,i_P+0))+INDEX(CdP,2,i_P+0)</f>
        <v>0</v>
      </c>
      <c r="R458" s="418" t="n">
        <f aca="false">Poussee/(g*ISP)</f>
        <v>0</v>
      </c>
      <c r="S458" s="419" t="n">
        <f aca="false">S457-Débit*pas</f>
        <v>7.37799999999998</v>
      </c>
      <c r="T458" s="417" t="n">
        <f aca="false">m*g</f>
        <v>72.3781799999998</v>
      </c>
      <c r="U458" s="421" t="n">
        <f aca="false">IF(pos_xz&lt;L_rampe,Poids*COS(Beta),0)</f>
        <v>0</v>
      </c>
      <c r="V458" s="418" t="n">
        <f aca="false">Rho_moyen*(20000-Alt_rampe-pos_z)/(20000+Alt_rampe+pos_z)</f>
        <v>1.08813801161297</v>
      </c>
      <c r="W458" s="417" t="n">
        <f aca="false">1/2*Rho*Sref*Cx*vit_xz^2</f>
        <v>24.9477428099164</v>
      </c>
      <c r="X458" s="401"/>
      <c r="Y458" s="422" t="str">
        <f aca="false">IF(AND(pos_z&lt;=0,K457&gt;0),"Impact balistique","") &amp; IF(AND(H459&lt;0,vit_z&gt;=0),"Apogée","") &amp; IF(AND(Poussee=0,Q457&gt;0),"Fin de propulsion","") &amp; IF(AND(L459&gt;L_rampe,pos_xz&lt;=L_rampe),"Sortie de rampe","")</f>
        <v/>
      </c>
      <c r="Z458" s="423" t="str">
        <f aca="false">IF(ABS(t-T_para)&lt;pas/2,"Para","")</f>
        <v/>
      </c>
      <c r="AA458" s="424" t="str">
        <f aca="false">IF(ABS(t-T_satellite)&lt;pas/2,"Satellite","")</f>
        <v/>
      </c>
      <c r="AB458" s="412"/>
      <c r="AC458" s="420" t="e">
        <f aca="false">IF(ABS(t-ROUND(t,0))&lt;0.001,t,NA())</f>
        <v>#N/A</v>
      </c>
      <c r="AD458" s="425" t="e">
        <f aca="false">IF(ABS(t-ROUND(t,0))&lt;0.001,pos_x,NA())</f>
        <v>#N/A</v>
      </c>
      <c r="AE458" s="426" t="e">
        <f aca="false">IF(t&lt;T_para, pos_z, NA())</f>
        <v>#N/A</v>
      </c>
      <c r="AF458" s="412"/>
      <c r="AG458" s="418" t="n">
        <f aca="false">IF(AND(L457&lt;L_rampe,Poussee&lt;Poids*SIN(M457)),0,(-W457+Poussee)/m-Poids*SIN(M457)/m)</f>
        <v>-12.6557125949894</v>
      </c>
      <c r="AH458" s="417" t="n">
        <f aca="false">IF(AND(L457&lt;L_rampe,Poussee&lt;Poids*SIN(M457)), g*SIN(M457), (-W457+Poussee)/m)</f>
        <v>-3.48399793649198</v>
      </c>
    </row>
    <row r="459" customFormat="false" ht="12" hidden="false" customHeight="false" outlineLevel="0" collapsed="false">
      <c r="A459" s="416" t="n">
        <f aca="false">IF(B458+0.01&lt;=T_ini+ROUNDUP(Temps_fin_propu,0), 0.01, IF(K458&gt;0, 0.1, 0.0001))</f>
        <v>0.1</v>
      </c>
      <c r="B459" s="417" t="n">
        <f aca="false">B458+pas</f>
        <v>9.49999999999994</v>
      </c>
      <c r="C459" s="401"/>
      <c r="D459" s="418" t="n">
        <f aca="false">IF(AND(L458&lt;L_rampe,Poussee&lt;Poids*SIN(M458)),0,(-W458+Poussee)/m*COS(M458)-U458/m*SIN(M458))</f>
        <v>-1.2125059847133</v>
      </c>
      <c r="E459" s="419" t="n">
        <f aca="false">IF(AND(L458&lt;L_rampe,Poussee&lt;Poids*SIN(M458)),0,(-W458+Poussee)/m*SIN(M458)+U458/m*COS(M458)-Poids/m)</f>
        <v>-12.9664992768863</v>
      </c>
      <c r="F459" s="417" t="n">
        <f aca="false">SQRT(acc_x^2+acc_z^2)</f>
        <v>13.0230670066793</v>
      </c>
      <c r="G459" s="418" t="n">
        <f aca="false">G458+acc_x*pas</f>
        <v>30.8420369350571</v>
      </c>
      <c r="H459" s="419" t="n">
        <f aca="false">H458+acc_z*pas</f>
        <v>79.3096282612926</v>
      </c>
      <c r="I459" s="417" t="n">
        <f aca="false">SQRT(vit_x^2+vit_z^2)</f>
        <v>85.0955250130572</v>
      </c>
      <c r="J459" s="418" t="n">
        <f aca="false">J458+0.5*(vit_x+G458)*pas*(K458&gt;=0)</f>
        <v>312.875692114879</v>
      </c>
      <c r="K459" s="419" t="n">
        <f aca="false">K458+0.5*(vit_z+H458)*pas</f>
        <v>1191.34056506756</v>
      </c>
      <c r="L459" s="417" t="n">
        <f aca="false">SQRT(pos_x^2+pos_z^2)</f>
        <v>1231.74004590735</v>
      </c>
      <c r="M459" s="418" t="n">
        <f aca="false">IF(AND(L458&gt;L_rampe,G459&gt;0),ATAN2(G459,H459),$M$4)</f>
        <v>1.1999115686849</v>
      </c>
      <c r="N459" s="417" t="n">
        <f aca="false">DEGREES(Beta)</f>
        <v>68.7498686745667</v>
      </c>
      <c r="O459" s="401"/>
      <c r="P459" s="420" t="n">
        <f aca="false">MATCH(t-pas/2-T_ini,CdP_t)</f>
        <v>23</v>
      </c>
      <c r="Q459" s="417" t="n">
        <f aca="false">(INDEX(CdP,2,i_P+1)-INDEX(CdP,2,i_P+0))/(INDEX(CdP,1,i_P+1)-INDEX(CdP,1,i_P+0))*(t-pas/2-T_ini-INDEX(CdP,1,i_P+0))+INDEX(CdP,2,i_P+0)</f>
        <v>0</v>
      </c>
      <c r="R459" s="418" t="n">
        <f aca="false">Poussee/(g*ISP)</f>
        <v>0</v>
      </c>
      <c r="S459" s="419" t="n">
        <f aca="false">S458-Débit*pas</f>
        <v>7.37799999999998</v>
      </c>
      <c r="T459" s="417" t="n">
        <f aca="false">m*g</f>
        <v>72.3781799999998</v>
      </c>
      <c r="U459" s="421" t="n">
        <f aca="false">IF(pos_xz&lt;L_rampe,Poids*COS(Beta),0)</f>
        <v>0</v>
      </c>
      <c r="V459" s="418" t="n">
        <f aca="false">Rho_moyen*(20000-Alt_rampe-pos_z)/(20000+Alt_rampe+pos_z)</f>
        <v>1.08726523161886</v>
      </c>
      <c r="W459" s="417" t="n">
        <f aca="false">1/2*Rho*Sref*Cx*vit_xz^2</f>
        <v>24.2094351568951</v>
      </c>
      <c r="X459" s="401"/>
      <c r="Y459" s="422" t="str">
        <f aca="false">IF(AND(pos_z&lt;=0,K458&gt;0),"Impact balistique","") &amp; IF(AND(H460&lt;0,vit_z&gt;=0),"Apogée","") &amp; IF(AND(Poussee=0,Q458&gt;0),"Fin de propulsion","") &amp; IF(AND(L460&gt;L_rampe,pos_xz&lt;=L_rampe),"Sortie de rampe","")</f>
        <v/>
      </c>
      <c r="Z459" s="423" t="str">
        <f aca="false">IF(ABS(t-T_para)&lt;pas/2,"Para","")</f>
        <v/>
      </c>
      <c r="AA459" s="424" t="str">
        <f aca="false">IF(ABS(t-T_satellite)&lt;pas/2,"Satellite","")</f>
        <v/>
      </c>
      <c r="AB459" s="412"/>
      <c r="AC459" s="420" t="e">
        <f aca="false">IF(ABS(t-ROUND(t,0))&lt;0.001,t,NA())</f>
        <v>#N/A</v>
      </c>
      <c r="AD459" s="425" t="e">
        <f aca="false">IF(ABS(t-ROUND(t,0))&lt;0.001,pos_x,NA())</f>
        <v>#N/A</v>
      </c>
      <c r="AE459" s="426" t="e">
        <f aca="false">IF(t&lt;T_para, pos_z, NA())</f>
        <v>#N/A</v>
      </c>
      <c r="AF459" s="412"/>
      <c r="AG459" s="418" t="n">
        <f aca="false">IF(AND(L458&lt;L_rampe,Poussee&lt;Poids*SIN(M458)),0,(-W458+Poussee)/m-Poids*SIN(M458)/m)</f>
        <v>-12.5389782652791</v>
      </c>
      <c r="AH459" s="417" t="n">
        <f aca="false">IF(AND(L458&lt;L_rampe,Poussee&lt;Poids*SIN(M458)), g*SIN(M458), (-W458+Poussee)/m)</f>
        <v>-3.38136931552135</v>
      </c>
    </row>
    <row r="460" customFormat="false" ht="12" hidden="false" customHeight="false" outlineLevel="0" collapsed="false">
      <c r="A460" s="416" t="n">
        <f aca="false">IF(B459+0.01&lt;=T_ini+ROUNDUP(Temps_fin_propu,0), 0.01, IF(K459&gt;0, 0.1, 0.0001))</f>
        <v>0.1</v>
      </c>
      <c r="B460" s="417" t="n">
        <f aca="false">B459+pas</f>
        <v>9.59999999999994</v>
      </c>
      <c r="C460" s="401"/>
      <c r="D460" s="418" t="n">
        <f aca="false">IF(AND(L459&lt;L_rampe,Poussee&lt;Poids*SIN(M459)),0,(-W459+Poussee)/m*COS(M459)-U459/m*SIN(M459))</f>
        <v>-1.18927512914825</v>
      </c>
      <c r="E460" s="419" t="n">
        <f aca="false">IF(AND(L459&lt;L_rampe,Poussee&lt;Poids*SIN(M459)),0,(-W459+Poussee)/m*SIN(M459)+U459/m*COS(M459)-Poids/m)</f>
        <v>-12.8681951701749</v>
      </c>
      <c r="F460" s="417" t="n">
        <f aca="false">SQRT(acc_x^2+acc_z^2)</f>
        <v>12.9230345612214</v>
      </c>
      <c r="G460" s="418" t="n">
        <f aca="false">G459+acc_x*pas</f>
        <v>30.7231094221423</v>
      </c>
      <c r="H460" s="419" t="n">
        <f aca="false">H459+acc_z*pas</f>
        <v>78.0228087442751</v>
      </c>
      <c r="I460" s="417" t="n">
        <f aca="false">SQRT(vit_x^2+vit_z^2)</f>
        <v>83.8538498633823</v>
      </c>
      <c r="J460" s="418" t="n">
        <f aca="false">J459+0.5*(vit_x+G459)*pas*(K459&gt;=0)</f>
        <v>315.953949432739</v>
      </c>
      <c r="K460" s="419" t="n">
        <f aca="false">K459+0.5*(vit_z+H459)*pas</f>
        <v>1199.20718691783</v>
      </c>
      <c r="L460" s="417" t="n">
        <f aca="false">SQRT(pos_x^2+pos_z^2)</f>
        <v>1240.13095087476</v>
      </c>
      <c r="M460" s="418" t="n">
        <f aca="false">IF(AND(L459&gt;L_rampe,G460&gt;0),ATAN2(G460,H460),$M$4)</f>
        <v>1.19567139513068</v>
      </c>
      <c r="N460" s="417" t="n">
        <f aca="false">DEGREES(Beta)</f>
        <v>68.5069246255072</v>
      </c>
      <c r="O460" s="401"/>
      <c r="P460" s="420" t="n">
        <f aca="false">MATCH(t-pas/2-T_ini,CdP_t)</f>
        <v>23</v>
      </c>
      <c r="Q460" s="417" t="n">
        <f aca="false">(INDEX(CdP,2,i_P+1)-INDEX(CdP,2,i_P+0))/(INDEX(CdP,1,i_P+1)-INDEX(CdP,1,i_P+0))*(t-pas/2-T_ini-INDEX(CdP,1,i_P+0))+INDEX(CdP,2,i_P+0)</f>
        <v>0</v>
      </c>
      <c r="R460" s="418" t="n">
        <f aca="false">Poussee/(g*ISP)</f>
        <v>0</v>
      </c>
      <c r="S460" s="419" t="n">
        <f aca="false">S459-Débit*pas</f>
        <v>7.37799999999998</v>
      </c>
      <c r="T460" s="417" t="n">
        <f aca="false">m*g</f>
        <v>72.3781799999998</v>
      </c>
      <c r="U460" s="421" t="n">
        <f aca="false">IF(pos_xz&lt;L_rampe,Poids*COS(Beta),0)</f>
        <v>0</v>
      </c>
      <c r="V460" s="418" t="n">
        <f aca="false">Rho_moyen*(20000-Alt_rampe-pos_z)/(20000+Alt_rampe+pos_z)</f>
        <v>1.08640719405008</v>
      </c>
      <c r="W460" s="417" t="n">
        <f aca="false">1/2*Rho*Sref*Cx*vit_xz^2</f>
        <v>23.4895316738641</v>
      </c>
      <c r="X460" s="401"/>
      <c r="Y460" s="422" t="str">
        <f aca="false">IF(AND(pos_z&lt;=0,K459&gt;0),"Impact balistique","") &amp; IF(AND(H461&lt;0,vit_z&gt;=0),"Apogée","") &amp; IF(AND(Poussee=0,Q459&gt;0),"Fin de propulsion","") &amp; IF(AND(L461&gt;L_rampe,pos_xz&lt;=L_rampe),"Sortie de rampe","")</f>
        <v/>
      </c>
      <c r="Z460" s="423" t="str">
        <f aca="false">IF(ABS(t-T_para)&lt;pas/2,"Para","")</f>
        <v/>
      </c>
      <c r="AA460" s="424" t="str">
        <f aca="false">IF(ABS(t-T_satellite)&lt;pas/2,"Satellite","")</f>
        <v/>
      </c>
      <c r="AB460" s="412"/>
      <c r="AC460" s="420" t="e">
        <f aca="false">IF(ABS(t-ROUND(t,0))&lt;0.001,t,NA())</f>
        <v>#N/A</v>
      </c>
      <c r="AD460" s="425" t="e">
        <f aca="false">IF(ABS(t-ROUND(t,0))&lt;0.001,pos_x,NA())</f>
        <v>#N/A</v>
      </c>
      <c r="AE460" s="426" t="e">
        <f aca="false">IF(t&lt;T_para, pos_z, NA())</f>
        <v>#N/A</v>
      </c>
      <c r="AF460" s="412"/>
      <c r="AG460" s="418" t="n">
        <f aca="false">IF(AND(L459&lt;L_rampe,Poussee&lt;Poids*SIN(M459)),0,(-W459+Poussee)/m-Poids*SIN(M459)/m)</f>
        <v>-12.4242895573797</v>
      </c>
      <c r="AH460" s="417" t="n">
        <f aca="false">IF(AND(L459&lt;L_rampe,Poussee&lt;Poids*SIN(M459)), g*SIN(M459), (-W459+Poussee)/m)</f>
        <v>-3.28130050920237</v>
      </c>
    </row>
    <row r="461" customFormat="false" ht="12" hidden="false" customHeight="false" outlineLevel="0" collapsed="false">
      <c r="A461" s="416" t="n">
        <f aca="false">IF(B460+0.01&lt;=T_ini+ROUNDUP(Temps_fin_propu,0), 0.01, IF(K460&gt;0, 0.1, 0.0001))</f>
        <v>0.1</v>
      </c>
      <c r="B461" s="417" t="n">
        <f aca="false">B460+pas</f>
        <v>9.69999999999994</v>
      </c>
      <c r="C461" s="401"/>
      <c r="D461" s="418" t="n">
        <f aca="false">IF(AND(L460&lt;L_rampe,Poussee&lt;Poids*SIN(M460)),0,(-W460+Poussee)/m*COS(M460)-U460/m*SIN(M460))</f>
        <v>-1.16648153442506</v>
      </c>
      <c r="E461" s="419" t="n">
        <f aca="false">IF(AND(L460&lt;L_rampe,Poussee&lt;Poids*SIN(M460)),0,(-W460+Poussee)/m*SIN(M460)+U460/m*COS(M460)-Poids/m)</f>
        <v>-12.7723357588468</v>
      </c>
      <c r="F461" s="417" t="n">
        <f aca="false">SQRT(acc_x^2+acc_z^2)</f>
        <v>12.8254917998052</v>
      </c>
      <c r="G461" s="418" t="n">
        <f aca="false">G460+acc_x*pas</f>
        <v>30.6064612686998</v>
      </c>
      <c r="H461" s="419" t="n">
        <f aca="false">H460+acc_z*pas</f>
        <v>76.7455751683904</v>
      </c>
      <c r="I461" s="417" t="n">
        <f aca="false">SQRT(vit_x^2+vit_z^2)</f>
        <v>82.6234759576204</v>
      </c>
      <c r="J461" s="418" t="n">
        <f aca="false">J460+0.5*(vit_x+G460)*pas*(K460&gt;=0)</f>
        <v>319.020427967281</v>
      </c>
      <c r="K461" s="419" t="n">
        <f aca="false">K460+0.5*(vit_z+H460)*pas</f>
        <v>1206.94560611347</v>
      </c>
      <c r="L461" s="417" t="n">
        <f aca="false">SQRT(pos_x^2+pos_z^2)</f>
        <v>1248.39566227099</v>
      </c>
      <c r="M461" s="418" t="n">
        <f aca="false">IF(AND(L460&gt;L_rampe,G461&gt;0),ATAN2(G461,H461),$M$4)</f>
        <v>1.19132119660863</v>
      </c>
      <c r="N461" s="417" t="n">
        <f aca="false">DEGREES(Beta)</f>
        <v>68.2576766101497</v>
      </c>
      <c r="O461" s="401"/>
      <c r="P461" s="420" t="n">
        <f aca="false">MATCH(t-pas/2-T_ini,CdP_t)</f>
        <v>23</v>
      </c>
      <c r="Q461" s="417" t="n">
        <f aca="false">(INDEX(CdP,2,i_P+1)-INDEX(CdP,2,i_P+0))/(INDEX(CdP,1,i_P+1)-INDEX(CdP,1,i_P+0))*(t-pas/2-T_ini-INDEX(CdP,1,i_P+0))+INDEX(CdP,2,i_P+0)</f>
        <v>0</v>
      </c>
      <c r="R461" s="418" t="n">
        <f aca="false">Poussee/(g*ISP)</f>
        <v>0</v>
      </c>
      <c r="S461" s="419" t="n">
        <f aca="false">S460-Débit*pas</f>
        <v>7.37799999999998</v>
      </c>
      <c r="T461" s="417" t="n">
        <f aca="false">m*g</f>
        <v>72.3781799999998</v>
      </c>
      <c r="U461" s="421" t="n">
        <f aca="false">IF(pos_xz&lt;L_rampe,Poids*COS(Beta),0)</f>
        <v>0</v>
      </c>
      <c r="V461" s="418" t="n">
        <f aca="false">Rho_moyen*(20000-Alt_rampe-pos_z)/(20000+Alt_rampe+pos_z)</f>
        <v>1.08556376104791</v>
      </c>
      <c r="W461" s="417" t="n">
        <f aca="false">1/2*Rho*Sref*Cx*vit_xz^2</f>
        <v>22.7875677376456</v>
      </c>
      <c r="X461" s="401"/>
      <c r="Y461" s="422" t="str">
        <f aca="false">IF(AND(pos_z&lt;=0,K460&gt;0),"Impact balistique","") &amp; IF(AND(H462&lt;0,vit_z&gt;=0),"Apogée","") &amp; IF(AND(Poussee=0,Q460&gt;0),"Fin de propulsion","") &amp; IF(AND(L462&gt;L_rampe,pos_xz&lt;=L_rampe),"Sortie de rampe","")</f>
        <v/>
      </c>
      <c r="Z461" s="423" t="str">
        <f aca="false">IF(ABS(t-T_para)&lt;pas/2,"Para","")</f>
        <v/>
      </c>
      <c r="AA461" s="424" t="str">
        <f aca="false">IF(ABS(t-T_satellite)&lt;pas/2,"Satellite","")</f>
        <v/>
      </c>
      <c r="AB461" s="412"/>
      <c r="AC461" s="420" t="e">
        <f aca="false">IF(ABS(t-ROUND(t,0))&lt;0.001,t,NA())</f>
        <v>#N/A</v>
      </c>
      <c r="AD461" s="425" t="e">
        <f aca="false">IF(ABS(t-ROUND(t,0))&lt;0.001,pos_x,NA())</f>
        <v>#N/A</v>
      </c>
      <c r="AE461" s="426" t="e">
        <f aca="false">IF(t&lt;T_para, pos_z, NA())</f>
        <v>#N/A</v>
      </c>
      <c r="AF461" s="412"/>
      <c r="AG461" s="418" t="n">
        <f aca="false">IF(AND(L460&lt;L_rampe,Poussee&lt;Poids*SIN(M460)),0,(-W460+Poussee)/m-Poids*SIN(M460)/m)</f>
        <v>-12.3115569724371</v>
      </c>
      <c r="AH461" s="417" t="n">
        <f aca="false">IF(AND(L460&lt;L_rampe,Poussee&lt;Poids*SIN(M460)), g*SIN(M460), (-W460+Poussee)/m)</f>
        <v>-3.18372616886204</v>
      </c>
    </row>
    <row r="462" customFormat="false" ht="12" hidden="false" customHeight="false" outlineLevel="0" collapsed="false">
      <c r="A462" s="416" t="n">
        <f aca="false">IF(B461+0.01&lt;=T_ini+ROUNDUP(Temps_fin_propu,0), 0.01, IF(K461&gt;0, 0.1, 0.0001))</f>
        <v>0.1</v>
      </c>
      <c r="B462" s="417" t="n">
        <f aca="false">B461+pas</f>
        <v>9.79999999999994</v>
      </c>
      <c r="C462" s="401"/>
      <c r="D462" s="418" t="n">
        <f aca="false">IF(AND(L461&lt;L_rampe,Poussee&lt;Poids*SIN(M461)),0,(-W461+Poussee)/m*COS(M461)-U461/m*SIN(M461))</f>
        <v>-1.14411315518074</v>
      </c>
      <c r="E462" s="419" t="n">
        <f aca="false">IF(AND(L461&lt;L_rampe,Poussee&lt;Poids*SIN(M461)),0,(-W461+Poussee)/m*SIN(M461)+U461/m*COS(M461)-Poids/m)</f>
        <v>-12.6788590092532</v>
      </c>
      <c r="F462" s="417" t="n">
        <f aca="false">SQRT(acc_x^2+acc_z^2)</f>
        <v>12.7303755124654</v>
      </c>
      <c r="G462" s="418" t="n">
        <f aca="false">G461+acc_x*pas</f>
        <v>30.4920499531817</v>
      </c>
      <c r="H462" s="419" t="n">
        <f aca="false">H461+acc_z*pas</f>
        <v>75.4776892674651</v>
      </c>
      <c r="I462" s="417" t="n">
        <f aca="false">SQRT(vit_x^2+vit_z^2)</f>
        <v>81.4042178729293</v>
      </c>
      <c r="J462" s="418" t="n">
        <f aca="false">J461+0.5*(vit_x+G461)*pas*(K461&gt;=0)</f>
        <v>322.075353528375</v>
      </c>
      <c r="K462" s="419" t="n">
        <f aca="false">K461+0.5*(vit_z+H461)*pas</f>
        <v>1214.55676933526</v>
      </c>
      <c r="L462" s="417" t="n">
        <f aca="false">SQRT(pos_x^2+pos_z^2)</f>
        <v>1256.53518824127</v>
      </c>
      <c r="M462" s="418" t="n">
        <f aca="false">IF(AND(L461&gt;L_rampe,G462&gt;0),ATAN2(G462,H462),$M$4)</f>
        <v>1.18685710396142</v>
      </c>
      <c r="N462" s="417" t="n">
        <f aca="false">DEGREES(Beta)</f>
        <v>68.0019029421091</v>
      </c>
      <c r="O462" s="401"/>
      <c r="P462" s="420" t="n">
        <f aca="false">MATCH(t-pas/2-T_ini,CdP_t)</f>
        <v>23</v>
      </c>
      <c r="Q462" s="417" t="n">
        <f aca="false">(INDEX(CdP,2,i_P+1)-INDEX(CdP,2,i_P+0))/(INDEX(CdP,1,i_P+1)-INDEX(CdP,1,i_P+0))*(t-pas/2-T_ini-INDEX(CdP,1,i_P+0))+INDEX(CdP,2,i_P+0)</f>
        <v>0</v>
      </c>
      <c r="R462" s="418" t="n">
        <f aca="false">Poussee/(g*ISP)</f>
        <v>0</v>
      </c>
      <c r="S462" s="419" t="n">
        <f aca="false">S461-Débit*pas</f>
        <v>7.37799999999998</v>
      </c>
      <c r="T462" s="417" t="n">
        <f aca="false">m*g</f>
        <v>72.3781799999998</v>
      </c>
      <c r="U462" s="421" t="n">
        <f aca="false">IF(pos_xz&lt;L_rampe,Poids*COS(Beta),0)</f>
        <v>0</v>
      </c>
      <c r="V462" s="418" t="n">
        <f aca="false">Rho_moyen*(20000-Alt_rampe-pos_z)/(20000+Alt_rampe+pos_z)</f>
        <v>1.08473479826962</v>
      </c>
      <c r="W462" s="417" t="n">
        <f aca="false">1/2*Rho*Sref*Cx*vit_xz^2</f>
        <v>22.1030955269796</v>
      </c>
      <c r="X462" s="401"/>
      <c r="Y462" s="422" t="str">
        <f aca="false">IF(AND(pos_z&lt;=0,K461&gt;0),"Impact balistique","") &amp; IF(AND(H463&lt;0,vit_z&gt;=0),"Apogée","") &amp; IF(AND(Poussee=0,Q461&gt;0),"Fin de propulsion","") &amp; IF(AND(L463&gt;L_rampe,pos_xz&lt;=L_rampe),"Sortie de rampe","")</f>
        <v/>
      </c>
      <c r="Z462" s="423" t="str">
        <f aca="false">IF(ABS(t-T_para)&lt;pas/2,"Para","")</f>
        <v/>
      </c>
      <c r="AA462" s="424" t="str">
        <f aca="false">IF(ABS(t-T_satellite)&lt;pas/2,"Satellite","")</f>
        <v/>
      </c>
      <c r="AB462" s="412"/>
      <c r="AC462" s="420" t="e">
        <f aca="false">IF(ABS(t-ROUND(t,0))&lt;0.001,t,NA())</f>
        <v>#N/A</v>
      </c>
      <c r="AD462" s="425" t="e">
        <f aca="false">IF(ABS(t-ROUND(t,0))&lt;0.001,pos_x,NA())</f>
        <v>#N/A</v>
      </c>
      <c r="AE462" s="426" t="e">
        <f aca="false">IF(t&lt;T_para, pos_z, NA())</f>
        <v>#N/A</v>
      </c>
      <c r="AF462" s="412"/>
      <c r="AG462" s="418" t="n">
        <f aca="false">IF(AND(L461&lt;L_rampe,Poussee&lt;Poids*SIN(M461)),0,(-W461+Poussee)/m-Poids*SIN(M461)/m)</f>
        <v>-12.20069199984</v>
      </c>
      <c r="AH462" s="417" t="n">
        <f aca="false">IF(AND(L461&lt;L_rampe,Poussee&lt;Poids*SIN(M461)), g*SIN(M461), (-W461+Poussee)/m)</f>
        <v>-3.08858332036401</v>
      </c>
    </row>
    <row r="463" customFormat="false" ht="12" hidden="false" customHeight="false" outlineLevel="0" collapsed="false">
      <c r="A463" s="416" t="n">
        <f aca="false">IF(B462+0.01&lt;=T_ini+ROUNDUP(Temps_fin_propu,0), 0.01, IF(K462&gt;0, 0.1, 0.0001))</f>
        <v>0.1</v>
      </c>
      <c r="B463" s="417" t="n">
        <f aca="false">B462+pas</f>
        <v>9.89999999999994</v>
      </c>
      <c r="C463" s="401"/>
      <c r="D463" s="418" t="n">
        <f aca="false">IF(AND(L462&lt;L_rampe,Poussee&lt;Poids*SIN(M462)),0,(-W462+Poussee)/m*COS(M462)-U462/m*SIN(M462))</f>
        <v>-1.12215839899538</v>
      </c>
      <c r="E463" s="419" t="n">
        <f aca="false">IF(AND(L462&lt;L_rampe,Poussee&lt;Poids*SIN(M462)),0,(-W462+Poussee)/m*SIN(M462)+U462/m*COS(M462)-Poids/m)</f>
        <v>-12.5877051093087</v>
      </c>
      <c r="F463" s="417" t="n">
        <f aca="false">SQRT(acc_x^2+acc_z^2)</f>
        <v>12.6376247527513</v>
      </c>
      <c r="G463" s="418" t="n">
        <f aca="false">G462+acc_x*pas</f>
        <v>30.3798341132822</v>
      </c>
      <c r="H463" s="419" t="n">
        <f aca="false">H462+acc_z*pas</f>
        <v>74.2189187565342</v>
      </c>
      <c r="I463" s="417" t="n">
        <f aca="false">SQRT(vit_x^2+vit_z^2)</f>
        <v>80.1958990356712</v>
      </c>
      <c r="J463" s="418" t="n">
        <f aca="false">J462+0.5*(vit_x+G462)*pas*(K462&gt;=0)</f>
        <v>325.118947731699</v>
      </c>
      <c r="K463" s="419" t="n">
        <f aca="false">K462+0.5*(vit_z+H462)*pas</f>
        <v>1222.04159973646</v>
      </c>
      <c r="L463" s="417" t="n">
        <f aca="false">SQRT(pos_x^2+pos_z^2)</f>
        <v>1264.55051368485</v>
      </c>
      <c r="M463" s="418" t="n">
        <f aca="false">IF(AND(L462&gt;L_rampe,G463&gt;0),ATAN2(G463,H463),$M$4)</f>
        <v>1.1822750723481</v>
      </c>
      <c r="N463" s="417" t="n">
        <f aca="false">DEGREES(Beta)</f>
        <v>67.7393718690702</v>
      </c>
      <c r="O463" s="401"/>
      <c r="P463" s="420" t="n">
        <f aca="false">MATCH(t-pas/2-T_ini,CdP_t)</f>
        <v>23</v>
      </c>
      <c r="Q463" s="417" t="n">
        <f aca="false">(INDEX(CdP,2,i_P+1)-INDEX(CdP,2,i_P+0))/(INDEX(CdP,1,i_P+1)-INDEX(CdP,1,i_P+0))*(t-pas/2-T_ini-INDEX(CdP,1,i_P+0))+INDEX(CdP,2,i_P+0)</f>
        <v>0</v>
      </c>
      <c r="R463" s="418" t="n">
        <f aca="false">Poussee/(g*ISP)</f>
        <v>0</v>
      </c>
      <c r="S463" s="419" t="n">
        <f aca="false">S462-Débit*pas</f>
        <v>7.37799999999998</v>
      </c>
      <c r="T463" s="417" t="n">
        <f aca="false">m*g</f>
        <v>72.3781799999998</v>
      </c>
      <c r="U463" s="421" t="n">
        <f aca="false">IF(pos_xz&lt;L_rampe,Poids*COS(Beta),0)</f>
        <v>0</v>
      </c>
      <c r="V463" s="418" t="n">
        <f aca="false">Rho_moyen*(20000-Alt_rampe-pos_z)/(20000+Alt_rampe+pos_z)</f>
        <v>1.0839201747964</v>
      </c>
      <c r="W463" s="417" t="n">
        <f aca="false">1/2*Rho*Sref*Cx*vit_xz^2</f>
        <v>21.4356833402589</v>
      </c>
      <c r="X463" s="401"/>
      <c r="Y463" s="422" t="str">
        <f aca="false">IF(AND(pos_z&lt;=0,K462&gt;0),"Impact balistique","") &amp; IF(AND(H464&lt;0,vit_z&gt;=0),"Apogée","") &amp; IF(AND(Poussee=0,Q462&gt;0),"Fin de propulsion","") &amp; IF(AND(L464&gt;L_rampe,pos_xz&lt;=L_rampe),"Sortie de rampe","")</f>
        <v/>
      </c>
      <c r="Z463" s="423" t="str">
        <f aca="false">IF(ABS(t-T_para)&lt;pas/2,"Para","")</f>
        <v/>
      </c>
      <c r="AA463" s="424" t="str">
        <f aca="false">IF(ABS(t-T_satellite)&lt;pas/2,"Satellite","")</f>
        <v/>
      </c>
      <c r="AB463" s="412"/>
      <c r="AC463" s="420" t="e">
        <f aca="false">IF(ABS(t-ROUND(t,0))&lt;0.001,t,NA())</f>
        <v>#N/A</v>
      </c>
      <c r="AD463" s="425" t="e">
        <f aca="false">IF(ABS(t-ROUND(t,0))&lt;0.001,pos_x,NA())</f>
        <v>#N/A</v>
      </c>
      <c r="AE463" s="426" t="e">
        <f aca="false">IF(t&lt;T_para, pos_z, NA())</f>
        <v>#N/A</v>
      </c>
      <c r="AF463" s="412"/>
      <c r="AG463" s="418" t="n">
        <f aca="false">IF(AND(L462&lt;L_rampe,Poussee&lt;Poids*SIN(M462)),0,(-W462+Poussee)/m-Poids*SIN(M462)/m)</f>
        <v>-12.0916069278489</v>
      </c>
      <c r="AH463" s="417" t="n">
        <f aca="false">IF(AND(L462&lt;L_rampe,Poussee&lt;Poids*SIN(M462)), g*SIN(M462), (-W462+Poussee)/m)</f>
        <v>-2.99581126687174</v>
      </c>
    </row>
    <row r="464" customFormat="false" ht="12" hidden="false" customHeight="false" outlineLevel="0" collapsed="false">
      <c r="A464" s="416" t="n">
        <f aca="false">IF(B463+0.01&lt;=T_ini+ROUNDUP(Temps_fin_propu,0), 0.01, IF(K463&gt;0, 0.1, 0.0001))</f>
        <v>0.1</v>
      </c>
      <c r="B464" s="417" t="n">
        <f aca="false">B463+pas</f>
        <v>9.99999999999994</v>
      </c>
      <c r="C464" s="401"/>
      <c r="D464" s="418" t="n">
        <f aca="false">IF(AND(L463&lt;L_rampe,Poussee&lt;Poids*SIN(M463)),0,(-W463+Poussee)/m*COS(M463)-U463/m*SIN(M463))</f>
        <v>-1.10060611031252</v>
      </c>
      <c r="E464" s="419" t="n">
        <f aca="false">IF(AND(L463&lt;L_rampe,Poussee&lt;Poids*SIN(M463)),0,(-W463+Poussee)/m*SIN(M463)+U463/m*COS(M463)-Poids/m)</f>
        <v>-12.4988163766673</v>
      </c>
      <c r="F464" s="417" t="n">
        <f aca="false">SQRT(acc_x^2+acc_z^2)</f>
        <v>12.5471807442033</v>
      </c>
      <c r="G464" s="418" t="n">
        <f aca="false">G463+acc_x*pas</f>
        <v>30.2697735022509</v>
      </c>
      <c r="H464" s="419" t="n">
        <f aca="false">H463+acc_z*pas</f>
        <v>72.9690371188675</v>
      </c>
      <c r="I464" s="417" t="n">
        <f aca="false">SQRT(vit_x^2+vit_z^2)</f>
        <v>78.9983516659192</v>
      </c>
      <c r="J464" s="418" t="n">
        <f aca="false">J463+0.5*(vit_x+G463)*pas*(K463&gt;=0)</f>
        <v>328.151428112475</v>
      </c>
      <c r="K464" s="419" t="n">
        <f aca="false">K463+0.5*(vit_z+H463)*pas</f>
        <v>1229.40099753023</v>
      </c>
      <c r="L464" s="417" t="n">
        <f aca="false">SQRT(pos_x^2+pos_z^2)</f>
        <v>1272.44260086677</v>
      </c>
      <c r="M464" s="418" t="n">
        <f aca="false">IF(AND(L463&gt;L_rampe,G464&gt;0),ATAN2(G464,H464),$M$4)</f>
        <v>1.17757087191874</v>
      </c>
      <c r="N464" s="417" t="n">
        <f aca="false">DEGREES(Beta)</f>
        <v>67.4698410384841</v>
      </c>
      <c r="O464" s="401"/>
      <c r="P464" s="420" t="n">
        <f aca="false">MATCH(t-pas/2-T_ini,CdP_t)</f>
        <v>23</v>
      </c>
      <c r="Q464" s="417" t="n">
        <f aca="false">(INDEX(CdP,2,i_P+1)-INDEX(CdP,2,i_P+0))/(INDEX(CdP,1,i_P+1)-INDEX(CdP,1,i_P+0))*(t-pas/2-T_ini-INDEX(CdP,1,i_P+0))+INDEX(CdP,2,i_P+0)</f>
        <v>0</v>
      </c>
      <c r="R464" s="418" t="n">
        <f aca="false">Poussee/(g*ISP)</f>
        <v>0</v>
      </c>
      <c r="S464" s="419" t="n">
        <f aca="false">S463-Débit*pas</f>
        <v>7.37799999999998</v>
      </c>
      <c r="T464" s="417" t="n">
        <f aca="false">m*g</f>
        <v>72.3781799999998</v>
      </c>
      <c r="U464" s="421" t="n">
        <f aca="false">IF(pos_xz&lt;L_rampe,Poids*COS(Beta),0)</f>
        <v>0</v>
      </c>
      <c r="V464" s="418" t="n">
        <f aca="false">Rho_moyen*(20000-Alt_rampe-pos_z)/(20000+Alt_rampe+pos_z)</f>
        <v>1.08311976304468</v>
      </c>
      <c r="W464" s="417" t="n">
        <f aca="false">1/2*Rho*Sref*Cx*vit_xz^2</f>
        <v>20.7849149464728</v>
      </c>
      <c r="X464" s="401"/>
      <c r="Y464" s="422" t="str">
        <f aca="false">IF(AND(pos_z&lt;=0,K463&gt;0),"Impact balistique","") &amp; IF(AND(H465&lt;0,vit_z&gt;=0),"Apogée","") &amp; IF(AND(Poussee=0,Q463&gt;0),"Fin de propulsion","") &amp; IF(AND(L465&gt;L_rampe,pos_xz&lt;=L_rampe),"Sortie de rampe","")</f>
        <v/>
      </c>
      <c r="Z464" s="423" t="str">
        <f aca="false">IF(ABS(t-T_para)&lt;pas/2,"Para","")</f>
        <v/>
      </c>
      <c r="AA464" s="424" t="str">
        <f aca="false">IF(ABS(t-T_satellite)&lt;pas/2,"Satellite","")</f>
        <v/>
      </c>
      <c r="AB464" s="412"/>
      <c r="AC464" s="420" t="n">
        <f aca="false">IF(ABS(t-ROUND(t,0))&lt;0.001,t,NA())</f>
        <v>9.99999999999994</v>
      </c>
      <c r="AD464" s="425" t="n">
        <f aca="false">IF(ABS(t-ROUND(t,0))&lt;0.001,pos_x,NA())</f>
        <v>328.151428112475</v>
      </c>
      <c r="AE464" s="426" t="e">
        <f aca="false">IF(t&lt;T_para, pos_z, NA())</f>
        <v>#N/A</v>
      </c>
      <c r="AF464" s="412"/>
      <c r="AG464" s="418" t="n">
        <f aca="false">IF(AND(L463&lt;L_rampe,Poussee&lt;Poids*SIN(M463)),0,(-W463+Poussee)/m-Poids*SIN(M463)/m)</f>
        <v>-11.9842146521804</v>
      </c>
      <c r="AH464" s="417" t="n">
        <f aca="false">IF(AND(L463&lt;L_rampe,Poussee&lt;Poids*SIN(M463)), g*SIN(M463), (-W463+Poussee)/m)</f>
        <v>-2.90535149637556</v>
      </c>
    </row>
    <row r="465" customFormat="false" ht="12" hidden="false" customHeight="false" outlineLevel="0" collapsed="false">
      <c r="A465" s="416" t="n">
        <f aca="false">IF(B464+0.01&lt;=T_ini+ROUNDUP(Temps_fin_propu,0), 0.01, IF(K464&gt;0, 0.1, 0.0001))</f>
        <v>0.1</v>
      </c>
      <c r="B465" s="417" t="n">
        <f aca="false">B464+pas</f>
        <v>10.0999999999999</v>
      </c>
      <c r="C465" s="401"/>
      <c r="D465" s="418" t="n">
        <f aca="false">IF(AND(L464&lt;L_rampe,Poussee&lt;Poids*SIN(M464)),0,(-W464+Poussee)/m*COS(M464)-U464/m*SIN(M464))</f>
        <v>-1.07944555533215</v>
      </c>
      <c r="E465" s="419" t="n">
        <f aca="false">IF(AND(L464&lt;L_rampe,Poussee&lt;Poids*SIN(M464)),0,(-W464+Poussee)/m*SIN(M464)+U464/m*COS(M464)-Poids/m)</f>
        <v>-12.412137171227</v>
      </c>
      <c r="F465" s="417" t="n">
        <f aca="false">SQRT(acc_x^2+acc_z^2)</f>
        <v>12.4589867912395</v>
      </c>
      <c r="G465" s="418" t="n">
        <f aca="false">G464+acc_x*pas</f>
        <v>30.1618289467177</v>
      </c>
      <c r="H465" s="419" t="n">
        <f aca="false">H464+acc_z*pas</f>
        <v>71.7278234017448</v>
      </c>
      <c r="I465" s="417" t="n">
        <f aca="false">SQRT(vit_x^2+vit_z^2)</f>
        <v>77.8114167417799</v>
      </c>
      <c r="J465" s="418" t="n">
        <f aca="false">J464+0.5*(vit_x+G464)*pas*(K464&gt;=0)</f>
        <v>331.173008234924</v>
      </c>
      <c r="K465" s="419" t="n">
        <f aca="false">K464+0.5*(vit_z+H464)*pas</f>
        <v>1236.63584055626</v>
      </c>
      <c r="L465" s="417" t="n">
        <f aca="false">SQRT(pos_x^2+pos_z^2)</f>
        <v>1280.21239000865</v>
      </c>
      <c r="M465" s="418" t="n">
        <f aca="false">IF(AND(L464&gt;L_rampe,G465&gt;0),ATAN2(G465,H465),$M$4)</f>
        <v>1.17274007794965</v>
      </c>
      <c r="N465" s="417" t="n">
        <f aca="false">DEGREES(Beta)</f>
        <v>67.1930569323583</v>
      </c>
      <c r="O465" s="401"/>
      <c r="P465" s="420" t="n">
        <f aca="false">MATCH(t-pas/2-T_ini,CdP_t)</f>
        <v>23</v>
      </c>
      <c r="Q465" s="417" t="n">
        <f aca="false">(INDEX(CdP,2,i_P+1)-INDEX(CdP,2,i_P+0))/(INDEX(CdP,1,i_P+1)-INDEX(CdP,1,i_P+0))*(t-pas/2-T_ini-INDEX(CdP,1,i_P+0))+INDEX(CdP,2,i_P+0)</f>
        <v>0</v>
      </c>
      <c r="R465" s="418" t="n">
        <f aca="false">Poussee/(g*ISP)</f>
        <v>0</v>
      </c>
      <c r="S465" s="419" t="n">
        <f aca="false">S464-Débit*pas</f>
        <v>7.37799999999998</v>
      </c>
      <c r="T465" s="417" t="n">
        <f aca="false">m*g</f>
        <v>72.3781799999998</v>
      </c>
      <c r="U465" s="421" t="n">
        <f aca="false">IF(pos_xz&lt;L_rampe,Poids*COS(Beta),0)</f>
        <v>0</v>
      </c>
      <c r="V465" s="418" t="n">
        <f aca="false">Rho_moyen*(20000-Alt_rampe-pos_z)/(20000+Alt_rampe+pos_z)</f>
        <v>1.08233343868068</v>
      </c>
      <c r="W465" s="417" t="n">
        <f aca="false">1/2*Rho*Sref*Cx*vit_xz^2</f>
        <v>20.150388967544</v>
      </c>
      <c r="X465" s="401"/>
      <c r="Y465" s="422" t="str">
        <f aca="false">IF(AND(pos_z&lt;=0,K464&gt;0),"Impact balistique","") &amp; IF(AND(H466&lt;0,vit_z&gt;=0),"Apogée","") &amp; IF(AND(Poussee=0,Q464&gt;0),"Fin de propulsion","") &amp; IF(AND(L466&gt;L_rampe,pos_xz&lt;=L_rampe),"Sortie de rampe","")</f>
        <v/>
      </c>
      <c r="Z465" s="423" t="str">
        <f aca="false">IF(ABS(t-T_para)&lt;pas/2,"Para","")</f>
        <v/>
      </c>
      <c r="AA465" s="424" t="str">
        <f aca="false">IF(ABS(t-T_satellite)&lt;pas/2,"Satellite","")</f>
        <v/>
      </c>
      <c r="AB465" s="412"/>
      <c r="AC465" s="420" t="e">
        <f aca="false">IF(ABS(t-ROUND(t,0))&lt;0.001,t,NA())</f>
        <v>#N/A</v>
      </c>
      <c r="AD465" s="425" t="e">
        <f aca="false">IF(ABS(t-ROUND(t,0))&lt;0.001,pos_x,NA())</f>
        <v>#N/A</v>
      </c>
      <c r="AE465" s="426" t="e">
        <f aca="false">IF(t&lt;T_para, pos_z, NA())</f>
        <v>#N/A</v>
      </c>
      <c r="AF465" s="412"/>
      <c r="AG465" s="418" t="n">
        <f aca="false">IF(AND(L464&lt;L_rampe,Poussee&lt;Poids*SIN(M464)),0,(-W464+Poussee)/m-Poids*SIN(M464)/m)</f>
        <v>-11.8784284817487</v>
      </c>
      <c r="AH465" s="417" t="n">
        <f aca="false">IF(AND(L464&lt;L_rampe,Poussee&lt;Poids*SIN(M464)), g*SIN(M464), (-W464+Poussee)/m)</f>
        <v>-2.8171475937209</v>
      </c>
    </row>
    <row r="466" customFormat="false" ht="12" hidden="false" customHeight="false" outlineLevel="0" collapsed="false">
      <c r="A466" s="416" t="n">
        <f aca="false">IF(B465+0.01&lt;=T_ini+ROUNDUP(Temps_fin_propu,0), 0.01, IF(K465&gt;0, 0.1, 0.0001))</f>
        <v>0.1</v>
      </c>
      <c r="B466" s="417" t="n">
        <f aca="false">B465+pas</f>
        <v>10.1999999999999</v>
      </c>
      <c r="C466" s="401"/>
      <c r="D466" s="418" t="n">
        <f aca="false">IF(AND(L465&lt;L_rampe,Poussee&lt;Poids*SIN(M465)),0,(-W465+Poussee)/m*COS(M465)-U465/m*SIN(M465))</f>
        <v>-1.05866640783808</v>
      </c>
      <c r="E466" s="419" t="n">
        <f aca="false">IF(AND(L465&lt;L_rampe,Poussee&lt;Poids*SIN(M465)),0,(-W465+Poussee)/m*SIN(M465)+U465/m*COS(M465)-Poids/m)</f>
        <v>-12.3276138117126</v>
      </c>
      <c r="F466" s="417" t="n">
        <f aca="false">SQRT(acc_x^2+acc_z^2)</f>
        <v>12.3729881942</v>
      </c>
      <c r="G466" s="418" t="n">
        <f aca="false">G465+acc_x*pas</f>
        <v>30.0559623059339</v>
      </c>
      <c r="H466" s="419" t="n">
        <f aca="false">H465+acc_z*pas</f>
        <v>70.4950620205735</v>
      </c>
      <c r="I466" s="417" t="n">
        <f aca="false">SQRT(vit_x^2+vit_z^2)</f>
        <v>76.6349439839309</v>
      </c>
      <c r="J466" s="418" t="n">
        <f aca="false">J465+0.5*(vit_x+G465)*pas*(K465&gt;=0)</f>
        <v>334.183897797556</v>
      </c>
      <c r="K466" s="419" t="n">
        <f aca="false">K465+0.5*(vit_z+H465)*pas</f>
        <v>1243.74698482738</v>
      </c>
      <c r="L466" s="417" t="n">
        <f aca="false">SQRT(pos_x^2+pos_z^2)</f>
        <v>1287.86079985935</v>
      </c>
      <c r="M466" s="418" t="n">
        <f aca="false">IF(AND(L465&gt;L_rampe,G466&gt;0),ATAN2(G466,H466),$M$4)</f>
        <v>1.16777806040897</v>
      </c>
      <c r="N466" s="417" t="n">
        <f aca="false">DEGREES(Beta)</f>
        <v>66.9087542694071</v>
      </c>
      <c r="O466" s="401"/>
      <c r="P466" s="420" t="n">
        <f aca="false">MATCH(t-pas/2-T_ini,CdP_t)</f>
        <v>23</v>
      </c>
      <c r="Q466" s="417" t="n">
        <f aca="false">(INDEX(CdP,2,i_P+1)-INDEX(CdP,2,i_P+0))/(INDEX(CdP,1,i_P+1)-INDEX(CdP,1,i_P+0))*(t-pas/2-T_ini-INDEX(CdP,1,i_P+0))+INDEX(CdP,2,i_P+0)</f>
        <v>0</v>
      </c>
      <c r="R466" s="418" t="n">
        <f aca="false">Poussee/(g*ISP)</f>
        <v>0</v>
      </c>
      <c r="S466" s="419" t="n">
        <f aca="false">S465-Débit*pas</f>
        <v>7.37799999999998</v>
      </c>
      <c r="T466" s="417" t="n">
        <f aca="false">m*g</f>
        <v>72.3781799999998</v>
      </c>
      <c r="U466" s="421" t="n">
        <f aca="false">IF(pos_xz&lt;L_rampe,Poids*COS(Beta),0)</f>
        <v>0</v>
      </c>
      <c r="V466" s="418" t="n">
        <f aca="false">Rho_moyen*(20000-Alt_rampe-pos_z)/(20000+Alt_rampe+pos_z)</f>
        <v>1.08156108053803</v>
      </c>
      <c r="W466" s="417" t="n">
        <f aca="false">1/2*Rho*Sref*Cx*vit_xz^2</f>
        <v>19.5317182903498</v>
      </c>
      <c r="X466" s="401"/>
      <c r="Y466" s="422" t="str">
        <f aca="false">IF(AND(pos_z&lt;=0,K465&gt;0),"Impact balistique","") &amp; IF(AND(H467&lt;0,vit_z&gt;=0),"Apogée","") &amp; IF(AND(Poussee=0,Q465&gt;0),"Fin de propulsion","") &amp; IF(AND(L467&gt;L_rampe,pos_xz&lt;=L_rampe),"Sortie de rampe","")</f>
        <v/>
      </c>
      <c r="Z466" s="423" t="str">
        <f aca="false">IF(ABS(t-T_para)&lt;pas/2,"Para","")</f>
        <v/>
      </c>
      <c r="AA466" s="424" t="str">
        <f aca="false">IF(ABS(t-T_satellite)&lt;pas/2,"Satellite","")</f>
        <v/>
      </c>
      <c r="AB466" s="412"/>
      <c r="AC466" s="420" t="e">
        <f aca="false">IF(ABS(t-ROUND(t,0))&lt;0.001,t,NA())</f>
        <v>#N/A</v>
      </c>
      <c r="AD466" s="425" t="e">
        <f aca="false">IF(ABS(t-ROUND(t,0))&lt;0.001,pos_x,NA())</f>
        <v>#N/A</v>
      </c>
      <c r="AE466" s="426" t="e">
        <f aca="false">IF(t&lt;T_para, pos_z, NA())</f>
        <v>#N/A</v>
      </c>
      <c r="AF466" s="412"/>
      <c r="AG466" s="418" t="n">
        <f aca="false">IF(AND(L465&lt;L_rampe,Poussee&lt;Poids*SIN(M465)),0,(-W465+Poussee)/m-Poids*SIN(M465)/m)</f>
        <v>-11.774161940742</v>
      </c>
      <c r="AH466" s="417" t="n">
        <f aca="false">IF(AND(L465&lt;L_rampe,Poussee&lt;Poids*SIN(M465)), g*SIN(M465), (-W465+Poussee)/m)</f>
        <v>-2.7311451568913</v>
      </c>
    </row>
    <row r="467" customFormat="false" ht="12" hidden="false" customHeight="false" outlineLevel="0" collapsed="false">
      <c r="A467" s="416" t="n">
        <f aca="false">IF(B466+0.01&lt;=T_ini+ROUNDUP(Temps_fin_propu,0), 0.01, IF(K466&gt;0, 0.1, 0.0001))</f>
        <v>0.1</v>
      </c>
      <c r="B467" s="417" t="n">
        <f aca="false">B466+pas</f>
        <v>10.2999999999999</v>
      </c>
      <c r="C467" s="401"/>
      <c r="D467" s="418" t="n">
        <f aca="false">IF(AND(L466&lt;L_rampe,Poussee&lt;Poids*SIN(M466)),0,(-W466+Poussee)/m*COS(M466)-U466/m*SIN(M466))</f>
        <v>-1.03825873592488</v>
      </c>
      <c r="E467" s="419" t="n">
        <f aca="false">IF(AND(L466&lt;L_rampe,Poussee&lt;Poids*SIN(M466)),0,(-W466+Poussee)/m*SIN(M466)+U466/m*COS(M466)-Poids/m)</f>
        <v>-12.2451944961009</v>
      </c>
      <c r="F467" s="417" t="n">
        <f aca="false">SQRT(acc_x^2+acc_z^2)</f>
        <v>12.2891321683048</v>
      </c>
      <c r="G467" s="418" t="n">
        <f aca="false">G466+acc_x*pas</f>
        <v>29.9521364323414</v>
      </c>
      <c r="H467" s="419" t="n">
        <f aca="false">H466+acc_z*pas</f>
        <v>69.2705425709634</v>
      </c>
      <c r="I467" s="417" t="n">
        <f aca="false">SQRT(vit_x^2+vit_z^2)</f>
        <v>75.4687918608563</v>
      </c>
      <c r="J467" s="418" t="n">
        <f aca="false">J466+0.5*(vit_x+G466)*pas*(K466&gt;=0)</f>
        <v>337.18430273447</v>
      </c>
      <c r="K467" s="419" t="n">
        <f aca="false">K466+0.5*(vit_z+H466)*pas</f>
        <v>1250.73526505695</v>
      </c>
      <c r="L467" s="417" t="n">
        <f aca="false">SQRT(pos_x^2+pos_z^2)</f>
        <v>1295.38872824632</v>
      </c>
      <c r="M467" s="418" t="n">
        <f aca="false">IF(AND(L466&gt;L_rampe,G467&gt;0),ATAN2(G467,H467),$M$4)</f>
        <v>1.16267997292124</v>
      </c>
      <c r="N467" s="417" t="n">
        <f aca="false">DEGREES(Beta)</f>
        <v>66.616655372772</v>
      </c>
      <c r="O467" s="401"/>
      <c r="P467" s="420" t="n">
        <f aca="false">MATCH(t-pas/2-T_ini,CdP_t)</f>
        <v>23</v>
      </c>
      <c r="Q467" s="417" t="n">
        <f aca="false">(INDEX(CdP,2,i_P+1)-INDEX(CdP,2,i_P+0))/(INDEX(CdP,1,i_P+1)-INDEX(CdP,1,i_P+0))*(t-pas/2-T_ini-INDEX(CdP,1,i_P+0))+INDEX(CdP,2,i_P+0)</f>
        <v>0</v>
      </c>
      <c r="R467" s="418" t="n">
        <f aca="false">Poussee/(g*ISP)</f>
        <v>0</v>
      </c>
      <c r="S467" s="419" t="n">
        <f aca="false">S466-Débit*pas</f>
        <v>7.37799999999998</v>
      </c>
      <c r="T467" s="417" t="n">
        <f aca="false">m*g</f>
        <v>72.3781799999998</v>
      </c>
      <c r="U467" s="421" t="n">
        <f aca="false">IF(pos_xz&lt;L_rampe,Poids*COS(Beta),0)</f>
        <v>0</v>
      </c>
      <c r="V467" s="418" t="n">
        <f aca="false">Rho_moyen*(20000-Alt_rampe-pos_z)/(20000+Alt_rampe+pos_z)</f>
        <v>1.08080257053843</v>
      </c>
      <c r="W467" s="417" t="n">
        <f aca="false">1/2*Rho*Sref*Cx*vit_xz^2</f>
        <v>18.9285295068263</v>
      </c>
      <c r="X467" s="401"/>
      <c r="Y467" s="422" t="str">
        <f aca="false">IF(AND(pos_z&lt;=0,K466&gt;0),"Impact balistique","") &amp; IF(AND(H468&lt;0,vit_z&gt;=0),"Apogée","") &amp; IF(AND(Poussee=0,Q466&gt;0),"Fin de propulsion","") &amp; IF(AND(L468&gt;L_rampe,pos_xz&lt;=L_rampe),"Sortie de rampe","")</f>
        <v/>
      </c>
      <c r="Z467" s="423" t="str">
        <f aca="false">IF(ABS(t-T_para)&lt;pas/2,"Para","")</f>
        <v/>
      </c>
      <c r="AA467" s="424" t="str">
        <f aca="false">IF(ABS(t-T_satellite)&lt;pas/2,"Satellite","")</f>
        <v/>
      </c>
      <c r="AB467" s="412"/>
      <c r="AC467" s="420" t="e">
        <f aca="false">IF(ABS(t-ROUND(t,0))&lt;0.001,t,NA())</f>
        <v>#N/A</v>
      </c>
      <c r="AD467" s="425" t="e">
        <f aca="false">IF(ABS(t-ROUND(t,0))&lt;0.001,pos_x,NA())</f>
        <v>#N/A</v>
      </c>
      <c r="AE467" s="426" t="e">
        <f aca="false">IF(t&lt;T_para, pos_z, NA())</f>
        <v>#N/A</v>
      </c>
      <c r="AF467" s="412"/>
      <c r="AG467" s="418" t="n">
        <f aca="false">IF(AND(L466&lt;L_rampe,Poussee&lt;Poids*SIN(M466)),0,(-W466+Poussee)/m-Poids*SIN(M466)/m)</f>
        <v>-11.6713285661816</v>
      </c>
      <c r="AH467" s="417" t="n">
        <f aca="false">IF(AND(L466&lt;L_rampe,Poussee&lt;Poids*SIN(M466)), g*SIN(M466), (-W466+Poussee)/m)</f>
        <v>-2.64729171731497</v>
      </c>
    </row>
    <row r="468" customFormat="false" ht="12" hidden="false" customHeight="false" outlineLevel="0" collapsed="false">
      <c r="A468" s="416" t="n">
        <f aca="false">IF(B467+0.01&lt;=T_ini+ROUNDUP(Temps_fin_propu,0), 0.01, IF(K467&gt;0, 0.1, 0.0001))</f>
        <v>0.1</v>
      </c>
      <c r="B468" s="417" t="n">
        <f aca="false">B467+pas</f>
        <v>10.3999999999999</v>
      </c>
      <c r="C468" s="401"/>
      <c r="D468" s="418" t="n">
        <f aca="false">IF(AND(L467&lt;L_rampe,Poussee&lt;Poids*SIN(M467)),0,(-W467+Poussee)/m*COS(M467)-U467/m*SIN(M467))</f>
        <v>-1.0182129895932</v>
      </c>
      <c r="E468" s="419" t="n">
        <f aca="false">IF(AND(L467&lt;L_rampe,Poussee&lt;Poids*SIN(M467)),0,(-W467+Poussee)/m*SIN(M467)+U467/m*COS(M467)-Poids/m)</f>
        <v>-12.164829225663</v>
      </c>
      <c r="F468" s="417" t="n">
        <f aca="false">SQRT(acc_x^2+acc_z^2)</f>
        <v>12.2073677663009</v>
      </c>
      <c r="G468" s="418" t="n">
        <f aca="false">G467+acc_x*pas</f>
        <v>29.8503151333821</v>
      </c>
      <c r="H468" s="419" t="n">
        <f aca="false">H467+acc_z*pas</f>
        <v>68.0540596483971</v>
      </c>
      <c r="I468" s="417" t="n">
        <f aca="false">SQRT(vit_x^2+vit_z^2)</f>
        <v>74.3128276153573</v>
      </c>
      <c r="J468" s="418" t="n">
        <f aca="false">J467+0.5*(vit_x+G467)*pas*(K467&gt;=0)</f>
        <v>340.174425312756</v>
      </c>
      <c r="K468" s="419" t="n">
        <f aca="false">K467+0.5*(vit_z+H467)*pas</f>
        <v>1257.60149516792</v>
      </c>
      <c r="L468" s="417" t="n">
        <f aca="false">SQRT(pos_x^2+pos_z^2)</f>
        <v>1302.79705260852</v>
      </c>
      <c r="M468" s="418" t="n">
        <f aca="false">IF(AND(L467&gt;L_rampe,G468&gt;0),ATAN2(G468,H468),$M$4)</f>
        <v>1.15744074109894</v>
      </c>
      <c r="N468" s="417" t="n">
        <f aca="false">DEGREES(Beta)</f>
        <v>66.3164695014635</v>
      </c>
      <c r="O468" s="401"/>
      <c r="P468" s="420" t="n">
        <f aca="false">MATCH(t-pas/2-T_ini,CdP_t)</f>
        <v>23</v>
      </c>
      <c r="Q468" s="417" t="n">
        <f aca="false">(INDEX(CdP,2,i_P+1)-INDEX(CdP,2,i_P+0))/(INDEX(CdP,1,i_P+1)-INDEX(CdP,1,i_P+0))*(t-pas/2-T_ini-INDEX(CdP,1,i_P+0))+INDEX(CdP,2,i_P+0)</f>
        <v>0</v>
      </c>
      <c r="R468" s="418" t="n">
        <f aca="false">Poussee/(g*ISP)</f>
        <v>0</v>
      </c>
      <c r="S468" s="419" t="n">
        <f aca="false">S467-Débit*pas</f>
        <v>7.37799999999998</v>
      </c>
      <c r="T468" s="417" t="n">
        <f aca="false">m*g</f>
        <v>72.3781799999998</v>
      </c>
      <c r="U468" s="421" t="n">
        <f aca="false">IF(pos_xz&lt;L_rampe,Poids*COS(Beta),0)</f>
        <v>0</v>
      </c>
      <c r="V468" s="418" t="n">
        <f aca="false">Rho_moyen*(20000-Alt_rampe-pos_z)/(20000+Alt_rampe+pos_z)</f>
        <v>1.08005779361506</v>
      </c>
      <c r="W468" s="417" t="n">
        <f aca="false">1/2*Rho*Sref*Cx*vit_xz^2</f>
        <v>18.3404623806504</v>
      </c>
      <c r="X468" s="401"/>
      <c r="Y468" s="422" t="str">
        <f aca="false">IF(AND(pos_z&lt;=0,K467&gt;0),"Impact balistique","") &amp; IF(AND(H469&lt;0,vit_z&gt;=0),"Apogée","") &amp; IF(AND(Poussee=0,Q467&gt;0),"Fin de propulsion","") &amp; IF(AND(L469&gt;L_rampe,pos_xz&lt;=L_rampe),"Sortie de rampe","")</f>
        <v/>
      </c>
      <c r="Z468" s="423" t="str">
        <f aca="false">IF(ABS(t-T_para)&lt;pas/2,"Para","")</f>
        <v/>
      </c>
      <c r="AA468" s="424" t="str">
        <f aca="false">IF(ABS(t-T_satellite)&lt;pas/2,"Satellite","")</f>
        <v/>
      </c>
      <c r="AB468" s="412"/>
      <c r="AC468" s="420" t="e">
        <f aca="false">IF(ABS(t-ROUND(t,0))&lt;0.001,t,NA())</f>
        <v>#N/A</v>
      </c>
      <c r="AD468" s="425" t="e">
        <f aca="false">IF(ABS(t-ROUND(t,0))&lt;0.001,pos_x,NA())</f>
        <v>#N/A</v>
      </c>
      <c r="AE468" s="426" t="e">
        <f aca="false">IF(t&lt;T_para, pos_z, NA())</f>
        <v>#N/A</v>
      </c>
      <c r="AF468" s="412"/>
      <c r="AG468" s="418" t="n">
        <f aca="false">IF(AND(L467&lt;L_rampe,Poussee&lt;Poids*SIN(M467)),0,(-W467+Poussee)/m-Poids*SIN(M467)/m)</f>
        <v>-11.5698417000783</v>
      </c>
      <c r="AH468" s="417" t="n">
        <f aca="false">IF(AND(L467&lt;L_rampe,Poussee&lt;Poids*SIN(M467)), g*SIN(M467), (-W467+Poussee)/m)</f>
        <v>-2.56553666397755</v>
      </c>
    </row>
    <row r="469" customFormat="false" ht="12" hidden="false" customHeight="false" outlineLevel="0" collapsed="false">
      <c r="A469" s="416" t="n">
        <f aca="false">IF(B468+0.01&lt;=T_ini+ROUNDUP(Temps_fin_propu,0), 0.01, IF(K468&gt;0, 0.1, 0.0001))</f>
        <v>0.1</v>
      </c>
      <c r="B469" s="417" t="n">
        <f aca="false">B468+pas</f>
        <v>10.4999999999999</v>
      </c>
      <c r="C469" s="401"/>
      <c r="D469" s="418" t="n">
        <f aca="false">IF(AND(L468&lt;L_rampe,Poussee&lt;Poids*SIN(M468)),0,(-W468+Poussee)/m*COS(M468)-U468/m*SIN(M468))</f>
        <v>-0.998519989185499</v>
      </c>
      <c r="E469" s="419" t="n">
        <f aca="false">IF(AND(L468&lt;L_rampe,Poussee&lt;Poids*SIN(M468)),0,(-W468+Poussee)/m*SIN(M468)+U468/m*COS(M468)-Poids/m)</f>
        <v>-12.0864697324134</v>
      </c>
      <c r="F469" s="417" t="n">
        <f aca="false">SQRT(acc_x^2+acc_z^2)</f>
        <v>12.1276458045801</v>
      </c>
      <c r="G469" s="418" t="n">
        <f aca="false">G468+acc_x*pas</f>
        <v>29.7504631344636</v>
      </c>
      <c r="H469" s="419" t="n">
        <f aca="false">H468+acc_z*pas</f>
        <v>66.8454126751558</v>
      </c>
      <c r="I469" s="417" t="n">
        <f aca="false">SQRT(vit_x^2+vit_z^2)</f>
        <v>73.1669273130077</v>
      </c>
      <c r="J469" s="418" t="n">
        <f aca="false">J468+0.5*(vit_x+G468)*pas*(K468&gt;=0)</f>
        <v>343.154464226148</v>
      </c>
      <c r="K469" s="419" t="n">
        <f aca="false">K468+0.5*(vit_z+H468)*pas</f>
        <v>1264.3464687841</v>
      </c>
      <c r="L469" s="417" t="n">
        <f aca="false">SQRT(pos_x^2+pos_z^2)</f>
        <v>1310.08663051157</v>
      </c>
      <c r="M469" s="418" t="n">
        <f aca="false">IF(AND(L468&gt;L_rampe,G469&gt;0),ATAN2(G469,H469),$M$4)</f>
        <v>1.15205505020764</v>
      </c>
      <c r="N469" s="417" t="n">
        <f aca="false">DEGREES(Beta)</f>
        <v>66.0078921436298</v>
      </c>
      <c r="O469" s="401"/>
      <c r="P469" s="420" t="n">
        <f aca="false">MATCH(t-pas/2-T_ini,CdP_t)</f>
        <v>23</v>
      </c>
      <c r="Q469" s="417" t="n">
        <f aca="false">(INDEX(CdP,2,i_P+1)-INDEX(CdP,2,i_P+0))/(INDEX(CdP,1,i_P+1)-INDEX(CdP,1,i_P+0))*(t-pas/2-T_ini-INDEX(CdP,1,i_P+0))+INDEX(CdP,2,i_P+0)</f>
        <v>0</v>
      </c>
      <c r="R469" s="418" t="n">
        <f aca="false">Poussee/(g*ISP)</f>
        <v>0</v>
      </c>
      <c r="S469" s="419" t="n">
        <f aca="false">S468-Débit*pas</f>
        <v>7.37799999999998</v>
      </c>
      <c r="T469" s="417" t="n">
        <f aca="false">m*g</f>
        <v>72.3781799999998</v>
      </c>
      <c r="U469" s="421" t="n">
        <f aca="false">IF(pos_xz&lt;L_rampe,Poids*COS(Beta),0)</f>
        <v>0</v>
      </c>
      <c r="V469" s="418" t="n">
        <f aca="false">Rho_moyen*(20000-Alt_rampe-pos_z)/(20000+Alt_rampe+pos_z)</f>
        <v>1.07932663763881</v>
      </c>
      <c r="W469" s="417" t="n">
        <f aca="false">1/2*Rho*Sref*Cx*vit_xz^2</f>
        <v>17.7671693390835</v>
      </c>
      <c r="X469" s="401"/>
      <c r="Y469" s="422" t="str">
        <f aca="false">IF(AND(pos_z&lt;=0,K468&gt;0),"Impact balistique","") &amp; IF(AND(H470&lt;0,vit_z&gt;=0),"Apogée","") &amp; IF(AND(Poussee=0,Q468&gt;0),"Fin de propulsion","") &amp; IF(AND(L470&gt;L_rampe,pos_xz&lt;=L_rampe),"Sortie de rampe","")</f>
        <v/>
      </c>
      <c r="Z469" s="423" t="str">
        <f aca="false">IF(ABS(t-T_para)&lt;pas/2,"Para","")</f>
        <v/>
      </c>
      <c r="AA469" s="424" t="str">
        <f aca="false">IF(ABS(t-T_satellite)&lt;pas/2,"Satellite","")</f>
        <v/>
      </c>
      <c r="AB469" s="412"/>
      <c r="AC469" s="420" t="e">
        <f aca="false">IF(ABS(t-ROUND(t,0))&lt;0.001,t,NA())</f>
        <v>#N/A</v>
      </c>
      <c r="AD469" s="425" t="e">
        <f aca="false">IF(ABS(t-ROUND(t,0))&lt;0.001,pos_x,NA())</f>
        <v>#N/A</v>
      </c>
      <c r="AE469" s="426" t="e">
        <f aca="false">IF(t&lt;T_para, pos_z, NA())</f>
        <v>#N/A</v>
      </c>
      <c r="AF469" s="412"/>
      <c r="AG469" s="418" t="n">
        <f aca="false">IF(AND(L468&lt;L_rampe,Poussee&lt;Poids*SIN(M468)),0,(-W468+Poussee)/m-Poids*SIN(M468)/m)</f>
        <v>-11.4696142752646</v>
      </c>
      <c r="AH469" s="417" t="n">
        <f aca="false">IF(AND(L468&lt;L_rampe,Poussee&lt;Poids*SIN(M468)), g*SIN(M468), (-W468+Poussee)/m)</f>
        <v>-2.48583117113722</v>
      </c>
    </row>
    <row r="470" customFormat="false" ht="12" hidden="false" customHeight="false" outlineLevel="0" collapsed="false">
      <c r="A470" s="416" t="n">
        <f aca="false">IF(B469+0.01&lt;=T_ini+ROUNDUP(Temps_fin_propu,0), 0.01, IF(K469&gt;0, 0.1, 0.0001))</f>
        <v>0.1</v>
      </c>
      <c r="B470" s="417" t="n">
        <f aca="false">B469+pas</f>
        <v>10.5999999999999</v>
      </c>
      <c r="C470" s="401"/>
      <c r="D470" s="418" t="n">
        <f aca="false">IF(AND(L469&lt;L_rampe,Poussee&lt;Poids*SIN(M469)),0,(-W469+Poussee)/m*COS(M469)-U469/m*SIN(M469))</f>
        <v>-0.979170914637217</v>
      </c>
      <c r="E470" s="419" t="n">
        <f aca="false">IF(AND(L469&lt;L_rampe,Poussee&lt;Poids*SIN(M469)),0,(-W469+Poussee)/m*SIN(M469)+U469/m*COS(M469)-Poids/m)</f>
        <v>-12.0100694097637</v>
      </c>
      <c r="F470" s="417" t="n">
        <f aca="false">SQRT(acc_x^2+acc_z^2)</f>
        <v>12.049918792565</v>
      </c>
      <c r="G470" s="418" t="n">
        <f aca="false">G469+acc_x*pas</f>
        <v>29.6525460429998</v>
      </c>
      <c r="H470" s="419" t="n">
        <f aca="false">H469+acc_z*pas</f>
        <v>65.6444057341794</v>
      </c>
      <c r="I470" s="417" t="n">
        <f aca="false">SQRT(vit_x^2+vit_z^2)</f>
        <v>72.0309759133235</v>
      </c>
      <c r="J470" s="418" t="n">
        <f aca="false">J469+0.5*(vit_x+G469)*pas*(K469&gt;=0)</f>
        <v>346.124614685021</v>
      </c>
      <c r="K470" s="419" t="n">
        <f aca="false">K469+0.5*(vit_z+H469)*pas</f>
        <v>1270.97095970457</v>
      </c>
      <c r="L470" s="417" t="n">
        <f aca="false">SQRT(pos_x^2+pos_z^2)</f>
        <v>1317.25830014588</v>
      </c>
      <c r="M470" s="418" t="n">
        <f aca="false">IF(AND(L469&gt;L_rampe,G470&gt;0),ATAN2(G470,H470),$M$4)</f>
        <v>1.14651733213135</v>
      </c>
      <c r="N470" s="417" t="n">
        <f aca="false">DEGREES(Beta)</f>
        <v>65.6906042697252</v>
      </c>
      <c r="O470" s="401"/>
      <c r="P470" s="420" t="n">
        <f aca="false">MATCH(t-pas/2-T_ini,CdP_t)</f>
        <v>23</v>
      </c>
      <c r="Q470" s="417" t="n">
        <f aca="false">(INDEX(CdP,2,i_P+1)-INDEX(CdP,2,i_P+0))/(INDEX(CdP,1,i_P+1)-INDEX(CdP,1,i_P+0))*(t-pas/2-T_ini-INDEX(CdP,1,i_P+0))+INDEX(CdP,2,i_P+0)</f>
        <v>0</v>
      </c>
      <c r="R470" s="418" t="n">
        <f aca="false">Poussee/(g*ISP)</f>
        <v>0</v>
      </c>
      <c r="S470" s="419" t="n">
        <f aca="false">S469-Débit*pas</f>
        <v>7.37799999999998</v>
      </c>
      <c r="T470" s="417" t="n">
        <f aca="false">m*g</f>
        <v>72.3781799999998</v>
      </c>
      <c r="U470" s="421" t="n">
        <f aca="false">IF(pos_xz&lt;L_rampe,Poids*COS(Beta),0)</f>
        <v>0</v>
      </c>
      <c r="V470" s="418" t="n">
        <f aca="false">Rho_moyen*(20000-Alt_rampe-pos_z)/(20000+Alt_rampe+pos_z)</f>
        <v>1.07860899334708</v>
      </c>
      <c r="W470" s="417" t="n">
        <f aca="false">1/2*Rho*Sref*Cx*vit_xz^2</f>
        <v>17.2083149886476</v>
      </c>
      <c r="X470" s="401"/>
      <c r="Y470" s="422" t="str">
        <f aca="false">IF(AND(pos_z&lt;=0,K469&gt;0),"Impact balistique","") &amp; IF(AND(H471&lt;0,vit_z&gt;=0),"Apogée","") &amp; IF(AND(Poussee=0,Q469&gt;0),"Fin de propulsion","") &amp; IF(AND(L471&gt;L_rampe,pos_xz&lt;=L_rampe),"Sortie de rampe","")</f>
        <v/>
      </c>
      <c r="Z470" s="423" t="str">
        <f aca="false">IF(ABS(t-T_para)&lt;pas/2,"Para","")</f>
        <v/>
      </c>
      <c r="AA470" s="424" t="str">
        <f aca="false">IF(ABS(t-T_satellite)&lt;pas/2,"Satellite","")</f>
        <v/>
      </c>
      <c r="AB470" s="412"/>
      <c r="AC470" s="420" t="e">
        <f aca="false">IF(ABS(t-ROUND(t,0))&lt;0.001,t,NA())</f>
        <v>#N/A</v>
      </c>
      <c r="AD470" s="425" t="e">
        <f aca="false">IF(ABS(t-ROUND(t,0))&lt;0.001,pos_x,NA())</f>
        <v>#N/A</v>
      </c>
      <c r="AE470" s="426" t="e">
        <f aca="false">IF(t&lt;T_para, pos_z, NA())</f>
        <v>#N/A</v>
      </c>
      <c r="AF470" s="412"/>
      <c r="AG470" s="418" t="n">
        <f aca="false">IF(AND(L469&lt;L_rampe,Poussee&lt;Poids*SIN(M469)),0,(-W469+Poussee)/m-Poids*SIN(M469)/m)</f>
        <v>-11.3705585939409</v>
      </c>
      <c r="AH470" s="417" t="n">
        <f aca="false">IF(AND(L469&lt;L_rampe,Poussee&lt;Poids*SIN(M469)), g*SIN(M469), (-W469+Poussee)/m)</f>
        <v>-2.40812812945019</v>
      </c>
    </row>
    <row r="471" customFormat="false" ht="12" hidden="false" customHeight="false" outlineLevel="0" collapsed="false">
      <c r="A471" s="416" t="n">
        <f aca="false">IF(B470+0.01&lt;=T_ini+ROUNDUP(Temps_fin_propu,0), 0.01, IF(K470&gt;0, 0.1, 0.0001))</f>
        <v>0.1</v>
      </c>
      <c r="B471" s="417" t="n">
        <f aca="false">B470+pas</f>
        <v>10.6999999999999</v>
      </c>
      <c r="C471" s="401"/>
      <c r="D471" s="418" t="n">
        <f aca="false">IF(AND(L470&lt;L_rampe,Poussee&lt;Poids*SIN(M470)),0,(-W470+Poussee)/m*COS(M470)-U470/m*SIN(M470))</f>
        <v>-0.960157295521961</v>
      </c>
      <c r="E471" s="419" t="n">
        <f aca="false">IF(AND(L470&lt;L_rampe,Poussee&lt;Poids*SIN(M470)),0,(-W470+Poussee)/m*SIN(M470)+U470/m*COS(M470)-Poids/m)</f>
        <v>-11.9355832461899</v>
      </c>
      <c r="F471" s="417" t="n">
        <f aca="false">SQRT(acc_x^2+acc_z^2)</f>
        <v>11.9741408651675</v>
      </c>
      <c r="G471" s="418" t="n">
        <f aca="false">G470+acc_x*pas</f>
        <v>29.5565303134476</v>
      </c>
      <c r="H471" s="419" t="n">
        <f aca="false">H470+acc_z*pas</f>
        <v>64.4508474095604</v>
      </c>
      <c r="I471" s="417" t="n">
        <f aca="false">SQRT(vit_x^2+vit_z^2)</f>
        <v>70.9048673645201</v>
      </c>
      <c r="J471" s="418" t="n">
        <f aca="false">J470+0.5*(vit_x+G470)*pas*(K470&gt;=0)</f>
        <v>349.085068502844</v>
      </c>
      <c r="K471" s="419" t="n">
        <f aca="false">K470+0.5*(vit_z+H470)*pas</f>
        <v>1277.47572236175</v>
      </c>
      <c r="L471" s="417" t="n">
        <f aca="false">SQRT(pos_x^2+pos_z^2)</f>
        <v>1324.3128808085</v>
      </c>
      <c r="M471" s="418" t="n">
        <f aca="false">IF(AND(L470&gt;L_rampe,G471&gt;0),ATAN2(G471,H471),$M$4)</f>
        <v>1.14082175160397</v>
      </c>
      <c r="N471" s="417" t="n">
        <f aca="false">DEGREES(Beta)</f>
        <v>65.3642715436292</v>
      </c>
      <c r="O471" s="401"/>
      <c r="P471" s="420" t="n">
        <f aca="false">MATCH(t-pas/2-T_ini,CdP_t)</f>
        <v>23</v>
      </c>
      <c r="Q471" s="417" t="n">
        <f aca="false">(INDEX(CdP,2,i_P+1)-INDEX(CdP,2,i_P+0))/(INDEX(CdP,1,i_P+1)-INDEX(CdP,1,i_P+0))*(t-pas/2-T_ini-INDEX(CdP,1,i_P+0))+INDEX(CdP,2,i_P+0)</f>
        <v>0</v>
      </c>
      <c r="R471" s="418" t="n">
        <f aca="false">Poussee/(g*ISP)</f>
        <v>0</v>
      </c>
      <c r="S471" s="419" t="n">
        <f aca="false">S470-Débit*pas</f>
        <v>7.37799999999998</v>
      </c>
      <c r="T471" s="417" t="n">
        <f aca="false">m*g</f>
        <v>72.3781799999998</v>
      </c>
      <c r="U471" s="421" t="n">
        <f aca="false">IF(pos_xz&lt;L_rampe,Poids*COS(Beta),0)</f>
        <v>0</v>
      </c>
      <c r="V471" s="418" t="n">
        <f aca="false">Rho_moyen*(20000-Alt_rampe-pos_z)/(20000+Alt_rampe+pos_z)</f>
        <v>1.07790475427511</v>
      </c>
      <c r="W471" s="417" t="n">
        <f aca="false">1/2*Rho*Sref*Cx*vit_xz^2</f>
        <v>16.6635756533814</v>
      </c>
      <c r="X471" s="401"/>
      <c r="Y471" s="422" t="str">
        <f aca="false">IF(AND(pos_z&lt;=0,K470&gt;0),"Impact balistique","") &amp; IF(AND(H472&lt;0,vit_z&gt;=0),"Apogée","") &amp; IF(AND(Poussee=0,Q470&gt;0),"Fin de propulsion","") &amp; IF(AND(L472&gt;L_rampe,pos_xz&lt;=L_rampe),"Sortie de rampe","")</f>
        <v/>
      </c>
      <c r="Z471" s="423" t="str">
        <f aca="false">IF(ABS(t-T_para)&lt;pas/2,"Para","")</f>
        <v/>
      </c>
      <c r="AA471" s="424" t="str">
        <f aca="false">IF(ABS(t-T_satellite)&lt;pas/2,"Satellite","")</f>
        <v/>
      </c>
      <c r="AB471" s="412"/>
      <c r="AC471" s="420" t="e">
        <f aca="false">IF(ABS(t-ROUND(t,0))&lt;0.001,t,NA())</f>
        <v>#N/A</v>
      </c>
      <c r="AD471" s="425" t="e">
        <f aca="false">IF(ABS(t-ROUND(t,0))&lt;0.001,pos_x,NA())</f>
        <v>#N/A</v>
      </c>
      <c r="AE471" s="426" t="e">
        <f aca="false">IF(t&lt;T_para, pos_z, NA())</f>
        <v>#N/A</v>
      </c>
      <c r="AF471" s="412"/>
      <c r="AG471" s="418" t="n">
        <f aca="false">IF(AND(L470&lt;L_rampe,Poussee&lt;Poids*SIN(M470)),0,(-W470+Poussee)/m-Poids*SIN(M470)/m)</f>
        <v>-11.2725860979313</v>
      </c>
      <c r="AH471" s="417" t="n">
        <f aca="false">IF(AND(L470&lt;L_rampe,Poussee&lt;Poids*SIN(M470)), g*SIN(M470), (-W470+Poussee)/m)</f>
        <v>-2.33238208032633</v>
      </c>
    </row>
    <row r="472" customFormat="false" ht="12" hidden="false" customHeight="false" outlineLevel="0" collapsed="false">
      <c r="A472" s="416" t="n">
        <f aca="false">IF(B471+0.01&lt;=T_ini+ROUNDUP(Temps_fin_propu,0), 0.01, IF(K471&gt;0, 0.1, 0.0001))</f>
        <v>0.1</v>
      </c>
      <c r="B472" s="417" t="n">
        <f aca="false">B471+pas</f>
        <v>10.7999999999999</v>
      </c>
      <c r="C472" s="401"/>
      <c r="D472" s="418" t="n">
        <f aca="false">IF(AND(L471&lt;L_rampe,Poussee&lt;Poids*SIN(M471)),0,(-W471+Poussee)/m*COS(M471)-U471/m*SIN(M471))</f>
        <v>-0.941471001871789</v>
      </c>
      <c r="E472" s="419" t="n">
        <f aca="false">IF(AND(L471&lt;L_rampe,Poussee&lt;Poids*SIN(M471)),0,(-W471+Poussee)/m*SIN(M471)+U471/m*COS(M471)-Poids/m)</f>
        <v>-11.8629677617321</v>
      </c>
      <c r="F472" s="417" t="n">
        <f aca="false">SQRT(acc_x^2+acc_z^2)</f>
        <v>11.9002677181339</v>
      </c>
      <c r="G472" s="418" t="n">
        <f aca="false">G471+acc_x*pas</f>
        <v>29.4623832132605</v>
      </c>
      <c r="H472" s="419" t="n">
        <f aca="false">H471+acc_z*pas</f>
        <v>63.2645506333872</v>
      </c>
      <c r="I472" s="417" t="n">
        <f aca="false">SQRT(vit_x^2+vit_z^2)</f>
        <v>69.7885047228369</v>
      </c>
      <c r="J472" s="418" t="n">
        <f aca="false">J471+0.5*(vit_x+G471)*pas*(K471&gt;=0)</f>
        <v>352.036014179179</v>
      </c>
      <c r="K472" s="419" t="n">
        <f aca="false">K471+0.5*(vit_z+H471)*pas</f>
        <v>1283.8614922639</v>
      </c>
      <c r="L472" s="417" t="n">
        <f aca="false">SQRT(pos_x^2+pos_z^2)</f>
        <v>1331.25117336934</v>
      </c>
      <c r="M472" s="418" t="n">
        <f aca="false">IF(AND(L471&gt;L_rampe,G472&gt;0),ATAN2(G472,H472),$M$4)</f>
        <v>1.13496219167287</v>
      </c>
      <c r="N472" s="417" t="n">
        <f aca="false">DEGREES(Beta)</f>
        <v>65.0285434897734</v>
      </c>
      <c r="O472" s="401"/>
      <c r="P472" s="420" t="n">
        <f aca="false">MATCH(t-pas/2-T_ini,CdP_t)</f>
        <v>23</v>
      </c>
      <c r="Q472" s="417" t="n">
        <f aca="false">(INDEX(CdP,2,i_P+1)-INDEX(CdP,2,i_P+0))/(INDEX(CdP,1,i_P+1)-INDEX(CdP,1,i_P+0))*(t-pas/2-T_ini-INDEX(CdP,1,i_P+0))+INDEX(CdP,2,i_P+0)</f>
        <v>0</v>
      </c>
      <c r="R472" s="418" t="n">
        <f aca="false">Poussee/(g*ISP)</f>
        <v>0</v>
      </c>
      <c r="S472" s="419" t="n">
        <f aca="false">S471-Débit*pas</f>
        <v>7.37799999999998</v>
      </c>
      <c r="T472" s="417" t="n">
        <f aca="false">m*g</f>
        <v>72.3781799999998</v>
      </c>
      <c r="U472" s="421" t="n">
        <f aca="false">IF(pos_xz&lt;L_rampe,Poids*COS(Beta),0)</f>
        <v>0</v>
      </c>
      <c r="V472" s="418" t="n">
        <f aca="false">Rho_moyen*(20000-Alt_rampe-pos_z)/(20000+Alt_rampe+pos_z)</f>
        <v>1.07721381668971</v>
      </c>
      <c r="W472" s="417" t="n">
        <f aca="false">1/2*Rho*Sref*Cx*vit_xz^2</f>
        <v>16.1326389344971</v>
      </c>
      <c r="X472" s="401"/>
      <c r="Y472" s="422" t="str">
        <f aca="false">IF(AND(pos_z&lt;=0,K471&gt;0),"Impact balistique","") &amp; IF(AND(H473&lt;0,vit_z&gt;=0),"Apogée","") &amp; IF(AND(Poussee=0,Q471&gt;0),"Fin de propulsion","") &amp; IF(AND(L473&gt;L_rampe,pos_xz&lt;=L_rampe),"Sortie de rampe","")</f>
        <v/>
      </c>
      <c r="Z472" s="423" t="str">
        <f aca="false">IF(ABS(t-T_para)&lt;pas/2,"Para","")</f>
        <v/>
      </c>
      <c r="AA472" s="424" t="str">
        <f aca="false">IF(ABS(t-T_satellite)&lt;pas/2,"Satellite","")</f>
        <v/>
      </c>
      <c r="AB472" s="412"/>
      <c r="AC472" s="420" t="e">
        <f aca="false">IF(ABS(t-ROUND(t,0))&lt;0.001,t,NA())</f>
        <v>#N/A</v>
      </c>
      <c r="AD472" s="425" t="e">
        <f aca="false">IF(ABS(t-ROUND(t,0))&lt;0.001,pos_x,NA())</f>
        <v>#N/A</v>
      </c>
      <c r="AE472" s="426" t="e">
        <f aca="false">IF(t&lt;T_para, pos_z, NA())</f>
        <v>#N/A</v>
      </c>
      <c r="AF472" s="412"/>
      <c r="AG472" s="418" t="n">
        <f aca="false">IF(AND(L471&lt;L_rampe,Poussee&lt;Poids*SIN(M471)),0,(-W471+Poussee)/m-Poids*SIN(M471)/m)</f>
        <v>-11.1756071295959</v>
      </c>
      <c r="AH472" s="417" t="n">
        <f aca="false">IF(AND(L471&lt;L_rampe,Poussee&lt;Poids*SIN(M471)), g*SIN(M471), (-W471+Poussee)/m)</f>
        <v>-2.25854915334527</v>
      </c>
    </row>
    <row r="473" customFormat="false" ht="12" hidden="false" customHeight="false" outlineLevel="0" collapsed="false">
      <c r="A473" s="416" t="n">
        <f aca="false">IF(B472+0.01&lt;=T_ini+ROUNDUP(Temps_fin_propu,0), 0.01, IF(K472&gt;0, 0.1, 0.0001))</f>
        <v>0.1</v>
      </c>
      <c r="B473" s="417" t="n">
        <f aca="false">B472+pas</f>
        <v>10.8999999999999</v>
      </c>
      <c r="C473" s="401"/>
      <c r="D473" s="418" t="n">
        <f aca="false">IF(AND(L472&lt;L_rampe,Poussee&lt;Poids*SIN(M472)),0,(-W472+Poussee)/m*COS(M472)-U472/m*SIN(M472))</f>
        <v>-0.923104235756968</v>
      </c>
      <c r="E473" s="419" t="n">
        <f aca="false">IF(AND(L472&lt;L_rampe,Poussee&lt;Poids*SIN(M472)),0,(-W472+Poussee)/m*SIN(M472)+U472/m*COS(M472)-Poids/m)</f>
        <v>-11.7921809471495</v>
      </c>
      <c r="F473" s="417" t="n">
        <f aca="false">SQRT(acc_x^2+acc_z^2)</f>
        <v>11.8282565461013</v>
      </c>
      <c r="G473" s="418" t="n">
        <f aca="false">G472+acc_x*pas</f>
        <v>29.3700727896848</v>
      </c>
      <c r="H473" s="419" t="n">
        <f aca="false">H472+acc_z*pas</f>
        <v>62.0853325386723</v>
      </c>
      <c r="I473" s="417" t="n">
        <f aca="false">SQRT(vit_x^2+vit_z^2)</f>
        <v>68.6818002975235</v>
      </c>
      <c r="J473" s="418" t="n">
        <f aca="false">J472+0.5*(vit_x+G472)*pas*(K472&gt;=0)</f>
        <v>354.977636979327</v>
      </c>
      <c r="K473" s="419" t="n">
        <f aca="false">K472+0.5*(vit_z+H472)*pas</f>
        <v>1290.1289864225</v>
      </c>
      <c r="L473" s="417" t="n">
        <f aca="false">SQRT(pos_x^2+pos_z^2)</f>
        <v>1338.07396072227</v>
      </c>
      <c r="M473" s="418" t="n">
        <f aca="false">IF(AND(L472&gt;L_rampe,G473&gt;0),ATAN2(G473,H473),$M$4)</f>
        <v>1.12893223836123</v>
      </c>
      <c r="N473" s="417" t="n">
        <f aca="false">DEGREES(Beta)</f>
        <v>64.6830526143553</v>
      </c>
      <c r="O473" s="401"/>
      <c r="P473" s="420" t="n">
        <f aca="false">MATCH(t-pas/2-T_ini,CdP_t)</f>
        <v>23</v>
      </c>
      <c r="Q473" s="417" t="n">
        <f aca="false">(INDEX(CdP,2,i_P+1)-INDEX(CdP,2,i_P+0))/(INDEX(CdP,1,i_P+1)-INDEX(CdP,1,i_P+0))*(t-pas/2-T_ini-INDEX(CdP,1,i_P+0))+INDEX(CdP,2,i_P+0)</f>
        <v>0</v>
      </c>
      <c r="R473" s="418" t="n">
        <f aca="false">Poussee/(g*ISP)</f>
        <v>0</v>
      </c>
      <c r="S473" s="419" t="n">
        <f aca="false">S472-Débit*pas</f>
        <v>7.37799999999998</v>
      </c>
      <c r="T473" s="417" t="n">
        <f aca="false">m*g</f>
        <v>72.3781799999998</v>
      </c>
      <c r="U473" s="421" t="n">
        <f aca="false">IF(pos_xz&lt;L_rampe,Poids*COS(Beta),0)</f>
        <v>0</v>
      </c>
      <c r="V473" s="418" t="n">
        <f aca="false">Rho_moyen*(20000-Alt_rampe-pos_z)/(20000+Alt_rampe+pos_z)</f>
        <v>1.07653607952536</v>
      </c>
      <c r="W473" s="417" t="n">
        <f aca="false">1/2*Rho*Sref*Cx*vit_xz^2</f>
        <v>15.6152032903303</v>
      </c>
      <c r="X473" s="401"/>
      <c r="Y473" s="422" t="str">
        <f aca="false">IF(AND(pos_z&lt;=0,K472&gt;0),"Impact balistique","") &amp; IF(AND(H474&lt;0,vit_z&gt;=0),"Apogée","") &amp; IF(AND(Poussee=0,Q472&gt;0),"Fin de propulsion","") &amp; IF(AND(L474&gt;L_rampe,pos_xz&lt;=L_rampe),"Sortie de rampe","")</f>
        <v/>
      </c>
      <c r="Z473" s="423" t="str">
        <f aca="false">IF(ABS(t-T_para)&lt;pas/2,"Para","")</f>
        <v/>
      </c>
      <c r="AA473" s="424" t="str">
        <f aca="false">IF(ABS(t-T_satellite)&lt;pas/2,"Satellite","")</f>
        <v/>
      </c>
      <c r="AB473" s="412"/>
      <c r="AC473" s="420" t="e">
        <f aca="false">IF(ABS(t-ROUND(t,0))&lt;0.001,t,NA())</f>
        <v>#N/A</v>
      </c>
      <c r="AD473" s="425" t="e">
        <f aca="false">IF(ABS(t-ROUND(t,0))&lt;0.001,pos_x,NA())</f>
        <v>#N/A</v>
      </c>
      <c r="AE473" s="426" t="e">
        <f aca="false">IF(t&lt;T_para, pos_z, NA())</f>
        <v>#N/A</v>
      </c>
      <c r="AF473" s="412"/>
      <c r="AG473" s="418" t="n">
        <f aca="false">IF(AND(L472&lt;L_rampe,Poussee&lt;Poids*SIN(M472)),0,(-W472+Poussee)/m-Poids*SIN(M472)/m)</f>
        <v>-11.0795306823021</v>
      </c>
      <c r="AH473" s="417" t="n">
        <f aca="false">IF(AND(L472&lt;L_rampe,Poussee&lt;Poids*SIN(M472)), g*SIN(M472), (-W472+Poussee)/m)</f>
        <v>-2.18658700657321</v>
      </c>
    </row>
    <row r="474" customFormat="false" ht="12" hidden="false" customHeight="false" outlineLevel="0" collapsed="false">
      <c r="A474" s="416" t="n">
        <f aca="false">IF(B473+0.01&lt;=T_ini+ROUNDUP(Temps_fin_propu,0), 0.01, IF(K473&gt;0, 0.1, 0.0001))</f>
        <v>0.1</v>
      </c>
      <c r="B474" s="417" t="n">
        <f aca="false">B473+pas</f>
        <v>10.9999999999999</v>
      </c>
      <c r="C474" s="401"/>
      <c r="D474" s="418" t="n">
        <f aca="false">IF(AND(L473&lt;L_rampe,Poussee&lt;Poids*SIN(M473)),0,(-W473+Poussee)/m*COS(M473)-U473/m*SIN(M473))</f>
        <v>-0.905049523612308</v>
      </c>
      <c r="E474" s="419" t="n">
        <f aca="false">IF(AND(L473&lt;L_rampe,Poussee&lt;Poids*SIN(M473)),0,(-W473+Poussee)/m*SIN(M473)+U473/m*COS(M473)-Poids/m)</f>
        <v>-11.7231822055672</v>
      </c>
      <c r="F474" s="417" t="n">
        <f aca="false">SQRT(acc_x^2+acc_z^2)</f>
        <v>11.7580659831929</v>
      </c>
      <c r="G474" s="418" t="n">
        <f aca="false">G473+acc_x*pas</f>
        <v>29.2795678373235</v>
      </c>
      <c r="H474" s="419" t="n">
        <f aca="false">H473+acc_z*pas</f>
        <v>60.9130143181155</v>
      </c>
      <c r="I474" s="417" t="n">
        <f aca="false">SQRT(vit_x^2+vit_z^2)</f>
        <v>67.5846758226995</v>
      </c>
      <c r="J474" s="418" t="n">
        <f aca="false">J473+0.5*(vit_x+G473)*pas*(K473&gt;=0)</f>
        <v>357.910119010677</v>
      </c>
      <c r="K474" s="419" t="n">
        <f aca="false">K473+0.5*(vit_z+H473)*pas</f>
        <v>1296.27890376534</v>
      </c>
      <c r="L474" s="417" t="n">
        <f aca="false">SQRT(pos_x^2+pos_z^2)</f>
        <v>1344.7820082219</v>
      </c>
      <c r="M474" s="418" t="n">
        <f aca="false">IF(AND(L473&gt;L_rampe,G474&gt;0),ATAN2(G474,H474),$M$4)</f>
        <v>1.12272516449653</v>
      </c>
      <c r="N474" s="417" t="n">
        <f aca="false">DEGREES(Beta)</f>
        <v>64.3274134787824</v>
      </c>
      <c r="O474" s="401"/>
      <c r="P474" s="420" t="n">
        <f aca="false">MATCH(t-pas/2-T_ini,CdP_t)</f>
        <v>23</v>
      </c>
      <c r="Q474" s="417" t="n">
        <f aca="false">(INDEX(CdP,2,i_P+1)-INDEX(CdP,2,i_P+0))/(INDEX(CdP,1,i_P+1)-INDEX(CdP,1,i_P+0))*(t-pas/2-T_ini-INDEX(CdP,1,i_P+0))+INDEX(CdP,2,i_P+0)</f>
        <v>0</v>
      </c>
      <c r="R474" s="418" t="n">
        <f aca="false">Poussee/(g*ISP)</f>
        <v>0</v>
      </c>
      <c r="S474" s="419" t="n">
        <f aca="false">S473-Débit*pas</f>
        <v>7.37799999999998</v>
      </c>
      <c r="T474" s="417" t="n">
        <f aca="false">m*g</f>
        <v>72.3781799999998</v>
      </c>
      <c r="U474" s="421" t="n">
        <f aca="false">IF(pos_xz&lt;L_rampe,Poids*COS(Beta),0)</f>
        <v>0</v>
      </c>
      <c r="V474" s="418" t="n">
        <f aca="false">Rho_moyen*(20000-Alt_rampe-pos_z)/(20000+Alt_rampe+pos_z)</f>
        <v>1.07587144432244</v>
      </c>
      <c r="W474" s="417" t="n">
        <f aca="false">1/2*Rho*Sref*Cx*vit_xz^2</f>
        <v>15.1109776355355</v>
      </c>
      <c r="X474" s="401"/>
      <c r="Y474" s="422" t="str">
        <f aca="false">IF(AND(pos_z&lt;=0,K473&gt;0),"Impact balistique","") &amp; IF(AND(H475&lt;0,vit_z&gt;=0),"Apogée","") &amp; IF(AND(Poussee=0,Q473&gt;0),"Fin de propulsion","") &amp; IF(AND(L475&gt;L_rampe,pos_xz&lt;=L_rampe),"Sortie de rampe","")</f>
        <v/>
      </c>
      <c r="Z474" s="423" t="str">
        <f aca="false">IF(ABS(t-T_para)&lt;pas/2,"Para","")</f>
        <v/>
      </c>
      <c r="AA474" s="424" t="str">
        <f aca="false">IF(ABS(t-T_satellite)&lt;pas/2,"Satellite","")</f>
        <v/>
      </c>
      <c r="AB474" s="412"/>
      <c r="AC474" s="420" t="n">
        <f aca="false">IF(ABS(t-ROUND(t,0))&lt;0.001,t,NA())</f>
        <v>10.9999999999999</v>
      </c>
      <c r="AD474" s="425" t="n">
        <f aca="false">IF(ABS(t-ROUND(t,0))&lt;0.001,pos_x,NA())</f>
        <v>357.910119010677</v>
      </c>
      <c r="AE474" s="426" t="e">
        <f aca="false">IF(t&lt;T_para, pos_z, NA())</f>
        <v>#N/A</v>
      </c>
      <c r="AF474" s="412"/>
      <c r="AG474" s="418" t="n">
        <f aca="false">IF(AND(L473&lt;L_rampe,Poussee&lt;Poids*SIN(M473)),0,(-W473+Poussee)/m-Poids*SIN(M473)/m)</f>
        <v>-10.9842641393028</v>
      </c>
      <c r="AH474" s="417" t="n">
        <f aca="false">IF(AND(L473&lt;L_rampe,Poussee&lt;Poids*SIN(M473)), g*SIN(M473), (-W473+Poussee)/m)</f>
        <v>-2.11645476963002</v>
      </c>
    </row>
    <row r="475" customFormat="false" ht="12" hidden="false" customHeight="false" outlineLevel="0" collapsed="false">
      <c r="A475" s="416" t="n">
        <f aca="false">IF(B474+0.01&lt;=T_ini+ROUNDUP(Temps_fin_propu,0), 0.01, IF(K474&gt;0, 0.1, 0.0001))</f>
        <v>0.1</v>
      </c>
      <c r="B475" s="417" t="n">
        <f aca="false">B474+pas</f>
        <v>11.0999999999999</v>
      </c>
      <c r="C475" s="401"/>
      <c r="D475" s="418" t="n">
        <f aca="false">IF(AND(L474&lt;L_rampe,Poussee&lt;Poids*SIN(M474)),0,(-W474+Poussee)/m*COS(M474)-U474/m*SIN(M474))</f>
        <v>-0.887299709300035</v>
      </c>
      <c r="E475" s="419" t="n">
        <f aca="false">IF(AND(L474&lt;L_rampe,Poussee&lt;Poids*SIN(M474)),0,(-W474+Poussee)/m*SIN(M474)+U474/m*COS(M474)-Poids/m)</f>
        <v>-11.6559322964513</v>
      </c>
      <c r="F475" s="417" t="n">
        <f aca="false">SQRT(acc_x^2+acc_z^2)</f>
        <v>11.6896560459913</v>
      </c>
      <c r="G475" s="418" t="n">
        <f aca="false">G474+acc_x*pas</f>
        <v>29.1908378663935</v>
      </c>
      <c r="H475" s="419" t="n">
        <f aca="false">H474+acc_z*pas</f>
        <v>59.7474210884704</v>
      </c>
      <c r="I475" s="417" t="n">
        <f aca="false">SQRT(vit_x^2+vit_z^2)</f>
        <v>66.4970626574217</v>
      </c>
      <c r="J475" s="418" t="n">
        <f aca="false">J474+0.5*(vit_x+G474)*pas*(K474&gt;=0)</f>
        <v>360.833639295863</v>
      </c>
      <c r="K475" s="419" t="n">
        <f aca="false">K474+0.5*(vit_z+H474)*pas</f>
        <v>1302.31192553567</v>
      </c>
      <c r="L475" s="417" t="n">
        <f aca="false">SQRT(pos_x^2+pos_z^2)</f>
        <v>1351.37606410648</v>
      </c>
      <c r="M475" s="418" t="n">
        <f aca="false">IF(AND(L474&gt;L_rampe,G475&gt;0),ATAN2(G475,H475),$M$4)</f>
        <v>1.11633391267471</v>
      </c>
      <c r="N475" s="417" t="n">
        <f aca="false">DEGREES(Beta)</f>
        <v>63.9612217235864</v>
      </c>
      <c r="O475" s="401"/>
      <c r="P475" s="420" t="n">
        <f aca="false">MATCH(t-pas/2-T_ini,CdP_t)</f>
        <v>23</v>
      </c>
      <c r="Q475" s="417" t="n">
        <f aca="false">(INDEX(CdP,2,i_P+1)-INDEX(CdP,2,i_P+0))/(INDEX(CdP,1,i_P+1)-INDEX(CdP,1,i_P+0))*(t-pas/2-T_ini-INDEX(CdP,1,i_P+0))+INDEX(CdP,2,i_P+0)</f>
        <v>0</v>
      </c>
      <c r="R475" s="418" t="n">
        <f aca="false">Poussee/(g*ISP)</f>
        <v>0</v>
      </c>
      <c r="S475" s="419" t="n">
        <f aca="false">S474-Débit*pas</f>
        <v>7.37799999999998</v>
      </c>
      <c r="T475" s="417" t="n">
        <f aca="false">m*g</f>
        <v>72.3781799999998</v>
      </c>
      <c r="U475" s="421" t="n">
        <f aca="false">IF(pos_xz&lt;L_rampe,Poids*COS(Beta),0)</f>
        <v>0</v>
      </c>
      <c r="V475" s="418" t="n">
        <f aca="false">Rho_moyen*(20000-Alt_rampe-pos_z)/(20000+Alt_rampe+pos_z)</f>
        <v>1.07521981516768</v>
      </c>
      <c r="W475" s="417" t="n">
        <f aca="false">1/2*Rho*Sref*Cx*vit_xz^2</f>
        <v>14.6196809585431</v>
      </c>
      <c r="X475" s="401"/>
      <c r="Y475" s="422" t="str">
        <f aca="false">IF(AND(pos_z&lt;=0,K474&gt;0),"Impact balistique","") &amp; IF(AND(H476&lt;0,vit_z&gt;=0),"Apogée","") &amp; IF(AND(Poussee=0,Q474&gt;0),"Fin de propulsion","") &amp; IF(AND(L476&gt;L_rampe,pos_xz&lt;=L_rampe),"Sortie de rampe","")</f>
        <v/>
      </c>
      <c r="Z475" s="423" t="str">
        <f aca="false">IF(ABS(t-T_para)&lt;pas/2,"Para","")</f>
        <v/>
      </c>
      <c r="AA475" s="424" t="str">
        <f aca="false">IF(ABS(t-T_satellite)&lt;pas/2,"Satellite","")</f>
        <v/>
      </c>
      <c r="AB475" s="412"/>
      <c r="AC475" s="420" t="e">
        <f aca="false">IF(ABS(t-ROUND(t,0))&lt;0.001,t,NA())</f>
        <v>#N/A</v>
      </c>
      <c r="AD475" s="425" t="e">
        <f aca="false">IF(ABS(t-ROUND(t,0))&lt;0.001,pos_x,NA())</f>
        <v>#N/A</v>
      </c>
      <c r="AE475" s="426" t="e">
        <f aca="false">IF(t&lt;T_para, pos_z, NA())</f>
        <v>#N/A</v>
      </c>
      <c r="AF475" s="412"/>
      <c r="AG475" s="418" t="n">
        <f aca="false">IF(AND(L474&lt;L_rampe,Poussee&lt;Poids*SIN(M474)),0,(-W474+Poussee)/m-Poids*SIN(M474)/m)</f>
        <v>-10.8897129998221</v>
      </c>
      <c r="AH475" s="417" t="n">
        <f aca="false">IF(AND(L474&lt;L_rampe,Poussee&lt;Poids*SIN(M474)), g*SIN(M474), (-W474+Poussee)/m)</f>
        <v>-2.04811298936508</v>
      </c>
    </row>
    <row r="476" customFormat="false" ht="12" hidden="false" customHeight="false" outlineLevel="0" collapsed="false">
      <c r="A476" s="416" t="n">
        <f aca="false">IF(B475+0.01&lt;=T_ini+ROUNDUP(Temps_fin_propu,0), 0.01, IF(K475&gt;0, 0.1, 0.0001))</f>
        <v>0.1</v>
      </c>
      <c r="B476" s="417" t="n">
        <f aca="false">B475+pas</f>
        <v>11.1999999999999</v>
      </c>
      <c r="C476" s="401"/>
      <c r="D476" s="418" t="n">
        <f aca="false">IF(AND(L475&lt;L_rampe,Poussee&lt;Poids*SIN(M475)),0,(-W475+Poussee)/m*COS(M475)-U475/m*SIN(M475))</f>
        <v>-0.869847947901981</v>
      </c>
      <c r="E476" s="419" t="n">
        <f aca="false">IF(AND(L475&lt;L_rampe,Poussee&lt;Poids*SIN(M475)),0,(-W475+Poussee)/m*SIN(M475)+U475/m*COS(M475)-Poids/m)</f>
        <v>-11.5903932817589</v>
      </c>
      <c r="F476" s="417" t="n">
        <f aca="false">SQRT(acc_x^2+acc_z^2)</f>
        <v>11.6229880787305</v>
      </c>
      <c r="G476" s="418" t="n">
        <f aca="false">G475+acc_x*pas</f>
        <v>29.1038530716033</v>
      </c>
      <c r="H476" s="419" t="n">
        <f aca="false">H475+acc_z*pas</f>
        <v>58.5883817602945</v>
      </c>
      <c r="I476" s="417" t="n">
        <f aca="false">SQRT(vit_x^2+vit_z^2)</f>
        <v>65.4189020154228</v>
      </c>
      <c r="J476" s="418" t="n">
        <f aca="false">J475+0.5*(vit_x+G475)*pas*(K475&gt;=0)</f>
        <v>363.748373842763</v>
      </c>
      <c r="K476" s="419" t="n">
        <f aca="false">K475+0.5*(vit_z+H475)*pas</f>
        <v>1308.22871567811</v>
      </c>
      <c r="L476" s="417" t="n">
        <f aca="false">SQRT(pos_x^2+pos_z^2)</f>
        <v>1357.85685990757</v>
      </c>
      <c r="M476" s="418" t="n">
        <f aca="false">IF(AND(L475&gt;L_rampe,G476&gt;0),ATAN2(G476,H476),$M$4)</f>
        <v>1.1097510773316</v>
      </c>
      <c r="N476" s="417" t="n">
        <f aca="false">DEGREES(Beta)</f>
        <v>63.5840530411967</v>
      </c>
      <c r="O476" s="401"/>
      <c r="P476" s="420" t="n">
        <f aca="false">MATCH(t-pas/2-T_ini,CdP_t)</f>
        <v>23</v>
      </c>
      <c r="Q476" s="417" t="n">
        <f aca="false">(INDEX(CdP,2,i_P+1)-INDEX(CdP,2,i_P+0))/(INDEX(CdP,1,i_P+1)-INDEX(CdP,1,i_P+0))*(t-pas/2-T_ini-INDEX(CdP,1,i_P+0))+INDEX(CdP,2,i_P+0)</f>
        <v>0</v>
      </c>
      <c r="R476" s="418" t="n">
        <f aca="false">Poussee/(g*ISP)</f>
        <v>0</v>
      </c>
      <c r="S476" s="419" t="n">
        <f aca="false">S475-Débit*pas</f>
        <v>7.37799999999998</v>
      </c>
      <c r="T476" s="417" t="n">
        <f aca="false">m*g</f>
        <v>72.3781799999998</v>
      </c>
      <c r="U476" s="421" t="n">
        <f aca="false">IF(pos_xz&lt;L_rampe,Poids*COS(Beta),0)</f>
        <v>0</v>
      </c>
      <c r="V476" s="418" t="n">
        <f aca="false">Rho_moyen*(20000-Alt_rampe-pos_z)/(20000+Alt_rampe+pos_z)</f>
        <v>1.07458109863665</v>
      </c>
      <c r="W476" s="417" t="n">
        <f aca="false">1/2*Rho*Sref*Cx*vit_xz^2</f>
        <v>14.1410419563468</v>
      </c>
      <c r="X476" s="401"/>
      <c r="Y476" s="422" t="str">
        <f aca="false">IF(AND(pos_z&lt;=0,K475&gt;0),"Impact balistique","") &amp; IF(AND(H477&lt;0,vit_z&gt;=0),"Apogée","") &amp; IF(AND(Poussee=0,Q475&gt;0),"Fin de propulsion","") &amp; IF(AND(L477&gt;L_rampe,pos_xz&lt;=L_rampe),"Sortie de rampe","")</f>
        <v/>
      </c>
      <c r="Z476" s="423" t="str">
        <f aca="false">IF(ABS(t-T_para)&lt;pas/2,"Para","")</f>
        <v/>
      </c>
      <c r="AA476" s="424" t="str">
        <f aca="false">IF(ABS(t-T_satellite)&lt;pas/2,"Satellite","")</f>
        <v/>
      </c>
      <c r="AB476" s="412"/>
      <c r="AC476" s="420" t="e">
        <f aca="false">IF(ABS(t-ROUND(t,0))&lt;0.001,t,NA())</f>
        <v>#N/A</v>
      </c>
      <c r="AD476" s="425" t="e">
        <f aca="false">IF(ABS(t-ROUND(t,0))&lt;0.001,pos_x,NA())</f>
        <v>#N/A</v>
      </c>
      <c r="AE476" s="426" t="e">
        <f aca="false">IF(t&lt;T_para, pos_z, NA())</f>
        <v>#N/A</v>
      </c>
      <c r="AF476" s="412"/>
      <c r="AG476" s="418" t="n">
        <f aca="false">IF(AND(L475&lt;L_rampe,Poussee&lt;Poids*SIN(M475)),0,(-W475+Poussee)/m-Poids*SIN(M475)/m)</f>
        <v>-10.7957805910955</v>
      </c>
      <c r="AH476" s="417" t="n">
        <f aca="false">IF(AND(L475&lt;L_rampe,Poussee&lt;Poids*SIN(M475)), g*SIN(M475), (-W475+Poussee)/m)</f>
        <v>-1.98152357800801</v>
      </c>
    </row>
    <row r="477" customFormat="false" ht="12" hidden="false" customHeight="false" outlineLevel="0" collapsed="false">
      <c r="A477" s="416" t="n">
        <f aca="false">IF(B476+0.01&lt;=T_ini+ROUNDUP(Temps_fin_propu,0), 0.01, IF(K476&gt;0, 0.1, 0.0001))</f>
        <v>0.1</v>
      </c>
      <c r="B477" s="417" t="n">
        <f aca="false">B476+pas</f>
        <v>11.2999999999999</v>
      </c>
      <c r="C477" s="401"/>
      <c r="D477" s="418" t="n">
        <f aca="false">IF(AND(L476&lt;L_rampe,Poussee&lt;Poids*SIN(M476)),0,(-W476+Poussee)/m*COS(M476)-U476/m*SIN(M476))</f>
        <v>-0.852687700236591</v>
      </c>
      <c r="E477" s="419" t="n">
        <f aca="false">IF(AND(L476&lt;L_rampe,Poussee&lt;Poids*SIN(M476)),0,(-W476+Poussee)/m*SIN(M476)+U476/m*COS(M476)-Poids/m)</f>
        <v>-11.5265284741117</v>
      </c>
      <c r="F477" s="417" t="n">
        <f aca="false">SQRT(acc_x^2+acc_z^2)</f>
        <v>11.5580247005551</v>
      </c>
      <c r="G477" s="418" t="n">
        <f aca="false">G476+acc_x*pas</f>
        <v>29.0185843015797</v>
      </c>
      <c r="H477" s="419" t="n">
        <f aca="false">H476+acc_z*pas</f>
        <v>57.4357289128834</v>
      </c>
      <c r="I477" s="417" t="n">
        <f aca="false">SQRT(vit_x^2+vit_z^2)</f>
        <v>64.3501452261152</v>
      </c>
      <c r="J477" s="418" t="n">
        <f aca="false">J476+0.5*(vit_x+G476)*pas*(K476&gt;=0)</f>
        <v>366.654495711422</v>
      </c>
      <c r="K477" s="419" t="n">
        <f aca="false">K476+0.5*(vit_z+H476)*pas</f>
        <v>1314.02992121177</v>
      </c>
      <c r="L477" s="417" t="n">
        <f aca="false">SQRT(pos_x^2+pos_z^2)</f>
        <v>1364.22511084689</v>
      </c>
      <c r="M477" s="418" t="n">
        <f aca="false">IF(AND(L476&gt;L_rampe,G477&gt;0),ATAN2(G477,H477),$M$4)</f>
        <v>1.10296888589748</v>
      </c>
      <c r="N477" s="417" t="n">
        <f aca="false">DEGREES(Beta)</f>
        <v>63.195462096172</v>
      </c>
      <c r="O477" s="401"/>
      <c r="P477" s="420" t="n">
        <f aca="false">MATCH(t-pas/2-T_ini,CdP_t)</f>
        <v>23</v>
      </c>
      <c r="Q477" s="417" t="n">
        <f aca="false">(INDEX(CdP,2,i_P+1)-INDEX(CdP,2,i_P+0))/(INDEX(CdP,1,i_P+1)-INDEX(CdP,1,i_P+0))*(t-pas/2-T_ini-INDEX(CdP,1,i_P+0))+INDEX(CdP,2,i_P+0)</f>
        <v>0</v>
      </c>
      <c r="R477" s="418" t="n">
        <f aca="false">Poussee/(g*ISP)</f>
        <v>0</v>
      </c>
      <c r="S477" s="419" t="n">
        <f aca="false">S476-Débit*pas</f>
        <v>7.37799999999998</v>
      </c>
      <c r="T477" s="417" t="n">
        <f aca="false">m*g</f>
        <v>72.3781799999998</v>
      </c>
      <c r="U477" s="421" t="n">
        <f aca="false">IF(pos_xz&lt;L_rampe,Poids*COS(Beta),0)</f>
        <v>0</v>
      </c>
      <c r="V477" s="418" t="n">
        <f aca="false">Rho_moyen*(20000-Alt_rampe-pos_z)/(20000+Alt_rampe+pos_z)</f>
        <v>1.07395520373813</v>
      </c>
      <c r="W477" s="417" t="n">
        <f aca="false">1/2*Rho*Sref*Cx*vit_xz^2</f>
        <v>13.6747986857463</v>
      </c>
      <c r="X477" s="401"/>
      <c r="Y477" s="422" t="str">
        <f aca="false">IF(AND(pos_z&lt;=0,K476&gt;0),"Impact balistique","") &amp; IF(AND(H478&lt;0,vit_z&gt;=0),"Apogée","") &amp; IF(AND(Poussee=0,Q476&gt;0),"Fin de propulsion","") &amp; IF(AND(L478&gt;L_rampe,pos_xz&lt;=L_rampe),"Sortie de rampe","")</f>
        <v/>
      </c>
      <c r="Z477" s="423" t="str">
        <f aca="false">IF(ABS(t-T_para)&lt;pas/2,"Para","")</f>
        <v/>
      </c>
      <c r="AA477" s="424" t="str">
        <f aca="false">IF(ABS(t-T_satellite)&lt;pas/2,"Satellite","")</f>
        <v/>
      </c>
      <c r="AB477" s="412"/>
      <c r="AC477" s="420" t="e">
        <f aca="false">IF(ABS(t-ROUND(t,0))&lt;0.001,t,NA())</f>
        <v>#N/A</v>
      </c>
      <c r="AD477" s="425" t="e">
        <f aca="false">IF(ABS(t-ROUND(t,0))&lt;0.001,pos_x,NA())</f>
        <v>#N/A</v>
      </c>
      <c r="AE477" s="426" t="e">
        <f aca="false">IF(t&lt;T_para, pos_z, NA())</f>
        <v>#N/A</v>
      </c>
      <c r="AF477" s="412"/>
      <c r="AG477" s="418" t="n">
        <f aca="false">IF(AND(L476&lt;L_rampe,Poussee&lt;Poids*SIN(M476)),0,(-W476+Poussee)/m-Poids*SIN(M476)/m)</f>
        <v>-10.702367765065</v>
      </c>
      <c r="AH477" s="417" t="n">
        <f aca="false">IF(AND(L476&lt;L_rampe,Poussee&lt;Poids*SIN(M476)), g*SIN(M476), (-W476+Poussee)/m)</f>
        <v>-1.91664976366858</v>
      </c>
    </row>
    <row r="478" customFormat="false" ht="12" hidden="false" customHeight="false" outlineLevel="0" collapsed="false">
      <c r="A478" s="416" t="n">
        <f aca="false">IF(B477+0.01&lt;=T_ini+ROUNDUP(Temps_fin_propu,0), 0.01, IF(K477&gt;0, 0.1, 0.0001))</f>
        <v>0.1</v>
      </c>
      <c r="B478" s="417" t="n">
        <f aca="false">B477+pas</f>
        <v>11.3999999999999</v>
      </c>
      <c r="C478" s="401"/>
      <c r="D478" s="418" t="n">
        <f aca="false">IF(AND(L477&lt;L_rampe,Poussee&lt;Poids*SIN(M477)),0,(-W477+Poussee)/m*COS(M477)-U477/m*SIN(M477))</f>
        <v>-0.83581272809897</v>
      </c>
      <c r="E478" s="419" t="n">
        <f aca="false">IF(AND(L477&lt;L_rampe,Poussee&lt;Poids*SIN(M477)),0,(-W477+Poussee)/m*SIN(M477)+U477/m*COS(M477)-Poids/m)</f>
        <v>-11.4643023868472</v>
      </c>
      <c r="F478" s="417" t="n">
        <f aca="false">SQRT(acc_x^2+acc_z^2)</f>
        <v>11.4947297546973</v>
      </c>
      <c r="G478" s="418" t="n">
        <f aca="false">G477+acc_x*pas</f>
        <v>28.9350030287698</v>
      </c>
      <c r="H478" s="419" t="n">
        <f aca="false">H477+acc_z*pas</f>
        <v>56.2892986741986</v>
      </c>
      <c r="I478" s="417" t="n">
        <f aca="false">SQRT(vit_x^2+vit_z^2)</f>
        <v>63.2907540285945</v>
      </c>
      <c r="J478" s="418" t="n">
        <f aca="false">J477+0.5*(vit_x+G477)*pas*(K477&gt;=0)</f>
        <v>369.552175077939</v>
      </c>
      <c r="K478" s="419" t="n">
        <f aca="false">K477+0.5*(vit_z+H477)*pas</f>
        <v>1319.71617259112</v>
      </c>
      <c r="L478" s="417" t="n">
        <f aca="false">SQRT(pos_x^2+pos_z^2)</f>
        <v>1370.481516221</v>
      </c>
      <c r="M478" s="418" t="n">
        <f aca="false">IF(AND(L477&gt;L_rampe,G478&gt;0),ATAN2(G478,H478),$M$4)</f>
        <v>1.09597917901499</v>
      </c>
      <c r="N478" s="417" t="n">
        <f aca="false">DEGREES(Beta)</f>
        <v>62.794981391772</v>
      </c>
      <c r="O478" s="401"/>
      <c r="P478" s="420" t="n">
        <f aca="false">MATCH(t-pas/2-T_ini,CdP_t)</f>
        <v>23</v>
      </c>
      <c r="Q478" s="417" t="n">
        <f aca="false">(INDEX(CdP,2,i_P+1)-INDEX(CdP,2,i_P+0))/(INDEX(CdP,1,i_P+1)-INDEX(CdP,1,i_P+0))*(t-pas/2-T_ini-INDEX(CdP,1,i_P+0))+INDEX(CdP,2,i_P+0)</f>
        <v>0</v>
      </c>
      <c r="R478" s="418" t="n">
        <f aca="false">Poussee/(g*ISP)</f>
        <v>0</v>
      </c>
      <c r="S478" s="419" t="n">
        <f aca="false">S477-Débit*pas</f>
        <v>7.37799999999998</v>
      </c>
      <c r="T478" s="417" t="n">
        <f aca="false">m*g</f>
        <v>72.3781799999998</v>
      </c>
      <c r="U478" s="421" t="n">
        <f aca="false">IF(pos_xz&lt;L_rampe,Poids*COS(Beta),0)</f>
        <v>0</v>
      </c>
      <c r="V478" s="418" t="n">
        <f aca="false">Rho_moyen*(20000-Alt_rampe-pos_z)/(20000+Alt_rampe+pos_z)</f>
        <v>1.07334204186053</v>
      </c>
      <c r="W478" s="417" t="n">
        <f aca="false">1/2*Rho*Sref*Cx*vit_xz^2</f>
        <v>13.220698230215</v>
      </c>
      <c r="X478" s="401"/>
      <c r="Y478" s="422" t="str">
        <f aca="false">IF(AND(pos_z&lt;=0,K477&gt;0),"Impact balistique","") &amp; IF(AND(H479&lt;0,vit_z&gt;=0),"Apogée","") &amp; IF(AND(Poussee=0,Q477&gt;0),"Fin de propulsion","") &amp; IF(AND(L479&gt;L_rampe,pos_xz&lt;=L_rampe),"Sortie de rampe","")</f>
        <v/>
      </c>
      <c r="Z478" s="423" t="str">
        <f aca="false">IF(ABS(t-T_para)&lt;pas/2,"Para","")</f>
        <v/>
      </c>
      <c r="AA478" s="424" t="str">
        <f aca="false">IF(ABS(t-T_satellite)&lt;pas/2,"Satellite","")</f>
        <v/>
      </c>
      <c r="AB478" s="412"/>
      <c r="AC478" s="420" t="e">
        <f aca="false">IF(ABS(t-ROUND(t,0))&lt;0.001,t,NA())</f>
        <v>#N/A</v>
      </c>
      <c r="AD478" s="425" t="e">
        <f aca="false">IF(ABS(t-ROUND(t,0))&lt;0.001,pos_x,NA())</f>
        <v>#N/A</v>
      </c>
      <c r="AE478" s="426" t="e">
        <f aca="false">IF(t&lt;T_para, pos_z, NA())</f>
        <v>#N/A</v>
      </c>
      <c r="AF478" s="412"/>
      <c r="AG478" s="418" t="n">
        <f aca="false">IF(AND(L477&lt;L_rampe,Poussee&lt;Poids*SIN(M477)),0,(-W477+Poussee)/m-Poids*SIN(M477)/m)</f>
        <v>-10.6093725783836</v>
      </c>
      <c r="AH478" s="417" t="n">
        <f aca="false">IF(AND(L477&lt;L_rampe,Poussee&lt;Poids*SIN(M477)), g*SIN(M477), (-W477+Poussee)/m)</f>
        <v>-1.85345604306673</v>
      </c>
    </row>
    <row r="479" customFormat="false" ht="12" hidden="false" customHeight="false" outlineLevel="0" collapsed="false">
      <c r="A479" s="416" t="n">
        <f aca="false">IF(B478+0.01&lt;=T_ini+ROUNDUP(Temps_fin_propu,0), 0.01, IF(K478&gt;0, 0.1, 0.0001))</f>
        <v>0.1</v>
      </c>
      <c r="B479" s="417" t="n">
        <f aca="false">B478+pas</f>
        <v>11.4999999999999</v>
      </c>
      <c r="C479" s="401"/>
      <c r="D479" s="418" t="n">
        <f aca="false">IF(AND(L478&lt;L_rampe,Poussee&lt;Poids*SIN(M478)),0,(-W478+Poussee)/m*COS(M478)-U478/m*SIN(M478))</f>
        <v>-0.81921709022491</v>
      </c>
      <c r="E479" s="419" t="n">
        <f aca="false">IF(AND(L478&lt;L_rampe,Poussee&lt;Poids*SIN(M478)),0,(-W478+Poussee)/m*SIN(M478)+U478/m*COS(M478)-Poids/m)</f>
        <v>-11.4036806858056</v>
      </c>
      <c r="F479" s="417" t="n">
        <f aca="false">SQRT(acc_x^2+acc_z^2)</f>
        <v>11.4330682594277</v>
      </c>
      <c r="G479" s="418" t="n">
        <f aca="false">G478+acc_x*pas</f>
        <v>28.8530813197473</v>
      </c>
      <c r="H479" s="419" t="n">
        <f aca="false">H478+acc_z*pas</f>
        <v>55.1489306056181</v>
      </c>
      <c r="I479" s="417" t="n">
        <f aca="false">SQRT(vit_x^2+vit_z^2)</f>
        <v>62.2407009005139</v>
      </c>
      <c r="J479" s="418" t="n">
        <f aca="false">J478+0.5*(vit_x+G478)*pas*(K478&gt;=0)</f>
        <v>372.441579295365</v>
      </c>
      <c r="K479" s="419" t="n">
        <f aca="false">K478+0.5*(vit_z+H478)*pas</f>
        <v>1325.28808405511</v>
      </c>
      <c r="L479" s="417" t="n">
        <f aca="false">SQRT(pos_x^2+pos_z^2)</f>
        <v>1376.62675977423</v>
      </c>
      <c r="M479" s="418" t="n">
        <f aca="false">IF(AND(L478&gt;L_rampe,G479&gt;0),ATAN2(G479,H479),$M$4)</f>
        <v>1.08877338980751</v>
      </c>
      <c r="N479" s="417" t="n">
        <f aca="false">DEGREES(Beta)</f>
        <v>62.3821200821223</v>
      </c>
      <c r="O479" s="401"/>
      <c r="P479" s="420" t="n">
        <f aca="false">MATCH(t-pas/2-T_ini,CdP_t)</f>
        <v>23</v>
      </c>
      <c r="Q479" s="417" t="n">
        <f aca="false">(INDEX(CdP,2,i_P+1)-INDEX(CdP,2,i_P+0))/(INDEX(CdP,1,i_P+1)-INDEX(CdP,1,i_P+0))*(t-pas/2-T_ini-INDEX(CdP,1,i_P+0))+INDEX(CdP,2,i_P+0)</f>
        <v>0</v>
      </c>
      <c r="R479" s="418" t="n">
        <f aca="false">Poussee/(g*ISP)</f>
        <v>0</v>
      </c>
      <c r="S479" s="419" t="n">
        <f aca="false">S478-Débit*pas</f>
        <v>7.37799999999998</v>
      </c>
      <c r="T479" s="417" t="n">
        <f aca="false">m*g</f>
        <v>72.3781799999998</v>
      </c>
      <c r="U479" s="421" t="n">
        <f aca="false">IF(pos_xz&lt;L_rampe,Poids*COS(Beta),0)</f>
        <v>0</v>
      </c>
      <c r="V479" s="418" t="n">
        <f aca="false">Rho_moyen*(20000-Alt_rampe-pos_z)/(20000+Alt_rampe+pos_z)</f>
        <v>1.07274152671997</v>
      </c>
      <c r="W479" s="417" t="n">
        <f aca="false">1/2*Rho*Sref*Cx*vit_xz^2</f>
        <v>12.7784963816111</v>
      </c>
      <c r="X479" s="401"/>
      <c r="Y479" s="422" t="str">
        <f aca="false">IF(AND(pos_z&lt;=0,K478&gt;0),"Impact balistique","") &amp; IF(AND(H480&lt;0,vit_z&gt;=0),"Apogée","") &amp; IF(AND(Poussee=0,Q478&gt;0),"Fin de propulsion","") &amp; IF(AND(L480&gt;L_rampe,pos_xz&lt;=L_rampe),"Sortie de rampe","")</f>
        <v/>
      </c>
      <c r="Z479" s="423" t="str">
        <f aca="false">IF(ABS(t-T_para)&lt;pas/2,"Para","")</f>
        <v/>
      </c>
      <c r="AA479" s="424" t="str">
        <f aca="false">IF(ABS(t-T_satellite)&lt;pas/2,"Satellite","")</f>
        <v/>
      </c>
      <c r="AB479" s="412"/>
      <c r="AC479" s="420" t="e">
        <f aca="false">IF(ABS(t-ROUND(t,0))&lt;0.001,t,NA())</f>
        <v>#N/A</v>
      </c>
      <c r="AD479" s="425" t="e">
        <f aca="false">IF(ABS(t-ROUND(t,0))&lt;0.001,pos_x,NA())</f>
        <v>#N/A</v>
      </c>
      <c r="AE479" s="426" t="e">
        <f aca="false">IF(t&lt;T_para, pos_z, NA())</f>
        <v>#N/A</v>
      </c>
      <c r="AF479" s="412"/>
      <c r="AG479" s="418" t="n">
        <f aca="false">IF(AND(L478&lt;L_rampe,Poussee&lt;Poids*SIN(M478)),0,(-W478+Poussee)/m-Poids*SIN(M478)/m)</f>
        <v>-10.5166899543441</v>
      </c>
      <c r="AH479" s="417" t="n">
        <f aca="false">IF(AND(L478&lt;L_rampe,Poussee&lt;Poids*SIN(M478)), g*SIN(M478), (-W478+Poussee)/m)</f>
        <v>-1.79190813638046</v>
      </c>
    </row>
    <row r="480" customFormat="false" ht="12" hidden="false" customHeight="false" outlineLevel="0" collapsed="false">
      <c r="A480" s="416" t="n">
        <f aca="false">IF(B479+0.01&lt;=T_ini+ROUNDUP(Temps_fin_propu,0), 0.01, IF(K479&gt;0, 0.1, 0.0001))</f>
        <v>0.1</v>
      </c>
      <c r="B480" s="417" t="n">
        <f aca="false">B479+pas</f>
        <v>11.5999999999999</v>
      </c>
      <c r="C480" s="401"/>
      <c r="D480" s="418" t="n">
        <f aca="false">IF(AND(L479&lt;L_rampe,Poussee&lt;Poids*SIN(M479)),0,(-W479+Poussee)/m*COS(M479)-U479/m*SIN(M479))</f>
        <v>-0.802895138982417</v>
      </c>
      <c r="E480" s="419" t="n">
        <f aca="false">IF(AND(L479&lt;L_rampe,Poussee&lt;Poids*SIN(M479)),0,(-W479+Poussee)/m*SIN(M479)+U479/m*COS(M479)-Poids/m)</f>
        <v>-11.3446301427094</v>
      </c>
      <c r="F480" s="417" t="n">
        <f aca="false">SQRT(acc_x^2+acc_z^2)</f>
        <v>11.3730063606362</v>
      </c>
      <c r="G480" s="418" t="n">
        <f aca="false">G479+acc_x*pas</f>
        <v>28.772791805849</v>
      </c>
      <c r="H480" s="419" t="n">
        <f aca="false">H479+acc_z*pas</f>
        <v>54.0144675913471</v>
      </c>
      <c r="I480" s="417" t="n">
        <f aca="false">SQRT(vit_x^2+vit_z^2)</f>
        <v>61.1999694238439</v>
      </c>
      <c r="J480" s="418" t="n">
        <f aca="false">J479+0.5*(vit_x+G479)*pas*(K479&gt;=0)</f>
        <v>375.322872951645</v>
      </c>
      <c r="K480" s="419" t="n">
        <f aca="false">K479+0.5*(vit_z+H479)*pas</f>
        <v>1330.74625396496</v>
      </c>
      <c r="L480" s="417" t="n">
        <f aca="false">SQRT(pos_x^2+pos_z^2)</f>
        <v>1382.66151006038</v>
      </c>
      <c r="M480" s="418" t="n">
        <f aca="false">IF(AND(L479&gt;L_rampe,G480&gt;0),ATAN2(G480,H480),$M$4)</f>
        <v>1.08134252219333</v>
      </c>
      <c r="N480" s="417" t="n">
        <f aca="false">DEGREES(Beta)</f>
        <v>61.9563627297092</v>
      </c>
      <c r="O480" s="401"/>
      <c r="P480" s="420" t="n">
        <f aca="false">MATCH(t-pas/2-T_ini,CdP_t)</f>
        <v>23</v>
      </c>
      <c r="Q480" s="417" t="n">
        <f aca="false">(INDEX(CdP,2,i_P+1)-INDEX(CdP,2,i_P+0))/(INDEX(CdP,1,i_P+1)-INDEX(CdP,1,i_P+0))*(t-pas/2-T_ini-INDEX(CdP,1,i_P+0))+INDEX(CdP,2,i_P+0)</f>
        <v>0</v>
      </c>
      <c r="R480" s="418" t="n">
        <f aca="false">Poussee/(g*ISP)</f>
        <v>0</v>
      </c>
      <c r="S480" s="419" t="n">
        <f aca="false">S479-Débit*pas</f>
        <v>7.37799999999998</v>
      </c>
      <c r="T480" s="417" t="n">
        <f aca="false">m*g</f>
        <v>72.3781799999998</v>
      </c>
      <c r="U480" s="421" t="n">
        <f aca="false">IF(pos_xz&lt;L_rampe,Poids*COS(Beta),0)</f>
        <v>0</v>
      </c>
      <c r="V480" s="418" t="n">
        <f aca="false">Rho_moyen*(20000-Alt_rampe-pos_z)/(20000+Alt_rampe+pos_z)</f>
        <v>1.07215357431022</v>
      </c>
      <c r="W480" s="417" t="n">
        <f aca="false">1/2*Rho*Sref*Cx*vit_xz^2</f>
        <v>12.3479573359931</v>
      </c>
      <c r="X480" s="401"/>
      <c r="Y480" s="422" t="str">
        <f aca="false">IF(AND(pos_z&lt;=0,K479&gt;0),"Impact balistique","") &amp; IF(AND(H481&lt;0,vit_z&gt;=0),"Apogée","") &amp; IF(AND(Poussee=0,Q479&gt;0),"Fin de propulsion","") &amp; IF(AND(L481&gt;L_rampe,pos_xz&lt;=L_rampe),"Sortie de rampe","")</f>
        <v/>
      </c>
      <c r="Z480" s="423" t="str">
        <f aca="false">IF(ABS(t-T_para)&lt;pas/2,"Para","")</f>
        <v/>
      </c>
      <c r="AA480" s="424" t="str">
        <f aca="false">IF(ABS(t-T_satellite)&lt;pas/2,"Satellite","")</f>
        <v/>
      </c>
      <c r="AB480" s="412"/>
      <c r="AC480" s="420" t="e">
        <f aca="false">IF(ABS(t-ROUND(t,0))&lt;0.001,t,NA())</f>
        <v>#N/A</v>
      </c>
      <c r="AD480" s="425" t="e">
        <f aca="false">IF(ABS(t-ROUND(t,0))&lt;0.001,pos_x,NA())</f>
        <v>#N/A</v>
      </c>
      <c r="AE480" s="426" t="e">
        <f aca="false">IF(t&lt;T_para, pos_z, NA())</f>
        <v>#N/A</v>
      </c>
      <c r="AF480" s="412"/>
      <c r="AG480" s="418" t="n">
        <f aca="false">IF(AND(L479&lt;L_rampe,Poussee&lt;Poids*SIN(M479)),0,(-W479+Poussee)/m-Poids*SIN(M479)/m)</f>
        <v>-10.4242113253197</v>
      </c>
      <c r="AH480" s="417" t="n">
        <f aca="false">IF(AND(L479&lt;L_rampe,Poussee&lt;Poids*SIN(M479)), g*SIN(M479), (-W479+Poussee)/m)</f>
        <v>-1.7319729441056</v>
      </c>
    </row>
    <row r="481" customFormat="false" ht="12" hidden="false" customHeight="false" outlineLevel="0" collapsed="false">
      <c r="A481" s="416" t="n">
        <f aca="false">IF(B480+0.01&lt;=T_ini+ROUNDUP(Temps_fin_propu,0), 0.01, IF(K480&gt;0, 0.1, 0.0001))</f>
        <v>0.1</v>
      </c>
      <c r="B481" s="417" t="n">
        <f aca="false">B480+pas</f>
        <v>11.6999999999999</v>
      </c>
      <c r="C481" s="401"/>
      <c r="D481" s="418" t="n">
        <f aca="false">IF(AND(L480&lt;L_rampe,Poussee&lt;Poids*SIN(M480)),0,(-W480+Poussee)/m*COS(M480)-U480/m*SIN(M480))</f>
        <v>-0.786841517796916</v>
      </c>
      <c r="E481" s="419" t="n">
        <f aca="false">IF(AND(L480&lt;L_rampe,Poussee&lt;Poids*SIN(M480)),0,(-W480+Poussee)/m*SIN(M480)+U480/m*COS(M480)-Poids/m)</f>
        <v>-11.2871185899982</v>
      </c>
      <c r="F481" s="417" t="n">
        <f aca="false">SQRT(acc_x^2+acc_z^2)</f>
        <v>11.3145112859024</v>
      </c>
      <c r="G481" s="418" t="n">
        <f aca="false">G480+acc_x*pas</f>
        <v>28.6941076540694</v>
      </c>
      <c r="H481" s="419" t="n">
        <f aca="false">H480+acc_z*pas</f>
        <v>52.8857557323473</v>
      </c>
      <c r="I481" s="417" t="n">
        <f aca="false">SQRT(vit_x^2+vit_z^2)</f>
        <v>60.1685546896785</v>
      </c>
      <c r="J481" s="418" t="n">
        <f aca="false">J480+0.5*(vit_x+G480)*pas*(K480&gt;=0)</f>
        <v>378.196217924641</v>
      </c>
      <c r="K481" s="419" t="n">
        <f aca="false">K480+0.5*(vit_z+H480)*pas</f>
        <v>1336.09126513115</v>
      </c>
      <c r="L481" s="417" t="n">
        <f aca="false">SQRT(pos_x^2+pos_z^2)</f>
        <v>1388.58642079355</v>
      </c>
      <c r="M481" s="418" t="n">
        <f aca="false">IF(AND(L480&gt;L_rampe,G481&gt;0),ATAN2(G481,H481),$M$4)</f>
        <v>1.07367712825171</v>
      </c>
      <c r="N481" s="417" t="n">
        <f aca="false">DEGREES(Beta)</f>
        <v>61.5171680085493</v>
      </c>
      <c r="O481" s="401"/>
      <c r="P481" s="420" t="n">
        <f aca="false">MATCH(t-pas/2-T_ini,CdP_t)</f>
        <v>23</v>
      </c>
      <c r="Q481" s="417" t="n">
        <f aca="false">(INDEX(CdP,2,i_P+1)-INDEX(CdP,2,i_P+0))/(INDEX(CdP,1,i_P+1)-INDEX(CdP,1,i_P+0))*(t-pas/2-T_ini-INDEX(CdP,1,i_P+0))+INDEX(CdP,2,i_P+0)</f>
        <v>0</v>
      </c>
      <c r="R481" s="418" t="n">
        <f aca="false">Poussee/(g*ISP)</f>
        <v>0</v>
      </c>
      <c r="S481" s="419" t="n">
        <f aca="false">S480-Débit*pas</f>
        <v>7.37799999999998</v>
      </c>
      <c r="T481" s="417" t="n">
        <f aca="false">m*g</f>
        <v>72.3781799999998</v>
      </c>
      <c r="U481" s="421" t="n">
        <f aca="false">IF(pos_xz&lt;L_rampe,Poids*COS(Beta),0)</f>
        <v>0</v>
      </c>
      <c r="V481" s="418" t="n">
        <f aca="false">Rho_moyen*(20000-Alt_rampe-pos_z)/(20000+Alt_rampe+pos_z)</f>
        <v>1.07157810285425</v>
      </c>
      <c r="W481" s="417" t="n">
        <f aca="false">1/2*Rho*Sref*Cx*vit_xz^2</f>
        <v>11.928853402838</v>
      </c>
      <c r="X481" s="401"/>
      <c r="Y481" s="422" t="str">
        <f aca="false">IF(AND(pos_z&lt;=0,K480&gt;0),"Impact balistique","") &amp; IF(AND(H482&lt;0,vit_z&gt;=0),"Apogée","") &amp; IF(AND(Poussee=0,Q480&gt;0),"Fin de propulsion","") &amp; IF(AND(L482&gt;L_rampe,pos_xz&lt;=L_rampe),"Sortie de rampe","")</f>
        <v/>
      </c>
      <c r="Z481" s="423" t="str">
        <f aca="false">IF(ABS(t-T_para)&lt;pas/2,"Para","")</f>
        <v/>
      </c>
      <c r="AA481" s="424" t="str">
        <f aca="false">IF(ABS(t-T_satellite)&lt;pas/2,"Satellite","")</f>
        <v/>
      </c>
      <c r="AB481" s="412"/>
      <c r="AC481" s="420" t="e">
        <f aca="false">IF(ABS(t-ROUND(t,0))&lt;0.001,t,NA())</f>
        <v>#N/A</v>
      </c>
      <c r="AD481" s="425" t="e">
        <f aca="false">IF(ABS(t-ROUND(t,0))&lt;0.001,pos_x,NA())</f>
        <v>#N/A</v>
      </c>
      <c r="AE481" s="426" t="e">
        <f aca="false">IF(t&lt;T_para, pos_z, NA())</f>
        <v>#N/A</v>
      </c>
      <c r="AF481" s="412"/>
      <c r="AG481" s="418" t="n">
        <f aca="false">IF(AND(L480&lt;L_rampe,Poussee&lt;Poids*SIN(M480)),0,(-W480+Poussee)/m-Poids*SIN(M480)/m)</f>
        <v>-10.3318242542874</v>
      </c>
      <c r="AH481" s="417" t="n">
        <f aca="false">IF(AND(L480&lt;L_rampe,Poussee&lt;Poids*SIN(M480)), g*SIN(M480), (-W480+Poussee)/m)</f>
        <v>-1.6736185058272</v>
      </c>
    </row>
    <row r="482" customFormat="false" ht="12" hidden="false" customHeight="false" outlineLevel="0" collapsed="false">
      <c r="A482" s="416" t="n">
        <f aca="false">IF(B481+0.01&lt;=T_ini+ROUNDUP(Temps_fin_propu,0), 0.01, IF(K481&gt;0, 0.1, 0.0001))</f>
        <v>0.1</v>
      </c>
      <c r="B482" s="417" t="n">
        <f aca="false">B481+pas</f>
        <v>11.7999999999999</v>
      </c>
      <c r="C482" s="401"/>
      <c r="D482" s="418" t="n">
        <f aca="false">IF(AND(L481&lt;L_rampe,Poussee&lt;Poids*SIN(M481)),0,(-W481+Poussee)/m*COS(M481)-U481/m*SIN(M481))</f>
        <v>-0.771051159318813</v>
      </c>
      <c r="E482" s="419" t="n">
        <f aca="false">IF(AND(L481&lt;L_rampe,Poussee&lt;Poids*SIN(M481)),0,(-W481+Poussee)/m*SIN(M481)+U481/m*COS(M481)-Poids/m)</f>
        <v>-11.2311148769805</v>
      </c>
      <c r="F482" s="417" t="n">
        <f aca="false">SQRT(acc_x^2+acc_z^2)</f>
        <v>11.2575512999151</v>
      </c>
      <c r="G482" s="418" t="n">
        <f aca="false">G481+acc_x*pas</f>
        <v>28.6170025381375</v>
      </c>
      <c r="H482" s="419" t="n">
        <f aca="false">H481+acc_z*pas</f>
        <v>51.7626442446493</v>
      </c>
      <c r="I482" s="417" t="n">
        <f aca="false">SQRT(vit_x^2+vit_z^2)</f>
        <v>59.1464637443853</v>
      </c>
      <c r="J482" s="418" t="n">
        <f aca="false">J481+0.5*(vit_x+G481)*pas*(K481&gt;=0)</f>
        <v>381.061773434251</v>
      </c>
      <c r="K482" s="419" t="n">
        <f aca="false">K481+0.5*(vit_z+H481)*pas</f>
        <v>1341.32368513</v>
      </c>
      <c r="L482" s="417" t="n">
        <f aca="false">SQRT(pos_x^2+pos_z^2)</f>
        <v>1394.40213118869</v>
      </c>
      <c r="M482" s="418" t="n">
        <f aca="false">IF(AND(L481&gt;L_rampe,G482&gt;0),ATAN2(G482,H482),$M$4)</f>
        <v>1.06576728466024</v>
      </c>
      <c r="N482" s="417" t="n">
        <f aca="false">DEGREES(Beta)</f>
        <v>61.0639673541496</v>
      </c>
      <c r="O482" s="401"/>
      <c r="P482" s="420" t="n">
        <f aca="false">MATCH(t-pas/2-T_ini,CdP_t)</f>
        <v>23</v>
      </c>
      <c r="Q482" s="417" t="n">
        <f aca="false">(INDEX(CdP,2,i_P+1)-INDEX(CdP,2,i_P+0))/(INDEX(CdP,1,i_P+1)-INDEX(CdP,1,i_P+0))*(t-pas/2-T_ini-INDEX(CdP,1,i_P+0))+INDEX(CdP,2,i_P+0)</f>
        <v>0</v>
      </c>
      <c r="R482" s="418" t="n">
        <f aca="false">Poussee/(g*ISP)</f>
        <v>0</v>
      </c>
      <c r="S482" s="419" t="n">
        <f aca="false">S481-Débit*pas</f>
        <v>7.37799999999998</v>
      </c>
      <c r="T482" s="417" t="n">
        <f aca="false">m*g</f>
        <v>72.3781799999998</v>
      </c>
      <c r="U482" s="421" t="n">
        <f aca="false">IF(pos_xz&lt;L_rampe,Poids*COS(Beta),0)</f>
        <v>0</v>
      </c>
      <c r="V482" s="418" t="n">
        <f aca="false">Rho_moyen*(20000-Alt_rampe-pos_z)/(20000+Alt_rampe+pos_z)</f>
        <v>1.0710150327574</v>
      </c>
      <c r="W482" s="417" t="n">
        <f aca="false">1/2*Rho*Sref*Cx*vit_xz^2</f>
        <v>11.5209647270027</v>
      </c>
      <c r="X482" s="401"/>
      <c r="Y482" s="422" t="str">
        <f aca="false">IF(AND(pos_z&lt;=0,K481&gt;0),"Impact balistique","") &amp; IF(AND(H483&lt;0,vit_z&gt;=0),"Apogée","") &amp; IF(AND(Poussee=0,Q481&gt;0),"Fin de propulsion","") &amp; IF(AND(L483&gt;L_rampe,pos_xz&lt;=L_rampe),"Sortie de rampe","")</f>
        <v/>
      </c>
      <c r="Z482" s="423" t="str">
        <f aca="false">IF(ABS(t-T_para)&lt;pas/2,"Para","")</f>
        <v/>
      </c>
      <c r="AA482" s="424" t="str">
        <f aca="false">IF(ABS(t-T_satellite)&lt;pas/2,"Satellite","")</f>
        <v/>
      </c>
      <c r="AB482" s="412"/>
      <c r="AC482" s="420" t="e">
        <f aca="false">IF(ABS(t-ROUND(t,0))&lt;0.001,t,NA())</f>
        <v>#N/A</v>
      </c>
      <c r="AD482" s="425" t="e">
        <f aca="false">IF(ABS(t-ROUND(t,0))&lt;0.001,pos_x,NA())</f>
        <v>#N/A</v>
      </c>
      <c r="AE482" s="426" t="e">
        <f aca="false">IF(t&lt;T_para, pos_z, NA())</f>
        <v>#N/A</v>
      </c>
      <c r="AF482" s="412"/>
      <c r="AG482" s="418" t="n">
        <f aca="false">IF(AND(L481&lt;L_rampe,Poussee&lt;Poids*SIN(M481)),0,(-W481+Poussee)/m-Poids*SIN(M481)/m)</f>
        <v>-10.2394120340055</v>
      </c>
      <c r="AH482" s="417" t="n">
        <f aca="false">IF(AND(L481&lt;L_rampe,Poussee&lt;Poids*SIN(M481)), g*SIN(M481), (-W481+Poussee)/m)</f>
        <v>-1.61681396080755</v>
      </c>
    </row>
    <row r="483" customFormat="false" ht="12" hidden="false" customHeight="false" outlineLevel="0" collapsed="false">
      <c r="A483" s="416" t="n">
        <f aca="false">IF(B482+0.01&lt;=T_ini+ROUNDUP(Temps_fin_propu,0), 0.01, IF(K482&gt;0, 0.1, 0.0001))</f>
        <v>0.1</v>
      </c>
      <c r="B483" s="417" t="n">
        <f aca="false">B482+pas</f>
        <v>11.8999999999999</v>
      </c>
      <c r="C483" s="401"/>
      <c r="D483" s="418" t="n">
        <f aca="false">IF(AND(L482&lt;L_rampe,Poussee&lt;Poids*SIN(M482)),0,(-W482+Poussee)/m*COS(M482)-U482/m*SIN(M482))</f>
        <v>-0.755519284344531</v>
      </c>
      <c r="E483" s="419" t="n">
        <f aca="false">IF(AND(L482&lt;L_rampe,Poussee&lt;Poids*SIN(M482)),0,(-W482+Poussee)/m*SIN(M482)+U482/m*COS(M482)-Poids/m)</f>
        <v>-11.1765888271624</v>
      </c>
      <c r="F483" s="417" t="n">
        <f aca="false">SQRT(acc_x^2+acc_z^2)</f>
        <v>11.2020956611015</v>
      </c>
      <c r="G483" s="418" t="n">
        <f aca="false">G482+acc_x*pas</f>
        <v>28.541450609703</v>
      </c>
      <c r="H483" s="419" t="n">
        <f aca="false">H482+acc_z*pas</f>
        <v>50.644985361933</v>
      </c>
      <c r="I483" s="417" t="n">
        <f aca="false">SQRT(vit_x^2+vit_z^2)</f>
        <v>58.1337160795396</v>
      </c>
      <c r="J483" s="418" t="n">
        <f aca="false">J482+0.5*(vit_x+G482)*pas*(K482&gt;=0)</f>
        <v>383.919696091643</v>
      </c>
      <c r="K483" s="419" t="n">
        <f aca="false">K482+0.5*(vit_z+H482)*pas</f>
        <v>1346.44406661033</v>
      </c>
      <c r="L483" s="417" t="n">
        <f aca="false">SQRT(pos_x^2+pos_z^2)</f>
        <v>1400.10926629219</v>
      </c>
      <c r="M483" s="418" t="n">
        <f aca="false">IF(AND(L482&gt;L_rampe,G483&gt;0),ATAN2(G483,H483),$M$4)</f>
        <v>1.05760256823959</v>
      </c>
      <c r="N483" s="417" t="n">
        <f aca="false">DEGREES(Beta)</f>
        <v>60.5961635623254</v>
      </c>
      <c r="O483" s="401"/>
      <c r="P483" s="420" t="n">
        <f aca="false">MATCH(t-pas/2-T_ini,CdP_t)</f>
        <v>23</v>
      </c>
      <c r="Q483" s="417" t="n">
        <f aca="false">(INDEX(CdP,2,i_P+1)-INDEX(CdP,2,i_P+0))/(INDEX(CdP,1,i_P+1)-INDEX(CdP,1,i_P+0))*(t-pas/2-T_ini-INDEX(CdP,1,i_P+0))+INDEX(CdP,2,i_P+0)</f>
        <v>0</v>
      </c>
      <c r="R483" s="418" t="n">
        <f aca="false">Poussee/(g*ISP)</f>
        <v>0</v>
      </c>
      <c r="S483" s="419" t="n">
        <f aca="false">S482-Débit*pas</f>
        <v>7.37799999999998</v>
      </c>
      <c r="T483" s="417" t="n">
        <f aca="false">m*g</f>
        <v>72.3781799999998</v>
      </c>
      <c r="U483" s="421" t="n">
        <f aca="false">IF(pos_xz&lt;L_rampe,Poids*COS(Beta),0)</f>
        <v>0</v>
      </c>
      <c r="V483" s="418" t="n">
        <f aca="false">Rho_moyen*(20000-Alt_rampe-pos_z)/(20000+Alt_rampe+pos_z)</f>
        <v>1.07046428656213</v>
      </c>
      <c r="W483" s="417" t="n">
        <f aca="false">1/2*Rho*Sref*Cx*vit_xz^2</f>
        <v>11.1240790227974</v>
      </c>
      <c r="X483" s="401"/>
      <c r="Y483" s="422" t="str">
        <f aca="false">IF(AND(pos_z&lt;=0,K482&gt;0),"Impact balistique","") &amp; IF(AND(H484&lt;0,vit_z&gt;=0),"Apogée","") &amp; IF(AND(Poussee=0,Q482&gt;0),"Fin de propulsion","") &amp; IF(AND(L484&gt;L_rampe,pos_xz&lt;=L_rampe),"Sortie de rampe","")</f>
        <v/>
      </c>
      <c r="Z483" s="423" t="str">
        <f aca="false">IF(ABS(t-T_para)&lt;pas/2,"Para","")</f>
        <v/>
      </c>
      <c r="AA483" s="424" t="str">
        <f aca="false">IF(ABS(t-T_satellite)&lt;pas/2,"Satellite","")</f>
        <v/>
      </c>
      <c r="AB483" s="412"/>
      <c r="AC483" s="420" t="e">
        <f aca="false">IF(ABS(t-ROUND(t,0))&lt;0.001,t,NA())</f>
        <v>#N/A</v>
      </c>
      <c r="AD483" s="425" t="e">
        <f aca="false">IF(ABS(t-ROUND(t,0))&lt;0.001,pos_x,NA())</f>
        <v>#N/A</v>
      </c>
      <c r="AE483" s="426" t="e">
        <f aca="false">IF(t&lt;T_para, pos_z, NA())</f>
        <v>#N/A</v>
      </c>
      <c r="AF483" s="412"/>
      <c r="AG483" s="418" t="n">
        <f aca="false">IF(AND(L482&lt;L_rampe,Poussee&lt;Poids*SIN(M482)),0,(-W482+Poussee)/m-Poids*SIN(M482)/m)</f>
        <v>-10.1468532624455</v>
      </c>
      <c r="AH483" s="417" t="n">
        <f aca="false">IF(AND(L482&lt;L_rampe,Poussee&lt;Poids*SIN(M482)), g*SIN(M482), (-W482+Poussee)/m)</f>
        <v>-1.56152951030126</v>
      </c>
    </row>
    <row r="484" customFormat="false" ht="12" hidden="false" customHeight="false" outlineLevel="0" collapsed="false">
      <c r="A484" s="416" t="n">
        <f aca="false">IF(B483+0.01&lt;=T_ini+ROUNDUP(Temps_fin_propu,0), 0.01, IF(K483&gt;0, 0.1, 0.0001))</f>
        <v>0.1</v>
      </c>
      <c r="B484" s="417" t="n">
        <f aca="false">B483+pas</f>
        <v>11.9999999999999</v>
      </c>
      <c r="C484" s="401"/>
      <c r="D484" s="418" t="n">
        <f aca="false">IF(AND(L483&lt;L_rampe,Poussee&lt;Poids*SIN(M483)),0,(-W483+Poussee)/m*COS(M483)-U483/m*SIN(M483))</f>
        <v>-0.74024140150452</v>
      </c>
      <c r="E484" s="419" t="n">
        <f aca="false">IF(AND(L483&lt;L_rampe,Poussee&lt;Poids*SIN(M483)),0,(-W483+Poussee)/m*SIN(M483)+U483/m*COS(M483)-Poids/m)</f>
        <v>-11.1235111966155</v>
      </c>
      <c r="F484" s="417" t="n">
        <f aca="false">SQRT(acc_x^2+acc_z^2)</f>
        <v>11.1481145793238</v>
      </c>
      <c r="G484" s="418" t="n">
        <f aca="false">G483+acc_x*pas</f>
        <v>28.4674264695526</v>
      </c>
      <c r="H484" s="419" t="n">
        <f aca="false">H483+acc_z*pas</f>
        <v>49.5326342422715</v>
      </c>
      <c r="I484" s="417" t="n">
        <f aca="false">SQRT(vit_x^2+vit_z^2)</f>
        <v>57.1303441682091</v>
      </c>
      <c r="J484" s="418" t="n">
        <f aca="false">J483+0.5*(vit_x+G483)*pas*(K483&gt;=0)</f>
        <v>386.770139945606</v>
      </c>
      <c r="K484" s="419" t="n">
        <f aca="false">K483+0.5*(vit_z+H483)*pas</f>
        <v>1351.45294759054</v>
      </c>
      <c r="L484" s="417" t="n">
        <f aca="false">SQRT(pos_x^2+pos_z^2)</f>
        <v>1405.70843730295</v>
      </c>
      <c r="M484" s="418" t="n">
        <f aca="false">IF(AND(L483&gt;L_rampe,G484&gt;0),ATAN2(G484,H484),$M$4)</f>
        <v>1.04917203066237</v>
      </c>
      <c r="N484" s="417" t="n">
        <f aca="false">DEGREES(Beta)</f>
        <v>60.1131293401239</v>
      </c>
      <c r="O484" s="401"/>
      <c r="P484" s="420" t="n">
        <f aca="false">MATCH(t-pas/2-T_ini,CdP_t)</f>
        <v>23</v>
      </c>
      <c r="Q484" s="417" t="n">
        <f aca="false">(INDEX(CdP,2,i_P+1)-INDEX(CdP,2,i_P+0))/(INDEX(CdP,1,i_P+1)-INDEX(CdP,1,i_P+0))*(t-pas/2-T_ini-INDEX(CdP,1,i_P+0))+INDEX(CdP,2,i_P+0)</f>
        <v>0</v>
      </c>
      <c r="R484" s="418" t="n">
        <f aca="false">Poussee/(g*ISP)</f>
        <v>0</v>
      </c>
      <c r="S484" s="419" t="n">
        <f aca="false">S483-Débit*pas</f>
        <v>7.37799999999998</v>
      </c>
      <c r="T484" s="417" t="n">
        <f aca="false">m*g</f>
        <v>72.3781799999998</v>
      </c>
      <c r="U484" s="421" t="n">
        <f aca="false">IF(pos_xz&lt;L_rampe,Poids*COS(Beta),0)</f>
        <v>0</v>
      </c>
      <c r="V484" s="418" t="n">
        <f aca="false">Rho_moyen*(20000-Alt_rampe-pos_z)/(20000+Alt_rampe+pos_z)</f>
        <v>1.06992578890419</v>
      </c>
      <c r="W484" s="417" t="n">
        <f aca="false">1/2*Rho*Sref*Cx*vit_xz^2</f>
        <v>10.7379913195797</v>
      </c>
      <c r="X484" s="401"/>
      <c r="Y484" s="422" t="str">
        <f aca="false">IF(AND(pos_z&lt;=0,K483&gt;0),"Impact balistique","") &amp; IF(AND(H485&lt;0,vit_z&gt;=0),"Apogée","") &amp; IF(AND(Poussee=0,Q483&gt;0),"Fin de propulsion","") &amp; IF(AND(L485&gt;L_rampe,pos_xz&lt;=L_rampe),"Sortie de rampe","")</f>
        <v/>
      </c>
      <c r="Z484" s="423" t="str">
        <f aca="false">IF(ABS(t-T_para)&lt;pas/2,"Para","")</f>
        <v/>
      </c>
      <c r="AA484" s="424" t="str">
        <f aca="false">IF(ABS(t-T_satellite)&lt;pas/2,"Satellite","")</f>
        <v/>
      </c>
      <c r="AB484" s="412"/>
      <c r="AC484" s="420" t="n">
        <f aca="false">IF(ABS(t-ROUND(t,0))&lt;0.001,t,NA())</f>
        <v>11.9999999999999</v>
      </c>
      <c r="AD484" s="425" t="n">
        <f aca="false">IF(ABS(t-ROUND(t,0))&lt;0.001,pos_x,NA())</f>
        <v>386.770139945606</v>
      </c>
      <c r="AE484" s="426" t="e">
        <f aca="false">IF(t&lt;T_para, pos_z, NA())</f>
        <v>#N/A</v>
      </c>
      <c r="AF484" s="412"/>
      <c r="AG484" s="418" t="n">
        <f aca="false">IF(AND(L483&lt;L_rampe,Poussee&lt;Poids*SIN(M483)),0,(-W483+Poussee)/m-Poids*SIN(M483)/m)</f>
        <v>-10.054021393136</v>
      </c>
      <c r="AH484" s="417" t="n">
        <f aca="false">IF(AND(L483&lt;L_rampe,Poussee&lt;Poids*SIN(M483)), g*SIN(M483), (-W483+Poussee)/m)</f>
        <v>-1.50773638151225</v>
      </c>
    </row>
    <row r="485" customFormat="false" ht="12" hidden="false" customHeight="false" outlineLevel="0" collapsed="false">
      <c r="A485" s="416" t="n">
        <f aca="false">IF(B484+0.01&lt;=T_ini+ROUNDUP(Temps_fin_propu,0), 0.01, IF(K484&gt;0, 0.1, 0.0001))</f>
        <v>0.1</v>
      </c>
      <c r="B485" s="417" t="n">
        <f aca="false">B484+pas</f>
        <v>12.0999999999999</v>
      </c>
      <c r="C485" s="401"/>
      <c r="D485" s="418" t="n">
        <f aca="false">IF(AND(L484&lt;L_rampe,Poussee&lt;Poids*SIN(M484)),0,(-W484+Poussee)/m*COS(M484)-U484/m*SIN(M484))</f>
        <v>-0.725213307733862</v>
      </c>
      <c r="E485" s="419" t="n">
        <f aca="false">IF(AND(L484&lt;L_rampe,Poussee&lt;Poids*SIN(M484)),0,(-W484+Poussee)/m*SIN(M484)+U484/m*COS(M484)-Poids/m)</f>
        <v>-11.0718536332404</v>
      </c>
      <c r="F485" s="417" t="n">
        <f aca="false">SQRT(acc_x^2+acc_z^2)</f>
        <v>11.0955791745007</v>
      </c>
      <c r="G485" s="418" t="n">
        <f aca="false">G484+acc_x*pas</f>
        <v>28.3949051387792</v>
      </c>
      <c r="H485" s="419" t="n">
        <f aca="false">H484+acc_z*pas</f>
        <v>48.4254488789474</v>
      </c>
      <c r="I485" s="417" t="n">
        <f aca="false">SQRT(vit_x^2+vit_z^2)</f>
        <v>56.1363940502756</v>
      </c>
      <c r="J485" s="418" t="n">
        <f aca="false">J484+0.5*(vit_x+G484)*pas*(K484&gt;=0)</f>
        <v>389.613256526023</v>
      </c>
      <c r="K485" s="419" t="n">
        <f aca="false">K484+0.5*(vit_z+H484)*pas</f>
        <v>1356.3508517466</v>
      </c>
      <c r="L485" s="417" t="n">
        <f aca="false">SQRT(pos_x^2+pos_z^2)</f>
        <v>1411.20024188438</v>
      </c>
      <c r="M485" s="418" t="n">
        <f aca="false">IF(AND(L484&gt;L_rampe,G485&gt;0),ATAN2(G485,H485),$M$4)</f>
        <v>1.04046417240782</v>
      </c>
      <c r="N485" s="417" t="n">
        <f aca="false">DEGREES(Beta)</f>
        <v>59.6142058135399</v>
      </c>
      <c r="O485" s="401"/>
      <c r="P485" s="420" t="n">
        <f aca="false">MATCH(t-pas/2-T_ini,CdP_t)</f>
        <v>23</v>
      </c>
      <c r="Q485" s="417" t="n">
        <f aca="false">(INDEX(CdP,2,i_P+1)-INDEX(CdP,2,i_P+0))/(INDEX(CdP,1,i_P+1)-INDEX(CdP,1,i_P+0))*(t-pas/2-T_ini-INDEX(CdP,1,i_P+0))+INDEX(CdP,2,i_P+0)</f>
        <v>0</v>
      </c>
      <c r="R485" s="418" t="n">
        <f aca="false">Poussee/(g*ISP)</f>
        <v>0</v>
      </c>
      <c r="S485" s="419" t="n">
        <f aca="false">S484-Débit*pas</f>
        <v>7.37799999999998</v>
      </c>
      <c r="T485" s="417" t="n">
        <f aca="false">m*g</f>
        <v>72.3781799999998</v>
      </c>
      <c r="U485" s="421" t="n">
        <f aca="false">IF(pos_xz&lt;L_rampe,Poids*COS(Beta),0)</f>
        <v>0</v>
      </c>
      <c r="V485" s="418" t="n">
        <f aca="false">Rho_moyen*(20000-Alt_rampe-pos_z)/(20000+Alt_rampe+pos_z)</f>
        <v>1.0693994664703</v>
      </c>
      <c r="W485" s="417" t="n">
        <f aca="false">1/2*Rho*Sref*Cx*vit_xz^2</f>
        <v>10.3625037183026</v>
      </c>
      <c r="X485" s="401"/>
      <c r="Y485" s="422" t="str">
        <f aca="false">IF(AND(pos_z&lt;=0,K484&gt;0),"Impact balistique","") &amp; IF(AND(H486&lt;0,vit_z&gt;=0),"Apogée","") &amp; IF(AND(Poussee=0,Q484&gt;0),"Fin de propulsion","") &amp; IF(AND(L486&gt;L_rampe,pos_xz&lt;=L_rampe),"Sortie de rampe","")</f>
        <v/>
      </c>
      <c r="Z485" s="423" t="str">
        <f aca="false">IF(ABS(t-T_para)&lt;pas/2,"Para","")</f>
        <v/>
      </c>
      <c r="AA485" s="424" t="str">
        <f aca="false">IF(ABS(t-T_satellite)&lt;pas/2,"Satellite","")</f>
        <v/>
      </c>
      <c r="AB485" s="412"/>
      <c r="AC485" s="420" t="e">
        <f aca="false">IF(ABS(t-ROUND(t,0))&lt;0.001,t,NA())</f>
        <v>#N/A</v>
      </c>
      <c r="AD485" s="425" t="e">
        <f aca="false">IF(ABS(t-ROUND(t,0))&lt;0.001,pos_x,NA())</f>
        <v>#N/A</v>
      </c>
      <c r="AE485" s="426" t="e">
        <f aca="false">IF(t&lt;T_para, pos_z, NA())</f>
        <v>#N/A</v>
      </c>
      <c r="AF485" s="412"/>
      <c r="AG485" s="418" t="n">
        <f aca="false">IF(AND(L484&lt;L_rampe,Poussee&lt;Poids*SIN(M484)),0,(-W484+Poussee)/m-Poids*SIN(M484)/m)</f>
        <v>-9.96078425917446</v>
      </c>
      <c r="AH485" s="417" t="n">
        <f aca="false">IF(AND(L484&lt;L_rampe,Poussee&lt;Poids*SIN(M484)), g*SIN(M484), (-W484+Poussee)/m)</f>
        <v>-1.45540679311192</v>
      </c>
    </row>
    <row r="486" customFormat="false" ht="12" hidden="false" customHeight="false" outlineLevel="0" collapsed="false">
      <c r="A486" s="416" t="n">
        <f aca="false">IF(B485+0.01&lt;=T_ini+ROUNDUP(Temps_fin_propu,0), 0.01, IF(K485&gt;0, 0.1, 0.0001))</f>
        <v>0.1</v>
      </c>
      <c r="B486" s="417" t="n">
        <f aca="false">B485+pas</f>
        <v>12.1999999999999</v>
      </c>
      <c r="C486" s="401"/>
      <c r="D486" s="418" t="n">
        <f aca="false">IF(AND(L485&lt;L_rampe,Poussee&lt;Poids*SIN(M485)),0,(-W485+Poussee)/m*COS(M485)-U485/m*SIN(M485))</f>
        <v>-0.710431089543145</v>
      </c>
      <c r="E486" s="419" t="n">
        <f aca="false">IF(AND(L485&lt;L_rampe,Poussee&lt;Poids*SIN(M485)),0,(-W485+Poussee)/m*SIN(M485)+U485/m*COS(M485)-Poids/m)</f>
        <v>-11.0215886367834</v>
      </c>
      <c r="F486" s="417" t="n">
        <f aca="false">SQRT(acc_x^2+acc_z^2)</f>
        <v>11.0444614360077</v>
      </c>
      <c r="G486" s="418" t="n">
        <f aca="false">G485+acc_x*pas</f>
        <v>28.3238620298249</v>
      </c>
      <c r="H486" s="419" t="n">
        <f aca="false">H485+acc_z*pas</f>
        <v>47.3232900152691</v>
      </c>
      <c r="I486" s="417" t="n">
        <f aca="false">SQRT(vit_x^2+vit_z^2)</f>
        <v>55.1519259695781</v>
      </c>
      <c r="J486" s="418" t="n">
        <f aca="false">J485+0.5*(vit_x+G485)*pas*(K485&gt;=0)</f>
        <v>392.449194884453</v>
      </c>
      <c r="K486" s="419" t="n">
        <f aca="false">K485+0.5*(vit_z+H485)*pas</f>
        <v>1361.13828869131</v>
      </c>
      <c r="L486" s="417" t="n">
        <f aca="false">SQRT(pos_x^2+pos_z^2)</f>
        <v>1416.58526446768</v>
      </c>
      <c r="M486" s="418" t="n">
        <f aca="false">IF(AND(L485&gt;L_rampe,G486&gt;0),ATAN2(G486,H486),$M$4)</f>
        <v>1.03146691607493</v>
      </c>
      <c r="N486" s="417" t="n">
        <f aca="false">DEGREES(Beta)</f>
        <v>59.098700998468</v>
      </c>
      <c r="O486" s="401"/>
      <c r="P486" s="420" t="n">
        <f aca="false">MATCH(t-pas/2-T_ini,CdP_t)</f>
        <v>23</v>
      </c>
      <c r="Q486" s="417" t="n">
        <f aca="false">(INDEX(CdP,2,i_P+1)-INDEX(CdP,2,i_P+0))/(INDEX(CdP,1,i_P+1)-INDEX(CdP,1,i_P+0))*(t-pas/2-T_ini-INDEX(CdP,1,i_P+0))+INDEX(CdP,2,i_P+0)</f>
        <v>0</v>
      </c>
      <c r="R486" s="418" t="n">
        <f aca="false">Poussee/(g*ISP)</f>
        <v>0</v>
      </c>
      <c r="S486" s="419" t="n">
        <f aca="false">S485-Débit*pas</f>
        <v>7.37799999999998</v>
      </c>
      <c r="T486" s="417" t="n">
        <f aca="false">m*g</f>
        <v>72.3781799999998</v>
      </c>
      <c r="U486" s="421" t="n">
        <f aca="false">IF(pos_xz&lt;L_rampe,Poids*COS(Beta),0)</f>
        <v>0</v>
      </c>
      <c r="V486" s="418" t="n">
        <f aca="false">Rho_moyen*(20000-Alt_rampe-pos_z)/(20000+Alt_rampe+pos_z)</f>
        <v>1.06888524795707</v>
      </c>
      <c r="W486" s="417" t="n">
        <f aca="false">1/2*Rho*Sref*Cx*vit_xz^2</f>
        <v>9.99742515847989</v>
      </c>
      <c r="X486" s="401"/>
      <c r="Y486" s="422" t="str">
        <f aca="false">IF(AND(pos_z&lt;=0,K485&gt;0),"Impact balistique","") &amp; IF(AND(H487&lt;0,vit_z&gt;=0),"Apogée","") &amp; IF(AND(Poussee=0,Q485&gt;0),"Fin de propulsion","") &amp; IF(AND(L487&gt;L_rampe,pos_xz&lt;=L_rampe),"Sortie de rampe","")</f>
        <v/>
      </c>
      <c r="Z486" s="423" t="str">
        <f aca="false">IF(ABS(t-T_para)&lt;pas/2,"Para","")</f>
        <v/>
      </c>
      <c r="AA486" s="424" t="str">
        <f aca="false">IF(ABS(t-T_satellite)&lt;pas/2,"Satellite","")</f>
        <v/>
      </c>
      <c r="AB486" s="412"/>
      <c r="AC486" s="420" t="e">
        <f aca="false">IF(ABS(t-ROUND(t,0))&lt;0.001,t,NA())</f>
        <v>#N/A</v>
      </c>
      <c r="AD486" s="425" t="e">
        <f aca="false">IF(ABS(t-ROUND(t,0))&lt;0.001,pos_x,NA())</f>
        <v>#N/A</v>
      </c>
      <c r="AE486" s="426" t="e">
        <f aca="false">IF(t&lt;T_para, pos_z, NA())</f>
        <v>#N/A</v>
      </c>
      <c r="AF486" s="412"/>
      <c r="AG486" s="418" t="n">
        <f aca="false">IF(AND(L485&lt;L_rampe,Poussee&lt;Poids*SIN(M485)),0,(-W485+Poussee)/m-Poids*SIN(M485)/m)</f>
        <v>-9.86700356981405</v>
      </c>
      <c r="AH486" s="417" t="n">
        <f aca="false">IF(AND(L485&lt;L_rampe,Poussee&lt;Poids*SIN(M485)), g*SIN(M485), (-W485+Poussee)/m)</f>
        <v>-1.40451392224215</v>
      </c>
    </row>
    <row r="487" customFormat="false" ht="12" hidden="false" customHeight="false" outlineLevel="0" collapsed="false">
      <c r="A487" s="416" t="n">
        <f aca="false">IF(B486+0.01&lt;=T_ini+ROUNDUP(Temps_fin_propu,0), 0.01, IF(K486&gt;0, 0.1, 0.0001))</f>
        <v>0.1</v>
      </c>
      <c r="B487" s="417" t="n">
        <f aca="false">B486+pas</f>
        <v>12.2999999999999</v>
      </c>
      <c r="C487" s="401"/>
      <c r="D487" s="418" t="n">
        <f aca="false">IF(AND(L486&lt;L_rampe,Poussee&lt;Poids*SIN(M486)),0,(-W486+Poussee)/m*COS(M486)-U486/m*SIN(M486))</f>
        <v>-0.695891125108921</v>
      </c>
      <c r="E487" s="419" t="n">
        <f aca="false">IF(AND(L486&lt;L_rampe,Poussee&lt;Poids*SIN(M486)),0,(-W486+Poussee)/m*SIN(M486)+U486/m*COS(M486)-Poids/m)</f>
        <v>-10.9726895194555</v>
      </c>
      <c r="F487" s="417" t="n">
        <f aca="false">SQRT(acc_x^2+acc_z^2)</f>
        <v>10.9947341827065</v>
      </c>
      <c r="G487" s="418" t="n">
        <f aca="false">G486+acc_x*pas</f>
        <v>28.254272917314</v>
      </c>
      <c r="H487" s="419" t="n">
        <f aca="false">H486+acc_z*pas</f>
        <v>46.2260210633235</v>
      </c>
      <c r="I487" s="417" t="n">
        <f aca="false">SQRT(vit_x^2+vit_z^2)</f>
        <v>54.1770150657352</v>
      </c>
      <c r="J487" s="418" t="n">
        <f aca="false">J486+0.5*(vit_x+G486)*pas*(K486&gt;=0)</f>
        <v>395.27810163181</v>
      </c>
      <c r="K487" s="419" t="n">
        <f aca="false">K486+0.5*(vit_z+H486)*pas</f>
        <v>1365.81575424524</v>
      </c>
      <c r="L487" s="417" t="n">
        <f aca="false">SQRT(pos_x^2+pos_z^2)</f>
        <v>1421.86407654675</v>
      </c>
      <c r="M487" s="418" t="n">
        <f aca="false">IF(AND(L486&gt;L_rampe,G487&gt;0),ATAN2(G487,H487),$M$4)</f>
        <v>1.02216757920329</v>
      </c>
      <c r="N487" s="417" t="n">
        <f aca="false">DEGREES(Beta)</f>
        <v>58.5658882434531</v>
      </c>
      <c r="O487" s="401"/>
      <c r="P487" s="420" t="n">
        <f aca="false">MATCH(t-pas/2-T_ini,CdP_t)</f>
        <v>23</v>
      </c>
      <c r="Q487" s="417" t="n">
        <f aca="false">(INDEX(CdP,2,i_P+1)-INDEX(CdP,2,i_P+0))/(INDEX(CdP,1,i_P+1)-INDEX(CdP,1,i_P+0))*(t-pas/2-T_ini-INDEX(CdP,1,i_P+0))+INDEX(CdP,2,i_P+0)</f>
        <v>0</v>
      </c>
      <c r="R487" s="418" t="n">
        <f aca="false">Poussee/(g*ISP)</f>
        <v>0</v>
      </c>
      <c r="S487" s="419" t="n">
        <f aca="false">S486-Débit*pas</f>
        <v>7.37799999999998</v>
      </c>
      <c r="T487" s="417" t="n">
        <f aca="false">m*g</f>
        <v>72.3781799999998</v>
      </c>
      <c r="U487" s="421" t="n">
        <f aca="false">IF(pos_xz&lt;L_rampe,Poids*COS(Beta),0)</f>
        <v>0</v>
      </c>
      <c r="V487" s="418" t="n">
        <f aca="false">Rho_moyen*(20000-Alt_rampe-pos_z)/(20000+Alt_rampe+pos_z)</f>
        <v>1.06838306403134</v>
      </c>
      <c r="W487" s="417" t="n">
        <f aca="false">1/2*Rho*Sref*Cx*vit_xz^2</f>
        <v>9.64257119506082</v>
      </c>
      <c r="X487" s="401"/>
      <c r="Y487" s="422" t="str">
        <f aca="false">IF(AND(pos_z&lt;=0,K486&gt;0),"Impact balistique","") &amp; IF(AND(H488&lt;0,vit_z&gt;=0),"Apogée","") &amp; IF(AND(Poussee=0,Q486&gt;0),"Fin de propulsion","") &amp; IF(AND(L488&gt;L_rampe,pos_xz&lt;=L_rampe),"Sortie de rampe","")</f>
        <v/>
      </c>
      <c r="Z487" s="423" t="str">
        <f aca="false">IF(ABS(t-T_para)&lt;pas/2,"Para","")</f>
        <v/>
      </c>
      <c r="AA487" s="424" t="str">
        <f aca="false">IF(ABS(t-T_satellite)&lt;pas/2,"Satellite","")</f>
        <v/>
      </c>
      <c r="AB487" s="412"/>
      <c r="AC487" s="420" t="e">
        <f aca="false">IF(ABS(t-ROUND(t,0))&lt;0.001,t,NA())</f>
        <v>#N/A</v>
      </c>
      <c r="AD487" s="425" t="e">
        <f aca="false">IF(ABS(t-ROUND(t,0))&lt;0.001,pos_x,NA())</f>
        <v>#N/A</v>
      </c>
      <c r="AE487" s="426" t="e">
        <f aca="false">IF(t&lt;T_para, pos_z, NA())</f>
        <v>#N/A</v>
      </c>
      <c r="AF487" s="412"/>
      <c r="AG487" s="418" t="n">
        <f aca="false">IF(AND(L486&lt;L_rampe,Poussee&lt;Poids*SIN(M486)),0,(-W486+Poussee)/m-Poids*SIN(M486)/m)</f>
        <v>-9.77253437875154</v>
      </c>
      <c r="AH487" s="417" t="n">
        <f aca="false">IF(AND(L486&lt;L_rampe,Poussee&lt;Poids*SIN(M486)), g*SIN(M486), (-W486+Poussee)/m)</f>
        <v>-1.35503187293032</v>
      </c>
    </row>
    <row r="488" customFormat="false" ht="12" hidden="false" customHeight="false" outlineLevel="0" collapsed="false">
      <c r="A488" s="416" t="n">
        <f aca="false">IF(B487+0.01&lt;=T_ini+ROUNDUP(Temps_fin_propu,0), 0.01, IF(K487&gt;0, 0.1, 0.0001))</f>
        <v>0.1</v>
      </c>
      <c r="B488" s="417" t="n">
        <f aca="false">B487+pas</f>
        <v>12.3999999999999</v>
      </c>
      <c r="C488" s="401"/>
      <c r="D488" s="418" t="n">
        <f aca="false">IF(AND(L487&lt;L_rampe,Poussee&lt;Poids*SIN(M487)),0,(-W487+Poussee)/m*COS(M487)-U487/m*SIN(M487))</f>
        <v>-0.681590087204493</v>
      </c>
      <c r="E488" s="419" t="n">
        <f aca="false">IF(AND(L487&lt;L_rampe,Poussee&lt;Poids*SIN(M487)),0,(-W487+Poussee)/m*SIN(M487)+U487/m*COS(M487)-Poids/m)</f>
        <v>-10.9251303670023</v>
      </c>
      <c r="F488" s="417" t="n">
        <f aca="false">SQRT(acc_x^2+acc_z^2)</f>
        <v>10.9463710234475</v>
      </c>
      <c r="G488" s="418" t="n">
        <f aca="false">G487+acc_x*pas</f>
        <v>28.1861139085935</v>
      </c>
      <c r="H488" s="419" t="n">
        <f aca="false">H487+acc_z*pas</f>
        <v>45.1335080266233</v>
      </c>
      <c r="I488" s="417" t="n">
        <f aca="false">SQRT(vit_x^2+vit_z^2)</f>
        <v>53.2117521235439</v>
      </c>
      <c r="J488" s="418" t="n">
        <f aca="false">J487+0.5*(vit_x+G487)*pas*(K487&gt;=0)</f>
        <v>398.100120973105</v>
      </c>
      <c r="K488" s="419" t="n">
        <f aca="false">K487+0.5*(vit_z+H487)*pas</f>
        <v>1370.38373069974</v>
      </c>
      <c r="L488" s="417" t="n">
        <f aca="false">SQRT(pos_x^2+pos_z^2)</f>
        <v>1427.03723696522</v>
      </c>
      <c r="M488" s="418" t="n">
        <f aca="false">IF(AND(L487&gt;L_rampe,G488&gt;0),ATAN2(G488,H488),$M$4)</f>
        <v>1.01255284679593</v>
      </c>
      <c r="N488" s="417" t="n">
        <f aca="false">DEGREES(Beta)</f>
        <v>58.0150046553634</v>
      </c>
      <c r="O488" s="401"/>
      <c r="P488" s="420" t="n">
        <f aca="false">MATCH(t-pas/2-T_ini,CdP_t)</f>
        <v>23</v>
      </c>
      <c r="Q488" s="417" t="n">
        <f aca="false">(INDEX(CdP,2,i_P+1)-INDEX(CdP,2,i_P+0))/(INDEX(CdP,1,i_P+1)-INDEX(CdP,1,i_P+0))*(t-pas/2-T_ini-INDEX(CdP,1,i_P+0))+INDEX(CdP,2,i_P+0)</f>
        <v>0</v>
      </c>
      <c r="R488" s="418" t="n">
        <f aca="false">Poussee/(g*ISP)</f>
        <v>0</v>
      </c>
      <c r="S488" s="419" t="n">
        <f aca="false">S487-Débit*pas</f>
        <v>7.37799999999998</v>
      </c>
      <c r="T488" s="417" t="n">
        <f aca="false">m*g</f>
        <v>72.3781799999998</v>
      </c>
      <c r="U488" s="421" t="n">
        <f aca="false">IF(pos_xz&lt;L_rampe,Poids*COS(Beta),0)</f>
        <v>0</v>
      </c>
      <c r="V488" s="418" t="n">
        <f aca="false">Rho_moyen*(20000-Alt_rampe-pos_z)/(20000+Alt_rampe+pos_z)</f>
        <v>1.06789284729168</v>
      </c>
      <c r="W488" s="417" t="n">
        <f aca="false">1/2*Rho*Sref*Cx*vit_xz^2</f>
        <v>9.29776378472616</v>
      </c>
      <c r="X488" s="401"/>
      <c r="Y488" s="422" t="str">
        <f aca="false">IF(AND(pos_z&lt;=0,K487&gt;0),"Impact balistique","") &amp; IF(AND(H489&lt;0,vit_z&gt;=0),"Apogée","") &amp; IF(AND(Poussee=0,Q487&gt;0),"Fin de propulsion","") &amp; IF(AND(L489&gt;L_rampe,pos_xz&lt;=L_rampe),"Sortie de rampe","")</f>
        <v/>
      </c>
      <c r="Z488" s="423" t="str">
        <f aca="false">IF(ABS(t-T_para)&lt;pas/2,"Para","")</f>
        <v/>
      </c>
      <c r="AA488" s="424" t="str">
        <f aca="false">IF(ABS(t-T_satellite)&lt;pas/2,"Satellite","")</f>
        <v/>
      </c>
      <c r="AB488" s="412"/>
      <c r="AC488" s="420" t="e">
        <f aca="false">IF(ABS(t-ROUND(t,0))&lt;0.001,t,NA())</f>
        <v>#N/A</v>
      </c>
      <c r="AD488" s="425" t="e">
        <f aca="false">IF(ABS(t-ROUND(t,0))&lt;0.001,pos_x,NA())</f>
        <v>#N/A</v>
      </c>
      <c r="AE488" s="426" t="e">
        <f aca="false">IF(t&lt;T_para, pos_z, NA())</f>
        <v>#N/A</v>
      </c>
      <c r="AF488" s="412"/>
      <c r="AG488" s="418" t="n">
        <f aca="false">IF(AND(L487&lt;L_rampe,Poussee&lt;Poids*SIN(M487)),0,(-W487+Poussee)/m-Poids*SIN(M487)/m)</f>
        <v>-9.67722452353792</v>
      </c>
      <c r="AH488" s="417" t="n">
        <f aca="false">IF(AND(L487&lt;L_rampe,Poussee&lt;Poids*SIN(M487)), g*SIN(M487), (-W487+Poussee)/m)</f>
        <v>-1.30693564584723</v>
      </c>
    </row>
    <row r="489" customFormat="false" ht="12" hidden="false" customHeight="false" outlineLevel="0" collapsed="false">
      <c r="A489" s="416" t="n">
        <f aca="false">IF(B488+0.01&lt;=T_ini+ROUNDUP(Temps_fin_propu,0), 0.01, IF(K488&gt;0, 0.1, 0.0001))</f>
        <v>0.1</v>
      </c>
      <c r="B489" s="417" t="n">
        <f aca="false">B488+pas</f>
        <v>12.4999999999999</v>
      </c>
      <c r="C489" s="401"/>
      <c r="D489" s="418" t="n">
        <f aca="false">IF(AND(L488&lt;L_rampe,Poussee&lt;Poids*SIN(M488)),0,(-W488+Poussee)/m*COS(M488)-U488/m*SIN(M488))</f>
        <v>-0.667524946992618</v>
      </c>
      <c r="E489" s="419" t="n">
        <f aca="false">IF(AND(L488&lt;L_rampe,Poussee&lt;Poids*SIN(M488)),0,(-W488+Poussee)/m*SIN(M488)+U488/m*COS(M488)-Poids/m)</f>
        <v>-10.8788860000625</v>
      </c>
      <c r="F489" s="417" t="n">
        <f aca="false">SQRT(acc_x^2+acc_z^2)</f>
        <v>10.8993463178859</v>
      </c>
      <c r="G489" s="418" t="n">
        <f aca="false">G488+acc_x*pas</f>
        <v>28.1193614138943</v>
      </c>
      <c r="H489" s="419" t="n">
        <f aca="false">H488+acc_z*pas</f>
        <v>44.0456194266171</v>
      </c>
      <c r="I489" s="417" t="n">
        <f aca="false">SQRT(vit_x^2+vit_z^2)</f>
        <v>52.2562443828447</v>
      </c>
      <c r="J489" s="418" t="n">
        <f aca="false">J488+0.5*(vit_x+G488)*pas*(K488&gt;=0)</f>
        <v>400.91539473923</v>
      </c>
      <c r="K489" s="419" t="n">
        <f aca="false">K488+0.5*(vit_z+H488)*pas</f>
        <v>1374.8426870724</v>
      </c>
      <c r="L489" s="417" t="n">
        <f aca="false">SQRT(pos_x^2+pos_z^2)</f>
        <v>1432.10529219585</v>
      </c>
      <c r="M489" s="418" t="n">
        <f aca="false">IF(AND(L488&gt;L_rampe,G489&gt;0),ATAN2(G489,H489),$M$4)</f>
        <v>1.00260874379145</v>
      </c>
      <c r="N489" s="417" t="n">
        <f aca="false">DEGREES(Beta)</f>
        <v>57.4452495221636</v>
      </c>
      <c r="O489" s="401"/>
      <c r="P489" s="420" t="n">
        <f aca="false">MATCH(t-pas/2-T_ini,CdP_t)</f>
        <v>23</v>
      </c>
      <c r="Q489" s="417" t="n">
        <f aca="false">(INDEX(CdP,2,i_P+1)-INDEX(CdP,2,i_P+0))/(INDEX(CdP,1,i_P+1)-INDEX(CdP,1,i_P+0))*(t-pas/2-T_ini-INDEX(CdP,1,i_P+0))+INDEX(CdP,2,i_P+0)</f>
        <v>0</v>
      </c>
      <c r="R489" s="418" t="n">
        <f aca="false">Poussee/(g*ISP)</f>
        <v>0</v>
      </c>
      <c r="S489" s="419" t="n">
        <f aca="false">S488-Débit*pas</f>
        <v>7.37799999999998</v>
      </c>
      <c r="T489" s="417" t="n">
        <f aca="false">m*g</f>
        <v>72.3781799999998</v>
      </c>
      <c r="U489" s="421" t="n">
        <f aca="false">IF(pos_xz&lt;L_rampe,Poids*COS(Beta),0)</f>
        <v>0</v>
      </c>
      <c r="V489" s="418" t="n">
        <f aca="false">Rho_moyen*(20000-Alt_rampe-pos_z)/(20000+Alt_rampe+pos_z)</f>
        <v>1.06741453223117</v>
      </c>
      <c r="W489" s="417" t="n">
        <f aca="false">1/2*Rho*Sref*Cx*vit_xz^2</f>
        <v>8.96283108114432</v>
      </c>
      <c r="X489" s="401"/>
      <c r="Y489" s="422" t="str">
        <f aca="false">IF(AND(pos_z&lt;=0,K488&gt;0),"Impact balistique","") &amp; IF(AND(H490&lt;0,vit_z&gt;=0),"Apogée","") &amp; IF(AND(Poussee=0,Q488&gt;0),"Fin de propulsion","") &amp; IF(AND(L490&gt;L_rampe,pos_xz&lt;=L_rampe),"Sortie de rampe","")</f>
        <v/>
      </c>
      <c r="Z489" s="423" t="str">
        <f aca="false">IF(ABS(t-T_para)&lt;pas/2,"Para","")</f>
        <v/>
      </c>
      <c r="AA489" s="424" t="str">
        <f aca="false">IF(ABS(t-T_satellite)&lt;pas/2,"Satellite","")</f>
        <v/>
      </c>
      <c r="AB489" s="412"/>
      <c r="AC489" s="420" t="e">
        <f aca="false">IF(ABS(t-ROUND(t,0))&lt;0.001,t,NA())</f>
        <v>#N/A</v>
      </c>
      <c r="AD489" s="425" t="e">
        <f aca="false">IF(ABS(t-ROUND(t,0))&lt;0.001,pos_x,NA())</f>
        <v>#N/A</v>
      </c>
      <c r="AE489" s="426" t="e">
        <f aca="false">IF(t&lt;T_para, pos_z, NA())</f>
        <v>#N/A</v>
      </c>
      <c r="AF489" s="412"/>
      <c r="AG489" s="418" t="n">
        <f aca="false">IF(AND(L488&lt;L_rampe,Poussee&lt;Poids*SIN(M488)),0,(-W488+Poussee)/m-Poids*SIN(M488)/m)</f>
        <v>-9.58091403593776</v>
      </c>
      <c r="AH489" s="417" t="n">
        <f aca="false">IF(AND(L488&lt;L_rampe,Poussee&lt;Poids*SIN(M488)), g*SIN(M488), (-W488+Poussee)/m)</f>
        <v>-1.26020110934212</v>
      </c>
    </row>
    <row r="490" customFormat="false" ht="12" hidden="false" customHeight="false" outlineLevel="0" collapsed="false">
      <c r="A490" s="416" t="n">
        <f aca="false">IF(B489+0.01&lt;=T_ini+ROUNDUP(Temps_fin_propu,0), 0.01, IF(K489&gt;0, 0.1, 0.0001))</f>
        <v>0.1</v>
      </c>
      <c r="B490" s="417" t="n">
        <f aca="false">B489+pas</f>
        <v>12.5999999999999</v>
      </c>
      <c r="C490" s="401"/>
      <c r="D490" s="418" t="n">
        <f aca="false">IF(AND(L489&lt;L_rampe,Poussee&lt;Poids*SIN(M489)),0,(-W489+Poussee)/m*COS(M489)-U489/m*SIN(M489))</f>
        <v>-0.653692978702084</v>
      </c>
      <c r="E490" s="419" t="n">
        <f aca="false">IF(AND(L489&lt;L_rampe,Poussee&lt;Poids*SIN(M489)),0,(-W489+Poussee)/m*SIN(M489)+U489/m*COS(M489)-Poids/m)</f>
        <v>-10.8339319356498</v>
      </c>
      <c r="F490" s="417" t="n">
        <f aca="false">SQRT(acc_x^2+acc_z^2)</f>
        <v>10.8536351374411</v>
      </c>
      <c r="G490" s="418" t="n">
        <f aca="false">G489+acc_x*pas</f>
        <v>28.053992116024</v>
      </c>
      <c r="H490" s="419" t="n">
        <f aca="false">H489+acc_z*pas</f>
        <v>42.9622262330521</v>
      </c>
      <c r="I490" s="417" t="n">
        <f aca="false">SQRT(vit_x^2+vit_z^2)</f>
        <v>51.3106164116734</v>
      </c>
      <c r="J490" s="418" t="n">
        <f aca="false">J489+0.5*(vit_x+G489)*pas*(K489&gt;=0)</f>
        <v>403.724062415725</v>
      </c>
      <c r="K490" s="419" t="n">
        <f aca="false">K489+0.5*(vit_z+H489)*pas</f>
        <v>1379.19307935538</v>
      </c>
      <c r="L490" s="417" t="n">
        <f aca="false">SQRT(pos_x^2+pos_z^2)</f>
        <v>1437.06877661274</v>
      </c>
      <c r="M490" s="418" t="n">
        <f aca="false">IF(AND(L489&gt;L_rampe,G490&gt;0),ATAN2(G490,H490),$M$4)</f>
        <v>0.992320607796906</v>
      </c>
      <c r="N490" s="417" t="n">
        <f aca="false">DEGREES(Beta)</f>
        <v>56.8557827506194</v>
      </c>
      <c r="O490" s="401"/>
      <c r="P490" s="420" t="n">
        <f aca="false">MATCH(t-pas/2-T_ini,CdP_t)</f>
        <v>23</v>
      </c>
      <c r="Q490" s="417" t="n">
        <f aca="false">(INDEX(CdP,2,i_P+1)-INDEX(CdP,2,i_P+0))/(INDEX(CdP,1,i_P+1)-INDEX(CdP,1,i_P+0))*(t-pas/2-T_ini-INDEX(CdP,1,i_P+0))+INDEX(CdP,2,i_P+0)</f>
        <v>0</v>
      </c>
      <c r="R490" s="418" t="n">
        <f aca="false">Poussee/(g*ISP)</f>
        <v>0</v>
      </c>
      <c r="S490" s="419" t="n">
        <f aca="false">S489-Débit*pas</f>
        <v>7.37799999999998</v>
      </c>
      <c r="T490" s="417" t="n">
        <f aca="false">m*g</f>
        <v>72.3781799999998</v>
      </c>
      <c r="U490" s="421" t="n">
        <f aca="false">IF(pos_xz&lt;L_rampe,Poids*COS(Beta),0)</f>
        <v>0</v>
      </c>
      <c r="V490" s="418" t="n">
        <f aca="false">Rho_moyen*(20000-Alt_rampe-pos_z)/(20000+Alt_rampe+pos_z)</f>
        <v>1.06694805520122</v>
      </c>
      <c r="W490" s="417" t="n">
        <f aca="false">1/2*Rho*Sref*Cx*vit_xz^2</f>
        <v>8.6376072387446</v>
      </c>
      <c r="X490" s="401"/>
      <c r="Y490" s="422" t="str">
        <f aca="false">IF(AND(pos_z&lt;=0,K489&gt;0),"Impact balistique","") &amp; IF(AND(H491&lt;0,vit_z&gt;=0),"Apogée","") &amp; IF(AND(Poussee=0,Q489&gt;0),"Fin de propulsion","") &amp; IF(AND(L491&gt;L_rampe,pos_xz&lt;=L_rampe),"Sortie de rampe","")</f>
        <v/>
      </c>
      <c r="Z490" s="423" t="str">
        <f aca="false">IF(ABS(t-T_para)&lt;pas/2,"Para","")</f>
        <v/>
      </c>
      <c r="AA490" s="424" t="str">
        <f aca="false">IF(ABS(t-T_satellite)&lt;pas/2,"Satellite","")</f>
        <v/>
      </c>
      <c r="AB490" s="412"/>
      <c r="AC490" s="420" t="e">
        <f aca="false">IF(ABS(t-ROUND(t,0))&lt;0.001,t,NA())</f>
        <v>#N/A</v>
      </c>
      <c r="AD490" s="425" t="e">
        <f aca="false">IF(ABS(t-ROUND(t,0))&lt;0.001,pos_x,NA())</f>
        <v>#N/A</v>
      </c>
      <c r="AE490" s="426" t="e">
        <f aca="false">IF(t&lt;T_para, pos_z, NA())</f>
        <v>#N/A</v>
      </c>
      <c r="AF490" s="412"/>
      <c r="AG490" s="418" t="n">
        <f aca="false">IF(AND(L489&lt;L_rampe,Poussee&lt;Poids*SIN(M489)),0,(-W489+Poussee)/m-Poids*SIN(M489)/m)</f>
        <v>-9.48343452358857</v>
      </c>
      <c r="AH490" s="417" t="n">
        <f aca="false">IF(AND(L489&lt;L_rampe,Poussee&lt;Poids*SIN(M489)), g*SIN(M489), (-W489+Poussee)/m)</f>
        <v>-1.2148049716921</v>
      </c>
    </row>
    <row r="491" customFormat="false" ht="12" hidden="false" customHeight="false" outlineLevel="0" collapsed="false">
      <c r="A491" s="416" t="n">
        <f aca="false">IF(B490+0.01&lt;=T_ini+ROUNDUP(Temps_fin_propu,0), 0.01, IF(K490&gt;0, 0.1, 0.0001))</f>
        <v>0.1</v>
      </c>
      <c r="B491" s="417" t="n">
        <f aca="false">B490+pas</f>
        <v>12.6999999999999</v>
      </c>
      <c r="C491" s="401"/>
      <c r="D491" s="418" t="n">
        <f aca="false">IF(AND(L490&lt;L_rampe,Poussee&lt;Poids*SIN(M490)),0,(-W490+Poussee)/m*COS(M490)-U490/m*SIN(M490))</f>
        <v>-0.640091765209645</v>
      </c>
      <c r="E491" s="419" t="n">
        <f aca="false">IF(AND(L490&lt;L_rampe,Poussee&lt;Poids*SIN(M490)),0,(-W490+Poussee)/m*SIN(M490)+U490/m*COS(M490)-Poids/m)</f>
        <v>-10.7902443485804</v>
      </c>
      <c r="F491" s="417" t="n">
        <f aca="false">SQRT(acc_x^2+acc_z^2)</f>
        <v>10.8092132262232</v>
      </c>
      <c r="G491" s="418" t="n">
        <f aca="false">G490+acc_x*pas</f>
        <v>27.9899829395031</v>
      </c>
      <c r="H491" s="419" t="n">
        <f aca="false">H490+acc_z*pas</f>
        <v>41.883201798194</v>
      </c>
      <c r="I491" s="417" t="n">
        <f aca="false">SQRT(vit_x^2+vit_z^2)</f>
        <v>50.3750110453776</v>
      </c>
      <c r="J491" s="418" t="n">
        <f aca="false">J490+0.5*(vit_x+G490)*pas*(K490&gt;=0)</f>
        <v>406.526261168502</v>
      </c>
      <c r="K491" s="419" t="n">
        <f aca="false">K490+0.5*(vit_z+H490)*pas</f>
        <v>1383.43535075694</v>
      </c>
      <c r="L491" s="417" t="n">
        <f aca="false">SQRT(pos_x^2+pos_z^2)</f>
        <v>1441.92821275666</v>
      </c>
      <c r="M491" s="418" t="n">
        <f aca="false">IF(AND(L490&gt;L_rampe,G491&gt;0),ATAN2(G491,H491),$M$4)</f>
        <v>0.981673062467895</v>
      </c>
      <c r="N491" s="417" t="n">
        <f aca="false">DEGREES(Beta)</f>
        <v>56.2457233410928</v>
      </c>
      <c r="O491" s="401"/>
      <c r="P491" s="420" t="n">
        <f aca="false">MATCH(t-pas/2-T_ini,CdP_t)</f>
        <v>23</v>
      </c>
      <c r="Q491" s="417" t="n">
        <f aca="false">(INDEX(CdP,2,i_P+1)-INDEX(CdP,2,i_P+0))/(INDEX(CdP,1,i_P+1)-INDEX(CdP,1,i_P+0))*(t-pas/2-T_ini-INDEX(CdP,1,i_P+0))+INDEX(CdP,2,i_P+0)</f>
        <v>0</v>
      </c>
      <c r="R491" s="418" t="n">
        <f aca="false">Poussee/(g*ISP)</f>
        <v>0</v>
      </c>
      <c r="S491" s="419" t="n">
        <f aca="false">S490-Débit*pas</f>
        <v>7.37799999999998</v>
      </c>
      <c r="T491" s="417" t="n">
        <f aca="false">m*g</f>
        <v>72.3781799999998</v>
      </c>
      <c r="U491" s="421" t="n">
        <f aca="false">IF(pos_xz&lt;L_rampe,Poids*COS(Beta),0)</f>
        <v>0</v>
      </c>
      <c r="V491" s="418" t="n">
        <f aca="false">Rho_moyen*(20000-Alt_rampe-pos_z)/(20000+Alt_rampe+pos_z)</f>
        <v>1.06649335437654</v>
      </c>
      <c r="W491" s="417" t="n">
        <f aca="false">1/2*Rho*Sref*Cx*vit_xz^2</f>
        <v>8.32193222458509</v>
      </c>
      <c r="X491" s="401"/>
      <c r="Y491" s="422" t="str">
        <f aca="false">IF(AND(pos_z&lt;=0,K490&gt;0),"Impact balistique","") &amp; IF(AND(H492&lt;0,vit_z&gt;=0),"Apogée","") &amp; IF(AND(Poussee=0,Q490&gt;0),"Fin de propulsion","") &amp; IF(AND(L492&gt;L_rampe,pos_xz&lt;=L_rampe),"Sortie de rampe","")</f>
        <v/>
      </c>
      <c r="Z491" s="423" t="str">
        <f aca="false">IF(ABS(t-T_para)&lt;pas/2,"Para","")</f>
        <v/>
      </c>
      <c r="AA491" s="424" t="str">
        <f aca="false">IF(ABS(t-T_satellite)&lt;pas/2,"Satellite","")</f>
        <v/>
      </c>
      <c r="AB491" s="412"/>
      <c r="AC491" s="420" t="e">
        <f aca="false">IF(ABS(t-ROUND(t,0))&lt;0.001,t,NA())</f>
        <v>#N/A</v>
      </c>
      <c r="AD491" s="425" t="e">
        <f aca="false">IF(ABS(t-ROUND(t,0))&lt;0.001,pos_x,NA())</f>
        <v>#N/A</v>
      </c>
      <c r="AE491" s="426" t="e">
        <f aca="false">IF(t&lt;T_para, pos_z, NA())</f>
        <v>#N/A</v>
      </c>
      <c r="AF491" s="412"/>
      <c r="AG491" s="418" t="n">
        <f aca="false">IF(AND(L490&lt;L_rampe,Poussee&lt;Poids*SIN(M490)),0,(-W490+Poussee)/m-Poids*SIN(M490)/m)</f>
        <v>-9.38460852399337</v>
      </c>
      <c r="AH491" s="417" t="n">
        <f aca="false">IF(AND(L490&lt;L_rampe,Poussee&lt;Poids*SIN(M490)), g*SIN(M490), (-W490+Poussee)/m)</f>
        <v>-1.17072475450591</v>
      </c>
    </row>
    <row r="492" customFormat="false" ht="12" hidden="false" customHeight="false" outlineLevel="0" collapsed="false">
      <c r="A492" s="416" t="n">
        <f aca="false">IF(B491+0.01&lt;=T_ini+ROUNDUP(Temps_fin_propu,0), 0.01, IF(K491&gt;0, 0.1, 0.0001))</f>
        <v>0.1</v>
      </c>
      <c r="B492" s="417" t="n">
        <f aca="false">B491+pas</f>
        <v>12.7999999999999</v>
      </c>
      <c r="C492" s="401"/>
      <c r="D492" s="418" t="n">
        <f aca="false">IF(AND(L491&lt;L_rampe,Poussee&lt;Poids*SIN(M491)),0,(-W491+Poussee)/m*COS(M491)-U491/m*SIN(M491))</f>
        <v>-0.626719204547455</v>
      </c>
      <c r="E492" s="419" t="n">
        <f aca="false">IF(AND(L491&lt;L_rampe,Poussee&lt;Poids*SIN(M491)),0,(-W491+Poussee)/m*SIN(M491)+U491/m*COS(M491)-Poids/m)</f>
        <v>-10.7478000326616</v>
      </c>
      <c r="F492" s="417" t="n">
        <f aca="false">SQRT(acc_x^2+acc_z^2)</f>
        <v>10.76605696174</v>
      </c>
      <c r="G492" s="418" t="n">
        <f aca="false">G491+acc_x*pas</f>
        <v>27.9273110190483</v>
      </c>
      <c r="H492" s="419" t="n">
        <f aca="false">H491+acc_z*pas</f>
        <v>40.8084217949279</v>
      </c>
      <c r="I492" s="417" t="n">
        <f aca="false">SQRT(vit_x^2+vit_z^2)</f>
        <v>49.4495903941317</v>
      </c>
      <c r="J492" s="418" t="n">
        <f aca="false">J491+0.5*(vit_x+G491)*pas*(K491&gt;=0)</f>
        <v>409.322125866429</v>
      </c>
      <c r="K492" s="419" t="n">
        <f aca="false">K491+0.5*(vit_z+H491)*pas</f>
        <v>1387.5699319366</v>
      </c>
      <c r="L492" s="417" t="n">
        <f aca="false">SQRT(pos_x^2+pos_z^2)</f>
        <v>1446.68411159394</v>
      </c>
      <c r="M492" s="418" t="n">
        <f aca="false">IF(AND(L491&gt;L_rampe,G492&gt;0),ATAN2(G492,H492),$M$4)</f>
        <v>0.970649992012095</v>
      </c>
      <c r="N492" s="417" t="n">
        <f aca="false">DEGREES(Beta)</f>
        <v>55.6141479267001</v>
      </c>
      <c r="O492" s="401"/>
      <c r="P492" s="420" t="n">
        <f aca="false">MATCH(t-pas/2-T_ini,CdP_t)</f>
        <v>23</v>
      </c>
      <c r="Q492" s="417" t="n">
        <f aca="false">(INDEX(CdP,2,i_P+1)-INDEX(CdP,2,i_P+0))/(INDEX(CdP,1,i_P+1)-INDEX(CdP,1,i_P+0))*(t-pas/2-T_ini-INDEX(CdP,1,i_P+0))+INDEX(CdP,2,i_P+0)</f>
        <v>0</v>
      </c>
      <c r="R492" s="418" t="n">
        <f aca="false">Poussee/(g*ISP)</f>
        <v>0</v>
      </c>
      <c r="S492" s="419" t="n">
        <f aca="false">S491-Débit*pas</f>
        <v>7.37799999999998</v>
      </c>
      <c r="T492" s="417" t="n">
        <f aca="false">m*g</f>
        <v>72.3781799999998</v>
      </c>
      <c r="U492" s="421" t="n">
        <f aca="false">IF(pos_xz&lt;L_rampe,Poids*COS(Beta),0)</f>
        <v>0</v>
      </c>
      <c r="V492" s="418" t="n">
        <f aca="false">Rho_moyen*(20000-Alt_rampe-pos_z)/(20000+Alt_rampe+pos_z)</f>
        <v>1.06605036972114</v>
      </c>
      <c r="W492" s="417" t="n">
        <f aca="false">1/2*Rho*Sref*Cx*vit_xz^2</f>
        <v>8.01565163791</v>
      </c>
      <c r="X492" s="401"/>
      <c r="Y492" s="422" t="str">
        <f aca="false">IF(AND(pos_z&lt;=0,K491&gt;0),"Impact balistique","") &amp; IF(AND(H493&lt;0,vit_z&gt;=0),"Apogée","") &amp; IF(AND(Poussee=0,Q491&gt;0),"Fin de propulsion","") &amp; IF(AND(L493&gt;L_rampe,pos_xz&lt;=L_rampe),"Sortie de rampe","")</f>
        <v/>
      </c>
      <c r="Z492" s="423" t="str">
        <f aca="false">IF(ABS(t-T_para)&lt;pas/2,"Para","")</f>
        <v/>
      </c>
      <c r="AA492" s="424" t="str">
        <f aca="false">IF(ABS(t-T_satellite)&lt;pas/2,"Satellite","")</f>
        <v/>
      </c>
      <c r="AB492" s="412"/>
      <c r="AC492" s="420" t="e">
        <f aca="false">IF(ABS(t-ROUND(t,0))&lt;0.001,t,NA())</f>
        <v>#N/A</v>
      </c>
      <c r="AD492" s="425" t="e">
        <f aca="false">IF(ABS(t-ROUND(t,0))&lt;0.001,pos_x,NA())</f>
        <v>#N/A</v>
      </c>
      <c r="AE492" s="426" t="e">
        <f aca="false">IF(t&lt;T_para, pos_z, NA())</f>
        <v>#N/A</v>
      </c>
      <c r="AF492" s="412"/>
      <c r="AG492" s="418" t="n">
        <f aca="false">IF(AND(L491&lt;L_rampe,Poussee&lt;Poids*SIN(M491)),0,(-W491+Poussee)/m-Poids*SIN(M491)/m)</f>
        <v>-9.28424883274862</v>
      </c>
      <c r="AH492" s="417" t="n">
        <f aca="false">IF(AND(L491&lt;L_rampe,Poussee&lt;Poids*SIN(M491)), g*SIN(M491), (-W491+Poussee)/m)</f>
        <v>-1.12793876722487</v>
      </c>
    </row>
    <row r="493" customFormat="false" ht="12" hidden="false" customHeight="false" outlineLevel="0" collapsed="false">
      <c r="A493" s="416" t="n">
        <f aca="false">IF(B492+0.01&lt;=T_ini+ROUNDUP(Temps_fin_propu,0), 0.01, IF(K492&gt;0, 0.1, 0.0001))</f>
        <v>0.1</v>
      </c>
      <c r="B493" s="417" t="n">
        <f aca="false">B492+pas</f>
        <v>12.8999999999999</v>
      </c>
      <c r="C493" s="401"/>
      <c r="D493" s="418" t="n">
        <f aca="false">IF(AND(L492&lt;L_rampe,Poussee&lt;Poids*SIN(M492)),0,(-W492+Poussee)/m*COS(M492)-U492/m*SIN(M492))</f>
        <v>-0.61357351735357</v>
      </c>
      <c r="E493" s="419" t="n">
        <f aca="false">IF(AND(L492&lt;L_rampe,Poussee&lt;Poids*SIN(M492)),0,(-W492+Poussee)/m*SIN(M492)+U492/m*COS(M492)-Poids/m)</f>
        <v>-10.7065763614436</v>
      </c>
      <c r="F493" s="417" t="n">
        <f aca="false">SQRT(acc_x^2+acc_z^2)</f>
        <v>10.7241433151847</v>
      </c>
      <c r="G493" s="418" t="n">
        <f aca="false">G492+acc_x*pas</f>
        <v>27.865953667313</v>
      </c>
      <c r="H493" s="419" t="n">
        <f aca="false">H492+acc_z*pas</f>
        <v>39.7377641587835</v>
      </c>
      <c r="I493" s="417" t="n">
        <f aca="false">SQRT(vit_x^2+vit_z^2)</f>
        <v>48.5345369209178</v>
      </c>
      <c r="J493" s="418" t="n">
        <f aca="false">J492+0.5*(vit_x+G492)*pas*(K492&gt;=0)</f>
        <v>412.111789100747</v>
      </c>
      <c r="K493" s="419" t="n">
        <f aca="false">K492+0.5*(vit_z+H492)*pas</f>
        <v>1391.59724123428</v>
      </c>
      <c r="L493" s="417" t="n">
        <f aca="false">SQRT(pos_x^2+pos_z^2)</f>
        <v>1451.33697276914</v>
      </c>
      <c r="M493" s="418" t="n">
        <f aca="false">IF(AND(L492&gt;L_rampe,G493&gt;0),ATAN2(G493,H493),$M$4)</f>
        <v>0.959234517396924</v>
      </c>
      <c r="N493" s="417" t="n">
        <f aca="false">DEGREES(Beta)</f>
        <v>54.9600894101121</v>
      </c>
      <c r="O493" s="401"/>
      <c r="P493" s="420" t="n">
        <f aca="false">MATCH(t-pas/2-T_ini,CdP_t)</f>
        <v>23</v>
      </c>
      <c r="Q493" s="417" t="n">
        <f aca="false">(INDEX(CdP,2,i_P+1)-INDEX(CdP,2,i_P+0))/(INDEX(CdP,1,i_P+1)-INDEX(CdP,1,i_P+0))*(t-pas/2-T_ini-INDEX(CdP,1,i_P+0))+INDEX(CdP,2,i_P+0)</f>
        <v>0</v>
      </c>
      <c r="R493" s="418" t="n">
        <f aca="false">Poussee/(g*ISP)</f>
        <v>0</v>
      </c>
      <c r="S493" s="419" t="n">
        <f aca="false">S492-Débit*pas</f>
        <v>7.37799999999998</v>
      </c>
      <c r="T493" s="417" t="n">
        <f aca="false">m*g</f>
        <v>72.3781799999998</v>
      </c>
      <c r="U493" s="421" t="n">
        <f aca="false">IF(pos_xz&lt;L_rampe,Poids*COS(Beta),0)</f>
        <v>0</v>
      </c>
      <c r="V493" s="418" t="n">
        <f aca="false">Rho_moyen*(20000-Alt_rampe-pos_z)/(20000+Alt_rampe+pos_z)</f>
        <v>1.06561904295524</v>
      </c>
      <c r="W493" s="417" t="n">
        <f aca="false">1/2*Rho*Sref*Cx*vit_xz^2</f>
        <v>7.71861653700726</v>
      </c>
      <c r="X493" s="401"/>
      <c r="Y493" s="422" t="str">
        <f aca="false">IF(AND(pos_z&lt;=0,K492&gt;0),"Impact balistique","") &amp; IF(AND(H494&lt;0,vit_z&gt;=0),"Apogée","") &amp; IF(AND(Poussee=0,Q492&gt;0),"Fin de propulsion","") &amp; IF(AND(L494&gt;L_rampe,pos_xz&lt;=L_rampe),"Sortie de rampe","")</f>
        <v/>
      </c>
      <c r="Z493" s="423" t="str">
        <f aca="false">IF(ABS(t-T_para)&lt;pas/2,"Para","")</f>
        <v/>
      </c>
      <c r="AA493" s="424" t="str">
        <f aca="false">IF(ABS(t-T_satellite)&lt;pas/2,"Satellite","")</f>
        <v/>
      </c>
      <c r="AB493" s="412"/>
      <c r="AC493" s="420" t="e">
        <f aca="false">IF(ABS(t-ROUND(t,0))&lt;0.001,t,NA())</f>
        <v>#N/A</v>
      </c>
      <c r="AD493" s="425" t="e">
        <f aca="false">IF(ABS(t-ROUND(t,0))&lt;0.001,pos_x,NA())</f>
        <v>#N/A</v>
      </c>
      <c r="AE493" s="426" t="e">
        <f aca="false">IF(t&lt;T_para, pos_z, NA())</f>
        <v>#N/A</v>
      </c>
      <c r="AF493" s="412"/>
      <c r="AG493" s="418" t="n">
        <f aca="false">IF(AND(L492&lt;L_rampe,Poussee&lt;Poids*SIN(M492)),0,(-W492+Poussee)/m-Poids*SIN(M492)/m)</f>
        <v>-9.18215780900508</v>
      </c>
      <c r="AH493" s="417" t="n">
        <f aca="false">IF(AND(L492&lt;L_rampe,Poussee&lt;Poids*SIN(M492)), g*SIN(M492), (-W492+Poussee)/m)</f>
        <v>-1.08642608266604</v>
      </c>
    </row>
    <row r="494" customFormat="false" ht="12" hidden="false" customHeight="false" outlineLevel="0" collapsed="false">
      <c r="A494" s="416" t="n">
        <f aca="false">IF(B493+0.01&lt;=T_ini+ROUNDUP(Temps_fin_propu,0), 0.01, IF(K493&gt;0, 0.1, 0.0001))</f>
        <v>0.1</v>
      </c>
      <c r="B494" s="417" t="n">
        <f aca="false">B493+pas</f>
        <v>12.9999999999999</v>
      </c>
      <c r="C494" s="401"/>
      <c r="D494" s="418" t="n">
        <f aca="false">IF(AND(L493&lt;L_rampe,Poussee&lt;Poids*SIN(M493)),0,(-W493+Poussee)/m*COS(M493)-U493/m*SIN(M493))</f>
        <v>-0.600653255279086</v>
      </c>
      <c r="E494" s="419" t="n">
        <f aca="false">IF(AND(L493&lt;L_rampe,Poussee&lt;Poids*SIN(M493)),0,(-W493+Poussee)/m*SIN(M493)+U493/m*COS(M493)-Poids/m)</f>
        <v>-10.6665512483244</v>
      </c>
      <c r="F494" s="417" t="n">
        <f aca="false">SQRT(acc_x^2+acc_z^2)</f>
        <v>10.683449811096</v>
      </c>
      <c r="G494" s="418" t="n">
        <f aca="false">G493+acc_x*pas</f>
        <v>27.8058883417851</v>
      </c>
      <c r="H494" s="419" t="n">
        <f aca="false">H493+acc_z*pas</f>
        <v>38.6711090339511</v>
      </c>
      <c r="I494" s="417" t="n">
        <f aca="false">SQRT(vit_x^2+vit_z^2)</f>
        <v>47.630054591524</v>
      </c>
      <c r="J494" s="418" t="n">
        <f aca="false">J493+0.5*(vit_x+G493)*pas*(K493&gt;=0)</f>
        <v>414.895381201202</v>
      </c>
      <c r="K494" s="419" t="n">
        <f aca="false">K493+0.5*(vit_z+H493)*pas</f>
        <v>1395.51768489392</v>
      </c>
      <c r="L494" s="417" t="n">
        <f aca="false">SQRT(pos_x^2+pos_z^2)</f>
        <v>1455.88728485202</v>
      </c>
      <c r="M494" s="418" t="n">
        <f aca="false">IF(AND(L493&gt;L_rampe,G494&gt;0),ATAN2(G494,H494),$M$4)</f>
        <v>0.947408974964874</v>
      </c>
      <c r="N494" s="417" t="n">
        <f aca="false">DEGREES(Beta)</f>
        <v>54.2825357383027</v>
      </c>
      <c r="O494" s="401"/>
      <c r="P494" s="420" t="n">
        <f aca="false">MATCH(t-pas/2-T_ini,CdP_t)</f>
        <v>23</v>
      </c>
      <c r="Q494" s="417" t="n">
        <f aca="false">(INDEX(CdP,2,i_P+1)-INDEX(CdP,2,i_P+0))/(INDEX(CdP,1,i_P+1)-INDEX(CdP,1,i_P+0))*(t-pas/2-T_ini-INDEX(CdP,1,i_P+0))+INDEX(CdP,2,i_P+0)</f>
        <v>0</v>
      </c>
      <c r="R494" s="418" t="n">
        <f aca="false">Poussee/(g*ISP)</f>
        <v>0</v>
      </c>
      <c r="S494" s="419" t="n">
        <f aca="false">S493-Débit*pas</f>
        <v>7.37799999999998</v>
      </c>
      <c r="T494" s="417" t="n">
        <f aca="false">m*g</f>
        <v>72.3781799999998</v>
      </c>
      <c r="U494" s="421" t="n">
        <f aca="false">IF(pos_xz&lt;L_rampe,Poids*COS(Beta),0)</f>
        <v>0</v>
      </c>
      <c r="V494" s="418" t="n">
        <f aca="false">Rho_moyen*(20000-Alt_rampe-pos_z)/(20000+Alt_rampe+pos_z)</f>
        <v>1.06519931752322</v>
      </c>
      <c r="W494" s="417" t="n">
        <f aca="false">1/2*Rho*Sref*Cx*vit_xz^2</f>
        <v>7.43068327299211</v>
      </c>
      <c r="X494" s="401"/>
      <c r="Y494" s="422" t="str">
        <f aca="false">IF(AND(pos_z&lt;=0,K493&gt;0),"Impact balistique","") &amp; IF(AND(H495&lt;0,vit_z&gt;=0),"Apogée","") &amp; IF(AND(Poussee=0,Q493&gt;0),"Fin de propulsion","") &amp; IF(AND(L495&gt;L_rampe,pos_xz&lt;=L_rampe),"Sortie de rampe","")</f>
        <v/>
      </c>
      <c r="Z494" s="423" t="str">
        <f aca="false">IF(ABS(t-T_para)&lt;pas/2,"Para","")</f>
        <v/>
      </c>
      <c r="AA494" s="424" t="str">
        <f aca="false">IF(ABS(t-T_satellite)&lt;pas/2,"Satellite","")</f>
        <v/>
      </c>
      <c r="AB494" s="412"/>
      <c r="AC494" s="420" t="n">
        <f aca="false">IF(ABS(t-ROUND(t,0))&lt;0.001,t,NA())</f>
        <v>12.9999999999999</v>
      </c>
      <c r="AD494" s="425" t="n">
        <f aca="false">IF(ABS(t-ROUND(t,0))&lt;0.001,pos_x,NA())</f>
        <v>414.895381201202</v>
      </c>
      <c r="AE494" s="426" t="e">
        <f aca="false">IF(t&lt;T_para, pos_z, NA())</f>
        <v>#N/A</v>
      </c>
      <c r="AF494" s="412"/>
      <c r="AG494" s="418" t="n">
        <f aca="false">IF(AND(L493&lt;L_rampe,Poussee&lt;Poids*SIN(M493)),0,(-W493+Poussee)/m-Poids*SIN(M493)/m)</f>
        <v>-9.07812666252771</v>
      </c>
      <c r="AH494" s="417" t="n">
        <f aca="false">IF(AND(L493&lt;L_rampe,Poussee&lt;Poids*SIN(M493)), g*SIN(M493), (-W493+Poussee)/m)</f>
        <v>-1.04616651355479</v>
      </c>
    </row>
    <row r="495" customFormat="false" ht="12" hidden="false" customHeight="false" outlineLevel="0" collapsed="false">
      <c r="A495" s="416" t="n">
        <f aca="false">IF(B494+0.01&lt;=T_ini+ROUNDUP(Temps_fin_propu,0), 0.01, IF(K494&gt;0, 0.1, 0.0001))</f>
        <v>0.1</v>
      </c>
      <c r="B495" s="417" t="n">
        <f aca="false">B494+pas</f>
        <v>13.0999999999999</v>
      </c>
      <c r="C495" s="401"/>
      <c r="D495" s="418" t="n">
        <f aca="false">IF(AND(L494&lt;L_rampe,Poussee&lt;Poids*SIN(M494)),0,(-W494+Poussee)/m*COS(M494)-U494/m*SIN(M494))</f>
        <v>-0.587957310359624</v>
      </c>
      <c r="E495" s="419" t="n">
        <f aca="false">IF(AND(L494&lt;L_rampe,Poussee&lt;Poids*SIN(M494)),0,(-W494+Poussee)/m*SIN(M494)+U494/m*COS(M494)-Poids/m)</f>
        <v>-10.6277031057863</v>
      </c>
      <c r="F495" s="417" t="n">
        <f aca="false">SQRT(acc_x^2+acc_z^2)</f>
        <v>10.6439544861647</v>
      </c>
      <c r="G495" s="418" t="n">
        <f aca="false">G494+acc_x*pas</f>
        <v>27.7470926107491</v>
      </c>
      <c r="H495" s="419" t="n">
        <f aca="false">H494+acc_z*pas</f>
        <v>37.6083387233725</v>
      </c>
      <c r="I495" s="417" t="n">
        <f aca="false">SQRT(vit_x^2+vit_z^2)</f>
        <v>46.7363700974028</v>
      </c>
      <c r="J495" s="418" t="n">
        <f aca="false">J494+0.5*(vit_x+G494)*pas*(K494&gt;=0)</f>
        <v>417.673030248829</v>
      </c>
      <c r="K495" s="419" t="n">
        <f aca="false">K494+0.5*(vit_z+H494)*pas</f>
        <v>1399.33165728179</v>
      </c>
      <c r="L495" s="417" t="n">
        <f aca="false">SQRT(pos_x^2+pos_z^2)</f>
        <v>1460.33552557905</v>
      </c>
      <c r="M495" s="418" t="n">
        <f aca="false">IF(AND(L494&gt;L_rampe,G495&gt;0),ATAN2(G495,H495),$M$4)</f>
        <v>0.935154898302404</v>
      </c>
      <c r="N495" s="417" t="n">
        <f aca="false">DEGREES(Beta)</f>
        <v>53.5804288637134</v>
      </c>
      <c r="O495" s="401"/>
      <c r="P495" s="420" t="n">
        <f aca="false">MATCH(t-pas/2-T_ini,CdP_t)</f>
        <v>23</v>
      </c>
      <c r="Q495" s="417" t="n">
        <f aca="false">(INDEX(CdP,2,i_P+1)-INDEX(CdP,2,i_P+0))/(INDEX(CdP,1,i_P+1)-INDEX(CdP,1,i_P+0))*(t-pas/2-T_ini-INDEX(CdP,1,i_P+0))+INDEX(CdP,2,i_P+0)</f>
        <v>0</v>
      </c>
      <c r="R495" s="418" t="n">
        <f aca="false">Poussee/(g*ISP)</f>
        <v>0</v>
      </c>
      <c r="S495" s="419" t="n">
        <f aca="false">S494-Débit*pas</f>
        <v>7.37799999999998</v>
      </c>
      <c r="T495" s="417" t="n">
        <f aca="false">m*g</f>
        <v>72.3781799999998</v>
      </c>
      <c r="U495" s="421" t="n">
        <f aca="false">IF(pos_xz&lt;L_rampe,Poids*COS(Beta),0)</f>
        <v>0</v>
      </c>
      <c r="V495" s="418" t="n">
        <f aca="false">Rho_moyen*(20000-Alt_rampe-pos_z)/(20000+Alt_rampe+pos_z)</f>
        <v>1.06479113856232</v>
      </c>
      <c r="W495" s="417" t="n">
        <f aca="false">1/2*Rho*Sref*Cx*vit_xz^2</f>
        <v>7.15171333015515</v>
      </c>
      <c r="X495" s="401"/>
      <c r="Y495" s="422" t="str">
        <f aca="false">IF(AND(pos_z&lt;=0,K494&gt;0),"Impact balistique","") &amp; IF(AND(H496&lt;0,vit_z&gt;=0),"Apogée","") &amp; IF(AND(Poussee=0,Q494&gt;0),"Fin de propulsion","") &amp; IF(AND(L496&gt;L_rampe,pos_xz&lt;=L_rampe),"Sortie de rampe","")</f>
        <v/>
      </c>
      <c r="Z495" s="423" t="str">
        <f aca="false">IF(ABS(t-T_para)&lt;pas/2,"Para","")</f>
        <v/>
      </c>
      <c r="AA495" s="424" t="str">
        <f aca="false">IF(ABS(t-T_satellite)&lt;pas/2,"Satellite","")</f>
        <v/>
      </c>
      <c r="AB495" s="412"/>
      <c r="AC495" s="420" t="e">
        <f aca="false">IF(ABS(t-ROUND(t,0))&lt;0.001,t,NA())</f>
        <v>#N/A</v>
      </c>
      <c r="AD495" s="425" t="e">
        <f aca="false">IF(ABS(t-ROUND(t,0))&lt;0.001,pos_x,NA())</f>
        <v>#N/A</v>
      </c>
      <c r="AE495" s="426" t="e">
        <f aca="false">IF(t&lt;T_para, pos_z, NA())</f>
        <v>#N/A</v>
      </c>
      <c r="AF495" s="412"/>
      <c r="AG495" s="418" t="n">
        <f aca="false">IF(AND(L494&lt;L_rampe,Poussee&lt;Poids*SIN(M494)),0,(-W494+Poussee)/m-Poids*SIN(M494)/m)</f>
        <v>-8.9719347284134</v>
      </c>
      <c r="AH495" s="417" t="n">
        <f aca="false">IF(AND(L494&lt;L_rampe,Poussee&lt;Poids*SIN(M494)), g*SIN(M494), (-W494+Poussee)/m)</f>
        <v>-1.00714058999622</v>
      </c>
    </row>
    <row r="496" customFormat="false" ht="12" hidden="false" customHeight="false" outlineLevel="0" collapsed="false">
      <c r="A496" s="416" t="n">
        <f aca="false">IF(B495+0.01&lt;=T_ini+ROUNDUP(Temps_fin_propu,0), 0.01, IF(K495&gt;0, 0.1, 0.0001))</f>
        <v>0.1</v>
      </c>
      <c r="B496" s="417" t="n">
        <f aca="false">B495+pas</f>
        <v>13.1999999999999</v>
      </c>
      <c r="C496" s="401"/>
      <c r="D496" s="418" t="n">
        <f aca="false">IF(AND(L495&lt;L_rampe,Poussee&lt;Poids*SIN(M495)),0,(-W495+Poussee)/m*COS(M495)-U495/m*SIN(M495))</f>
        <v>-0.57548492535087</v>
      </c>
      <c r="E496" s="419" t="n">
        <f aca="false">IF(AND(L495&lt;L_rampe,Poussee&lt;Poids*SIN(M495)),0,(-W495+Poussee)/m*SIN(M495)+U495/m*COS(M495)-Poids/m)</f>
        <v>-10.5900108035249</v>
      </c>
      <c r="F496" s="417" t="n">
        <f aca="false">SQRT(acc_x^2+acc_z^2)</f>
        <v>10.6056358469486</v>
      </c>
      <c r="G496" s="418" t="n">
        <f aca="false">G495+acc_x*pas</f>
        <v>27.689544118214</v>
      </c>
      <c r="H496" s="419" t="n">
        <f aca="false">H495+acc_z*pas</f>
        <v>36.54933764302</v>
      </c>
      <c r="I496" s="417" t="n">
        <f aca="false">SQRT(vit_x^2+vit_z^2)</f>
        <v>45.8537341512989</v>
      </c>
      <c r="J496" s="418" t="n">
        <f aca="false">J495+0.5*(vit_x+G495)*pas*(K495&gt;=0)</f>
        <v>420.444862085277</v>
      </c>
      <c r="K496" s="419" t="n">
        <f aca="false">K495+0.5*(vit_z+H495)*pas</f>
        <v>1403.03954110011</v>
      </c>
      <c r="L496" s="417" t="n">
        <f aca="false">SQRT(pos_x^2+pos_z^2)</f>
        <v>1464.68216208989</v>
      </c>
      <c r="M496" s="418" t="n">
        <f aca="false">IF(AND(L495&gt;L_rampe,G496&gt;0),ATAN2(G496,H496),$M$4)</f>
        <v>0.922453004373012</v>
      </c>
      <c r="N496" s="417" t="n">
        <f aca="false">DEGREES(Beta)</f>
        <v>52.8526639497364</v>
      </c>
      <c r="O496" s="401"/>
      <c r="P496" s="420" t="n">
        <f aca="false">MATCH(t-pas/2-T_ini,CdP_t)</f>
        <v>23</v>
      </c>
      <c r="Q496" s="417" t="n">
        <f aca="false">(INDEX(CdP,2,i_P+1)-INDEX(CdP,2,i_P+0))/(INDEX(CdP,1,i_P+1)-INDEX(CdP,1,i_P+0))*(t-pas/2-T_ini-INDEX(CdP,1,i_P+0))+INDEX(CdP,2,i_P+0)</f>
        <v>0</v>
      </c>
      <c r="R496" s="418" t="n">
        <f aca="false">Poussee/(g*ISP)</f>
        <v>0</v>
      </c>
      <c r="S496" s="419" t="n">
        <f aca="false">S495-Débit*pas</f>
        <v>7.37799999999998</v>
      </c>
      <c r="T496" s="417" t="n">
        <f aca="false">m*g</f>
        <v>72.3781799999998</v>
      </c>
      <c r="U496" s="421" t="n">
        <f aca="false">IF(pos_xz&lt;L_rampe,Poids*COS(Beta),0)</f>
        <v>0</v>
      </c>
      <c r="V496" s="418" t="n">
        <f aca="false">Rho_moyen*(20000-Alt_rampe-pos_z)/(20000+Alt_rampe+pos_z)</f>
        <v>1.06439445287225</v>
      </c>
      <c r="W496" s="417" t="n">
        <f aca="false">1/2*Rho*Sref*Cx*vit_xz^2</f>
        <v>6.88157317252514</v>
      </c>
      <c r="X496" s="401"/>
      <c r="Y496" s="422" t="str">
        <f aca="false">IF(AND(pos_z&lt;=0,K495&gt;0),"Impact balistique","") &amp; IF(AND(H497&lt;0,vit_z&gt;=0),"Apogée","") &amp; IF(AND(Poussee=0,Q495&gt;0),"Fin de propulsion","") &amp; IF(AND(L497&gt;L_rampe,pos_xz&lt;=L_rampe),"Sortie de rampe","")</f>
        <v/>
      </c>
      <c r="Z496" s="423" t="str">
        <f aca="false">IF(ABS(t-T_para)&lt;pas/2,"Para","")</f>
        <v/>
      </c>
      <c r="AA496" s="424" t="str">
        <f aca="false">IF(ABS(t-T_satellite)&lt;pas/2,"Satellite","")</f>
        <v/>
      </c>
      <c r="AB496" s="412"/>
      <c r="AC496" s="420" t="e">
        <f aca="false">IF(ABS(t-ROUND(t,0))&lt;0.001,t,NA())</f>
        <v>#N/A</v>
      </c>
      <c r="AD496" s="425" t="e">
        <f aca="false">IF(ABS(t-ROUND(t,0))&lt;0.001,pos_x,NA())</f>
        <v>#N/A</v>
      </c>
      <c r="AE496" s="426" t="e">
        <f aca="false">IF(t&lt;T_para, pos_z, NA())</f>
        <v>#N/A</v>
      </c>
      <c r="AF496" s="412"/>
      <c r="AG496" s="418" t="n">
        <f aca="false">IF(AND(L495&lt;L_rampe,Poussee&lt;Poids*SIN(M495)),0,(-W495+Poussee)/m-Poids*SIN(M495)/m)</f>
        <v>-8.86334873760251</v>
      </c>
      <c r="AH496" s="417" t="n">
        <f aca="false">IF(AND(L495&lt;L_rampe,Poussee&lt;Poids*SIN(M495)), g*SIN(M495), (-W495+Poussee)/m)</f>
        <v>-0.969329537836156</v>
      </c>
    </row>
    <row r="497" customFormat="false" ht="12" hidden="false" customHeight="false" outlineLevel="0" collapsed="false">
      <c r="A497" s="416" t="n">
        <f aca="false">IF(B496+0.01&lt;=T_ini+ROUNDUP(Temps_fin_propu,0), 0.01, IF(K496&gt;0, 0.1, 0.0001))</f>
        <v>0.1</v>
      </c>
      <c r="B497" s="417" t="n">
        <f aca="false">B496+pas</f>
        <v>13.2999999999999</v>
      </c>
      <c r="C497" s="401"/>
      <c r="D497" s="418" t="n">
        <f aca="false">IF(AND(L496&lt;L_rampe,Poussee&lt;Poids*SIN(M496)),0,(-W496+Poussee)/m*COS(M496)-U496/m*SIN(M496))</f>
        <v>-0.563235705017104</v>
      </c>
      <c r="E497" s="419" t="n">
        <f aca="false">IF(AND(L496&lt;L_rampe,Poussee&lt;Poids*SIN(M496)),0,(-W496+Poussee)/m*SIN(M496)+U496/m*COS(M496)-Poids/m)</f>
        <v>-10.5534536252164</v>
      </c>
      <c r="F497" s="417" t="n">
        <f aca="false">SQRT(acc_x^2+acc_z^2)</f>
        <v>10.5684728262412</v>
      </c>
      <c r="G497" s="418" t="n">
        <f aca="false">G496+acc_x*pas</f>
        <v>27.6332205477123</v>
      </c>
      <c r="H497" s="419" t="n">
        <f aca="false">H496+acc_z*pas</f>
        <v>35.4939922804983</v>
      </c>
      <c r="I497" s="417" t="n">
        <f aca="false">SQRT(vit_x^2+vit_z^2)</f>
        <v>44.9824228543393</v>
      </c>
      <c r="J497" s="418" t="n">
        <f aca="false">J496+0.5*(vit_x+G496)*pas*(K496&gt;=0)</f>
        <v>423.211000318574</v>
      </c>
      <c r="K497" s="419" t="n">
        <f aca="false">K496+0.5*(vit_z+H496)*pas</f>
        <v>1406.64170759628</v>
      </c>
      <c r="L497" s="417" t="n">
        <f aca="false">SQRT(pos_x^2+pos_z^2)</f>
        <v>1468.92765115918</v>
      </c>
      <c r="M497" s="418" t="n">
        <f aca="false">IF(AND(L496&gt;L_rampe,G497&gt;0),ATAN2(G497,H497),$M$4)</f>
        <v>0.909283185113945</v>
      </c>
      <c r="N497" s="417" t="n">
        <f aca="false">DEGREES(Beta)</f>
        <v>52.0980888892418</v>
      </c>
      <c r="O497" s="401"/>
      <c r="P497" s="420" t="n">
        <f aca="false">MATCH(t-pas/2-T_ini,CdP_t)</f>
        <v>23</v>
      </c>
      <c r="Q497" s="417" t="n">
        <f aca="false">(INDEX(CdP,2,i_P+1)-INDEX(CdP,2,i_P+0))/(INDEX(CdP,1,i_P+1)-INDEX(CdP,1,i_P+0))*(t-pas/2-T_ini-INDEX(CdP,1,i_P+0))+INDEX(CdP,2,i_P+0)</f>
        <v>0</v>
      </c>
      <c r="R497" s="418" t="n">
        <f aca="false">Poussee/(g*ISP)</f>
        <v>0</v>
      </c>
      <c r="S497" s="419" t="n">
        <f aca="false">S496-Débit*pas</f>
        <v>7.37799999999998</v>
      </c>
      <c r="T497" s="417" t="n">
        <f aca="false">m*g</f>
        <v>72.3781799999998</v>
      </c>
      <c r="U497" s="421" t="n">
        <f aca="false">IF(pos_xz&lt;L_rampe,Poids*COS(Beta),0)</f>
        <v>0</v>
      </c>
      <c r="V497" s="418" t="n">
        <f aca="false">Rho_moyen*(20000-Alt_rampe-pos_z)/(20000+Alt_rampe+pos_z)</f>
        <v>1.06400920888549</v>
      </c>
      <c r="W497" s="417" t="n">
        <f aca="false">1/2*Rho*Sref*Cx*vit_xz^2</f>
        <v>6.62013409630712</v>
      </c>
      <c r="X497" s="401"/>
      <c r="Y497" s="422" t="str">
        <f aca="false">IF(AND(pos_z&lt;=0,K496&gt;0),"Impact balistique","") &amp; IF(AND(H498&lt;0,vit_z&gt;=0),"Apogée","") &amp; IF(AND(Poussee=0,Q496&gt;0),"Fin de propulsion","") &amp; IF(AND(L498&gt;L_rampe,pos_xz&lt;=L_rampe),"Sortie de rampe","")</f>
        <v/>
      </c>
      <c r="Z497" s="423" t="str">
        <f aca="false">IF(ABS(t-T_para)&lt;pas/2,"Para","")</f>
        <v/>
      </c>
      <c r="AA497" s="424" t="str">
        <f aca="false">IF(ABS(t-T_satellite)&lt;pas/2,"Satellite","")</f>
        <v/>
      </c>
      <c r="AB497" s="412"/>
      <c r="AC497" s="420" t="e">
        <f aca="false">IF(ABS(t-ROUND(t,0))&lt;0.001,t,NA())</f>
        <v>#N/A</v>
      </c>
      <c r="AD497" s="425" t="e">
        <f aca="false">IF(ABS(t-ROUND(t,0))&lt;0.001,pos_x,NA())</f>
        <v>#N/A</v>
      </c>
      <c r="AE497" s="426" t="e">
        <f aca="false">IF(t&lt;T_para, pos_z, NA())</f>
        <v>#N/A</v>
      </c>
      <c r="AF497" s="412"/>
      <c r="AG497" s="418" t="n">
        <f aca="false">IF(AND(L496&lt;L_rampe,Poussee&lt;Poids*SIN(M496)),0,(-W496+Poussee)/m-Poids*SIN(M496)/m)</f>
        <v>-8.75212209384788</v>
      </c>
      <c r="AH497" s="417" t="n">
        <f aca="false">IF(AND(L496&lt;L_rampe,Poussee&lt;Poids*SIN(M496)), g*SIN(M496), (-W496+Poussee)/m)</f>
        <v>-0.932715257864618</v>
      </c>
    </row>
    <row r="498" customFormat="false" ht="12" hidden="false" customHeight="false" outlineLevel="0" collapsed="false">
      <c r="A498" s="416" t="n">
        <f aca="false">IF(B497+0.01&lt;=T_ini+ROUNDUP(Temps_fin_propu,0), 0.01, IF(K497&gt;0, 0.1, 0.0001))</f>
        <v>0.1</v>
      </c>
      <c r="B498" s="417" t="n">
        <f aca="false">B497+pas</f>
        <v>13.3999999999999</v>
      </c>
      <c r="C498" s="401"/>
      <c r="D498" s="418" t="n">
        <f aca="false">IF(AND(L497&lt;L_rampe,Poussee&lt;Poids*SIN(M497)),0,(-W497+Poussee)/m*COS(M497)-U497/m*SIN(M497))</f>
        <v>-0.55120962834771</v>
      </c>
      <c r="E498" s="419" t="n">
        <f aca="false">IF(AND(L497&lt;L_rampe,Poussee&lt;Poids*SIN(M497)),0,(-W497+Poussee)/m*SIN(M497)+U497/m*COS(M497)-Poids/m)</f>
        <v>-10.5180112236548</v>
      </c>
      <c r="F498" s="417" t="n">
        <f aca="false">SQRT(acc_x^2+acc_z^2)</f>
        <v>10.5324447378238</v>
      </c>
      <c r="G498" s="418" t="n">
        <f aca="false">G497+acc_x*pas</f>
        <v>27.5780995848775</v>
      </c>
      <c r="H498" s="419" t="n">
        <f aca="false">H497+acc_z*pas</f>
        <v>34.4421911581328</v>
      </c>
      <c r="I498" s="417" t="n">
        <f aca="false">SQRT(vit_x^2+vit_z^2)</f>
        <v>44.122739131731</v>
      </c>
      <c r="J498" s="418" t="n">
        <f aca="false">J497+0.5*(vit_x+G497)*pas*(K497&gt;=0)</f>
        <v>425.971566325203</v>
      </c>
      <c r="K498" s="419" t="n">
        <f aca="false">K497+0.5*(vit_z+H497)*pas</f>
        <v>1410.13851676822</v>
      </c>
      <c r="L498" s="417" t="n">
        <f aca="false">SQRT(pos_x^2+pos_z^2)</f>
        <v>1473.07243942408</v>
      </c>
      <c r="M498" s="418" t="n">
        <f aca="false">IF(AND(L497&gt;L_rampe,G498&gt;0),ATAN2(G498,H498),$M$4)</f>
        <v>0.895624505911073</v>
      </c>
      <c r="N498" s="417" t="n">
        <f aca="false">DEGREES(Beta)</f>
        <v>51.3155042171942</v>
      </c>
      <c r="O498" s="401"/>
      <c r="P498" s="420" t="n">
        <f aca="false">MATCH(t-pas/2-T_ini,CdP_t)</f>
        <v>23</v>
      </c>
      <c r="Q498" s="417" t="n">
        <f aca="false">(INDEX(CdP,2,i_P+1)-INDEX(CdP,2,i_P+0))/(INDEX(CdP,1,i_P+1)-INDEX(CdP,1,i_P+0))*(t-pas/2-T_ini-INDEX(CdP,1,i_P+0))+INDEX(CdP,2,i_P+0)</f>
        <v>0</v>
      </c>
      <c r="R498" s="418" t="n">
        <f aca="false">Poussee/(g*ISP)</f>
        <v>0</v>
      </c>
      <c r="S498" s="419" t="n">
        <f aca="false">S497-Débit*pas</f>
        <v>7.37799999999998</v>
      </c>
      <c r="T498" s="417" t="n">
        <f aca="false">m*g</f>
        <v>72.3781799999998</v>
      </c>
      <c r="U498" s="421" t="n">
        <f aca="false">IF(pos_xz&lt;L_rampe,Poids*COS(Beta),0)</f>
        <v>0</v>
      </c>
      <c r="V498" s="418" t="n">
        <f aca="false">Rho_moyen*(20000-Alt_rampe-pos_z)/(20000+Alt_rampe+pos_z)</f>
        <v>1.06363535663834</v>
      </c>
      <c r="W498" s="417" t="n">
        <f aca="false">1/2*Rho*Sref*Cx*vit_xz^2</f>
        <v>6.3672720878649</v>
      </c>
      <c r="X498" s="401"/>
      <c r="Y498" s="422" t="str">
        <f aca="false">IF(AND(pos_z&lt;=0,K497&gt;0),"Impact balistique","") &amp; IF(AND(H499&lt;0,vit_z&gt;=0),"Apogée","") &amp; IF(AND(Poussee=0,Q497&gt;0),"Fin de propulsion","") &amp; IF(AND(L499&gt;L_rampe,pos_xz&lt;=L_rampe),"Sortie de rampe","")</f>
        <v/>
      </c>
      <c r="Z498" s="423" t="str">
        <f aca="false">IF(ABS(t-T_para)&lt;pas/2,"Para","")</f>
        <v/>
      </c>
      <c r="AA498" s="424" t="str">
        <f aca="false">IF(ABS(t-T_satellite)&lt;pas/2,"Satellite","")</f>
        <v/>
      </c>
      <c r="AB498" s="412"/>
      <c r="AC498" s="420" t="e">
        <f aca="false">IF(ABS(t-ROUND(t,0))&lt;0.001,t,NA())</f>
        <v>#N/A</v>
      </c>
      <c r="AD498" s="425" t="e">
        <f aca="false">IF(ABS(t-ROUND(t,0))&lt;0.001,pos_x,NA())</f>
        <v>#N/A</v>
      </c>
      <c r="AE498" s="426" t="e">
        <f aca="false">IF(t&lt;T_para, pos_z, NA())</f>
        <v>#N/A</v>
      </c>
      <c r="AF498" s="412"/>
      <c r="AG498" s="418" t="n">
        <f aca="false">IF(AND(L497&lt;L_rampe,Poussee&lt;Poids*SIN(M497)),0,(-W497+Poussee)/m-Poids*SIN(M497)/m)</f>
        <v>-8.63799417085583</v>
      </c>
      <c r="AH498" s="417" t="n">
        <f aca="false">IF(AND(L497&lt;L_rampe,Poussee&lt;Poids*SIN(M497)), g*SIN(M497), (-W497+Poussee)/m)</f>
        <v>-0.897280305815551</v>
      </c>
    </row>
    <row r="499" customFormat="false" ht="12" hidden="false" customHeight="false" outlineLevel="0" collapsed="false">
      <c r="A499" s="416" t="n">
        <f aca="false">IF(B498+0.01&lt;=T_ini+ROUNDUP(Temps_fin_propu,0), 0.01, IF(K498&gt;0, 0.1, 0.0001))</f>
        <v>0.1</v>
      </c>
      <c r="B499" s="417" t="n">
        <f aca="false">B498+pas</f>
        <v>13.4999999999999</v>
      </c>
      <c r="C499" s="401"/>
      <c r="D499" s="418" t="n">
        <f aca="false">IF(AND(L498&lt;L_rampe,Poussee&lt;Poids*SIN(M498)),0,(-W498+Poussee)/m*COS(M498)-U498/m*SIN(M498))</f>
        <v>-0.539407061658753</v>
      </c>
      <c r="E499" s="419" t="n">
        <f aca="false">IF(AND(L498&lt;L_rampe,Poussee&lt;Poids*SIN(M498)),0,(-W498+Poussee)/m*SIN(M498)+U498/m*COS(M498)-Poids/m)</f>
        <v>-10.4836635739718</v>
      </c>
      <c r="F499" s="417" t="n">
        <f aca="false">SQRT(acc_x^2+acc_z^2)</f>
        <v>10.4975312293124</v>
      </c>
      <c r="G499" s="418" t="n">
        <f aca="false">G498+acc_x*pas</f>
        <v>27.5241588787117</v>
      </c>
      <c r="H499" s="419" t="n">
        <f aca="false">H498+acc_z*pas</f>
        <v>33.3938248007357</v>
      </c>
      <c r="I499" s="417" t="n">
        <f aca="false">SQRT(vit_x^2+vit_z^2)</f>
        <v>43.2750142322656</v>
      </c>
      <c r="J499" s="418" t="n">
        <f aca="false">J498+0.5*(vit_x+G498)*pas*(K498&gt;=0)</f>
        <v>428.726679248383</v>
      </c>
      <c r="K499" s="419" t="n">
        <f aca="false">K498+0.5*(vit_z+H498)*pas</f>
        <v>1413.53031756616</v>
      </c>
      <c r="L499" s="417" t="n">
        <f aca="false">SQRT(pos_x^2+pos_z^2)</f>
        <v>1477.11696360784</v>
      </c>
      <c r="M499" s="418" t="n">
        <f aca="false">IF(AND(L498&gt;L_rampe,G499&gt;0),ATAN2(G499,H499),$M$4)</f>
        <v>0.881455212609025</v>
      </c>
      <c r="N499" s="417" t="n">
        <f aca="false">DEGREES(Beta)</f>
        <v>50.5036635123038</v>
      </c>
      <c r="O499" s="401"/>
      <c r="P499" s="420" t="n">
        <f aca="false">MATCH(t-pas/2-T_ini,CdP_t)</f>
        <v>23</v>
      </c>
      <c r="Q499" s="417" t="n">
        <f aca="false">(INDEX(CdP,2,i_P+1)-INDEX(CdP,2,i_P+0))/(INDEX(CdP,1,i_P+1)-INDEX(CdP,1,i_P+0))*(t-pas/2-T_ini-INDEX(CdP,1,i_P+0))+INDEX(CdP,2,i_P+0)</f>
        <v>0</v>
      </c>
      <c r="R499" s="418" t="n">
        <f aca="false">Poussee/(g*ISP)</f>
        <v>0</v>
      </c>
      <c r="S499" s="419" t="n">
        <f aca="false">S498-Débit*pas</f>
        <v>7.37799999999998</v>
      </c>
      <c r="T499" s="417" t="n">
        <f aca="false">m*g</f>
        <v>72.3781799999998</v>
      </c>
      <c r="U499" s="421" t="n">
        <f aca="false">IF(pos_xz&lt;L_rampe,Poids*COS(Beta),0)</f>
        <v>0</v>
      </c>
      <c r="V499" s="418" t="n">
        <f aca="false">Rho_moyen*(20000-Alt_rampe-pos_z)/(20000+Alt_rampe+pos_z)</f>
        <v>1.06327284774262</v>
      </c>
      <c r="W499" s="417" t="n">
        <f aca="false">1/2*Rho*Sref*Cx*vit_xz^2</f>
        <v>6.12286768692452</v>
      </c>
      <c r="X499" s="401"/>
      <c r="Y499" s="422" t="str">
        <f aca="false">IF(AND(pos_z&lt;=0,K498&gt;0),"Impact balistique","") &amp; IF(AND(H500&lt;0,vit_z&gt;=0),"Apogée","") &amp; IF(AND(Poussee=0,Q498&gt;0),"Fin de propulsion","") &amp; IF(AND(L500&gt;L_rampe,pos_xz&lt;=L_rampe),"Sortie de rampe","")</f>
        <v/>
      </c>
      <c r="Z499" s="423" t="str">
        <f aca="false">IF(ABS(t-T_para)&lt;pas/2,"Para","")</f>
        <v/>
      </c>
      <c r="AA499" s="424" t="str">
        <f aca="false">IF(ABS(t-T_satellite)&lt;pas/2,"Satellite","")</f>
        <v/>
      </c>
      <c r="AB499" s="412"/>
      <c r="AC499" s="420" t="e">
        <f aca="false">IF(ABS(t-ROUND(t,0))&lt;0.001,t,NA())</f>
        <v>#N/A</v>
      </c>
      <c r="AD499" s="425" t="e">
        <f aca="false">IF(ABS(t-ROUND(t,0))&lt;0.001,pos_x,NA())</f>
        <v>#N/A</v>
      </c>
      <c r="AE499" s="426" t="e">
        <f aca="false">IF(t&lt;T_para, pos_z, NA())</f>
        <v>#N/A</v>
      </c>
      <c r="AF499" s="412"/>
      <c r="AG499" s="418" t="n">
        <f aca="false">IF(AND(L498&lt;L_rampe,Poussee&lt;Poids*SIN(M498)),0,(-W498+Poussee)/m-Poids*SIN(M498)/m)</f>
        <v>-8.52068964696551</v>
      </c>
      <c r="AH499" s="417" t="n">
        <f aca="false">IF(AND(L498&lt;L_rampe,Poussee&lt;Poids*SIN(M498)), g*SIN(M498), (-W498+Poussee)/m)</f>
        <v>-0.863007873118042</v>
      </c>
    </row>
    <row r="500" customFormat="false" ht="12" hidden="false" customHeight="false" outlineLevel="0" collapsed="false">
      <c r="A500" s="416" t="n">
        <f aca="false">IF(B499+0.01&lt;=T_ini+ROUNDUP(Temps_fin_propu,0), 0.01, IF(K499&gt;0, 0.1, 0.0001))</f>
        <v>0.1</v>
      </c>
      <c r="B500" s="417" t="n">
        <f aca="false">B499+pas</f>
        <v>13.5999999999999</v>
      </c>
      <c r="C500" s="401"/>
      <c r="D500" s="418" t="n">
        <f aca="false">IF(AND(L499&lt;L_rampe,Poussee&lt;Poids*SIN(M499)),0,(-W499+Poussee)/m*COS(M499)-U499/m*SIN(M499))</f>
        <v>-0.527828772514267</v>
      </c>
      <c r="E500" s="419" t="n">
        <f aca="false">IF(AND(L499&lt;L_rampe,Poussee&lt;Poids*SIN(M499)),0,(-W499+Poussee)/m*SIN(M499)+U499/m*COS(M499)-Poids/m)</f>
        <v>-10.4503909246346</v>
      </c>
      <c r="F500" s="417" t="n">
        <f aca="false">SQRT(acc_x^2+acc_z^2)</f>
        <v>10.4637122327967</v>
      </c>
      <c r="G500" s="418" t="n">
        <f aca="false">G499+acc_x*pas</f>
        <v>27.4713760014602</v>
      </c>
      <c r="H500" s="419" t="n">
        <f aca="false">H499+acc_z*pas</f>
        <v>32.3487857082722</v>
      </c>
      <c r="I500" s="417" t="n">
        <f aca="false">SQRT(vit_x^2+vit_z^2)</f>
        <v>42.4396092844093</v>
      </c>
      <c r="J500" s="418" t="n">
        <f aca="false">J499+0.5*(vit_x+G499)*pas*(K499&gt;=0)</f>
        <v>431.476455992391</v>
      </c>
      <c r="K500" s="419" t="n">
        <f aca="false">K499+0.5*(vit_z+H499)*pas</f>
        <v>1416.81744809161</v>
      </c>
      <c r="L500" s="417" t="n">
        <f aca="false">SQRT(pos_x^2+pos_z^2)</f>
        <v>1481.06165073996</v>
      </c>
      <c r="M500" s="418" t="n">
        <f aca="false">IF(AND(L499&gt;L_rampe,G500&gt;0),ATAN2(G500,H500),$M$4)</f>
        <v>0.866752748984446</v>
      </c>
      <c r="N500" s="417" t="n">
        <f aca="false">DEGREES(Beta)</f>
        <v>49.6612743981708</v>
      </c>
      <c r="O500" s="401"/>
      <c r="P500" s="420" t="n">
        <f aca="false">MATCH(t-pas/2-T_ini,CdP_t)</f>
        <v>23</v>
      </c>
      <c r="Q500" s="417" t="n">
        <f aca="false">(INDEX(CdP,2,i_P+1)-INDEX(CdP,2,i_P+0))/(INDEX(CdP,1,i_P+1)-INDEX(CdP,1,i_P+0))*(t-pas/2-T_ini-INDEX(CdP,1,i_P+0))+INDEX(CdP,2,i_P+0)</f>
        <v>0</v>
      </c>
      <c r="R500" s="418" t="n">
        <f aca="false">Poussee/(g*ISP)</f>
        <v>0</v>
      </c>
      <c r="S500" s="419" t="n">
        <f aca="false">S499-Débit*pas</f>
        <v>7.37799999999998</v>
      </c>
      <c r="T500" s="417" t="n">
        <f aca="false">m*g</f>
        <v>72.3781799999998</v>
      </c>
      <c r="U500" s="421" t="n">
        <f aca="false">IF(pos_xz&lt;L_rampe,Poids*COS(Beta),0)</f>
        <v>0</v>
      </c>
      <c r="V500" s="418" t="n">
        <f aca="false">Rho_moyen*(20000-Alt_rampe-pos_z)/(20000+Alt_rampe+pos_z)</f>
        <v>1.06292163535793</v>
      </c>
      <c r="W500" s="417" t="n">
        <f aca="false">1/2*Rho*Sref*Cx*vit_xz^2</f>
        <v>5.88680585468109</v>
      </c>
      <c r="X500" s="401"/>
      <c r="Y500" s="422" t="str">
        <f aca="false">IF(AND(pos_z&lt;=0,K499&gt;0),"Impact balistique","") &amp; IF(AND(H501&lt;0,vit_z&gt;=0),"Apogée","") &amp; IF(AND(Poussee=0,Q499&gt;0),"Fin de propulsion","") &amp; IF(AND(L501&gt;L_rampe,pos_xz&lt;=L_rampe),"Sortie de rampe","")</f>
        <v/>
      </c>
      <c r="Z500" s="423" t="str">
        <f aca="false">IF(ABS(t-T_para)&lt;pas/2,"Para","")</f>
        <v/>
      </c>
      <c r="AA500" s="424" t="str">
        <f aca="false">IF(ABS(t-T_satellite)&lt;pas/2,"Satellite","")</f>
        <v/>
      </c>
      <c r="AB500" s="412"/>
      <c r="AC500" s="420" t="e">
        <f aca="false">IF(ABS(t-ROUND(t,0))&lt;0.001,t,NA())</f>
        <v>#N/A</v>
      </c>
      <c r="AD500" s="425" t="e">
        <f aca="false">IF(ABS(t-ROUND(t,0))&lt;0.001,pos_x,NA())</f>
        <v>#N/A</v>
      </c>
      <c r="AE500" s="426" t="e">
        <f aca="false">IF(t&lt;T_para, pos_z, NA())</f>
        <v>#N/A</v>
      </c>
      <c r="AF500" s="412"/>
      <c r="AG500" s="418" t="n">
        <f aca="false">IF(AND(L499&lt;L_rampe,Poussee&lt;Poids*SIN(M499)),0,(-W499+Poussee)/m-Poids*SIN(M499)/m)</f>
        <v>-8.39991789906465</v>
      </c>
      <c r="AH500" s="417" t="n">
        <f aca="false">IF(AND(L499&lt;L_rampe,Poussee&lt;Poids*SIN(M499)), g*SIN(M499), (-W499+Poussee)/m)</f>
        <v>-0.829881768355182</v>
      </c>
    </row>
    <row r="501" customFormat="false" ht="12" hidden="false" customHeight="false" outlineLevel="0" collapsed="false">
      <c r="A501" s="416" t="n">
        <f aca="false">IF(B500+0.01&lt;=T_ini+ROUNDUP(Temps_fin_propu,0), 0.01, IF(K500&gt;0, 0.1, 0.0001))</f>
        <v>0.1</v>
      </c>
      <c r="B501" s="417" t="n">
        <f aca="false">B500+pas</f>
        <v>13.6999999999999</v>
      </c>
      <c r="C501" s="401"/>
      <c r="D501" s="418" t="n">
        <f aca="false">IF(AND(L500&lt;L_rampe,Poussee&lt;Poids*SIN(M500)),0,(-W500+Poussee)/m*COS(M500)-U500/m*SIN(M500))</f>
        <v>-0.516475944373927</v>
      </c>
      <c r="E501" s="419" t="n">
        <f aca="false">IF(AND(L500&lt;L_rampe,Poussee&lt;Poids*SIN(M500)),0,(-W500+Poussee)/m*SIN(M500)+U500/m*COS(M500)-Poids/m)</f>
        <v>-10.4181737459071</v>
      </c>
      <c r="F501" s="417" t="n">
        <f aca="false">SQRT(acc_x^2+acc_z^2)</f>
        <v>10.4309679129515</v>
      </c>
      <c r="G501" s="418" t="n">
        <f aca="false">G500+acc_x*pas</f>
        <v>27.4197284070228</v>
      </c>
      <c r="H501" s="419" t="n">
        <f aca="false">H500+acc_z*pas</f>
        <v>31.3069683336815</v>
      </c>
      <c r="I501" s="417" t="n">
        <f aca="false">SQRT(vit_x^2+vit_z^2)</f>
        <v>41.6169168987929</v>
      </c>
      <c r="J501" s="418" t="n">
        <f aca="false">J500+0.5*(vit_x+G500)*pas*(K500&gt;=0)</f>
        <v>434.221011212815</v>
      </c>
      <c r="K501" s="419" t="n">
        <f aca="false">K500+0.5*(vit_z+H500)*pas</f>
        <v>1420.00023579371</v>
      </c>
      <c r="L501" s="417" t="n">
        <f aca="false">SQRT(pos_x^2+pos_z^2)</f>
        <v>1484.90691837329</v>
      </c>
      <c r="M501" s="418" t="n">
        <f aca="false">IF(AND(L500&gt;L_rampe,G501&gt;0),ATAN2(G501,H501),$M$4)</f>
        <v>0.851493786908596</v>
      </c>
      <c r="N501" s="417" t="n">
        <f aca="false">DEGREES(Beta)</f>
        <v>48.7870002714744</v>
      </c>
      <c r="O501" s="401"/>
      <c r="P501" s="420" t="n">
        <f aca="false">MATCH(t-pas/2-T_ini,CdP_t)</f>
        <v>23</v>
      </c>
      <c r="Q501" s="417" t="n">
        <f aca="false">(INDEX(CdP,2,i_P+1)-INDEX(CdP,2,i_P+0))/(INDEX(CdP,1,i_P+1)-INDEX(CdP,1,i_P+0))*(t-pas/2-T_ini-INDEX(CdP,1,i_P+0))+INDEX(CdP,2,i_P+0)</f>
        <v>0</v>
      </c>
      <c r="R501" s="418" t="n">
        <f aca="false">Poussee/(g*ISP)</f>
        <v>0</v>
      </c>
      <c r="S501" s="419" t="n">
        <f aca="false">S500-Débit*pas</f>
        <v>7.37799999999998</v>
      </c>
      <c r="T501" s="417" t="n">
        <f aca="false">m*g</f>
        <v>72.3781799999998</v>
      </c>
      <c r="U501" s="421" t="n">
        <f aca="false">IF(pos_xz&lt;L_rampe,Poids*COS(Beta),0)</f>
        <v>0</v>
      </c>
      <c r="V501" s="418" t="n">
        <f aca="false">Rho_moyen*(20000-Alt_rampe-pos_z)/(20000+Alt_rampe+pos_z)</f>
        <v>1.06258167416446</v>
      </c>
      <c r="W501" s="417" t="n">
        <f aca="false">1/2*Rho*Sref*Cx*vit_xz^2</f>
        <v>5.65897584649586</v>
      </c>
      <c r="X501" s="401"/>
      <c r="Y501" s="422" t="str">
        <f aca="false">IF(AND(pos_z&lt;=0,K500&gt;0),"Impact balistique","") &amp; IF(AND(H502&lt;0,vit_z&gt;=0),"Apogée","") &amp; IF(AND(Poussee=0,Q500&gt;0),"Fin de propulsion","") &amp; IF(AND(L502&gt;L_rampe,pos_xz&lt;=L_rampe),"Sortie de rampe","")</f>
        <v/>
      </c>
      <c r="Z501" s="423" t="str">
        <f aca="false">IF(ABS(t-T_para)&lt;pas/2,"Para","")</f>
        <v/>
      </c>
      <c r="AA501" s="424" t="str">
        <f aca="false">IF(ABS(t-T_satellite)&lt;pas/2,"Satellite","")</f>
        <v/>
      </c>
      <c r="AB501" s="412"/>
      <c r="AC501" s="420" t="e">
        <f aca="false">IF(ABS(t-ROUND(t,0))&lt;0.001,t,NA())</f>
        <v>#N/A</v>
      </c>
      <c r="AD501" s="425" t="e">
        <f aca="false">IF(ABS(t-ROUND(t,0))&lt;0.001,pos_x,NA())</f>
        <v>#N/A</v>
      </c>
      <c r="AE501" s="426" t="e">
        <f aca="false">IF(t&lt;T_para, pos_z, NA())</f>
        <v>#N/A</v>
      </c>
      <c r="AF501" s="412"/>
      <c r="AG501" s="418" t="n">
        <f aca="false">IF(AND(L500&lt;L_rampe,Poussee&lt;Poids*SIN(M500)),0,(-W500+Poussee)/m-Poids*SIN(M500)/m)</f>
        <v>-8.27537248252941</v>
      </c>
      <c r="AH501" s="417" t="n">
        <f aca="false">IF(AND(L500&lt;L_rampe,Poussee&lt;Poids*SIN(M500)), g*SIN(M500), (-W500+Poussee)/m)</f>
        <v>-0.797886399387518</v>
      </c>
    </row>
    <row r="502" customFormat="false" ht="12" hidden="false" customHeight="false" outlineLevel="0" collapsed="false">
      <c r="A502" s="416" t="n">
        <f aca="false">IF(B501+0.01&lt;=T_ini+ROUNDUP(Temps_fin_propu,0), 0.01, IF(K501&gt;0, 0.1, 0.0001))</f>
        <v>0.1</v>
      </c>
      <c r="B502" s="417" t="n">
        <f aca="false">B501+pas</f>
        <v>13.7999999999999</v>
      </c>
      <c r="C502" s="401"/>
      <c r="D502" s="418" t="n">
        <f aca="false">IF(AND(L501&lt;L_rampe,Poussee&lt;Poids*SIN(M501)),0,(-W501+Poussee)/m*COS(M501)-U501/m*SIN(M501))</f>
        <v>-0.505350191839577</v>
      </c>
      <c r="E502" s="419" t="n">
        <f aca="false">IF(AND(L501&lt;L_rampe,Poussee&lt;Poids*SIN(M501)),0,(-W501+Poussee)/m*SIN(M501)+U501/m*COS(M501)-Poids/m)</f>
        <v>-10.3869926754376</v>
      </c>
      <c r="F502" s="417" t="n">
        <f aca="false">SQRT(acc_x^2+acc_z^2)</f>
        <v>10.3992786122878</v>
      </c>
      <c r="G502" s="418" t="n">
        <f aca="false">G501+acc_x*pas</f>
        <v>27.3691933878389</v>
      </c>
      <c r="H502" s="419" t="n">
        <f aca="false">H501+acc_z*pas</f>
        <v>30.2682690661377</v>
      </c>
      <c r="I502" s="417" t="n">
        <f aca="false">SQRT(vit_x^2+vit_z^2)</f>
        <v>40.8073628033108</v>
      </c>
      <c r="J502" s="418" t="n">
        <f aca="false">J501+0.5*(vit_x+G501)*pas*(K501&gt;=0)</f>
        <v>436.960457302558</v>
      </c>
      <c r="K502" s="419" t="n">
        <f aca="false">K501+0.5*(vit_z+H501)*pas</f>
        <v>1423.0789976637</v>
      </c>
      <c r="L502" s="417" t="n">
        <f aca="false">SQRT(pos_x^2+pos_z^2)</f>
        <v>1488.65317479847</v>
      </c>
      <c r="M502" s="418" t="n">
        <f aca="false">IF(AND(L501&gt;L_rampe,G502&gt;0),ATAN2(G502,H502),$M$4)</f>
        <v>0.835654271749146</v>
      </c>
      <c r="N502" s="417" t="n">
        <f aca="false">DEGREES(Beta)</f>
        <v>47.8794629033045</v>
      </c>
      <c r="O502" s="401"/>
      <c r="P502" s="420" t="n">
        <f aca="false">MATCH(t-pas/2-T_ini,CdP_t)</f>
        <v>23</v>
      </c>
      <c r="Q502" s="417" t="n">
        <f aca="false">(INDEX(CdP,2,i_P+1)-INDEX(CdP,2,i_P+0))/(INDEX(CdP,1,i_P+1)-INDEX(CdP,1,i_P+0))*(t-pas/2-T_ini-INDEX(CdP,1,i_P+0))+INDEX(CdP,2,i_P+0)</f>
        <v>0</v>
      </c>
      <c r="R502" s="418" t="n">
        <f aca="false">Poussee/(g*ISP)</f>
        <v>0</v>
      </c>
      <c r="S502" s="419" t="n">
        <f aca="false">S501-Débit*pas</f>
        <v>7.37799999999998</v>
      </c>
      <c r="T502" s="417" t="n">
        <f aca="false">m*g</f>
        <v>72.3781799999998</v>
      </c>
      <c r="U502" s="421" t="n">
        <f aca="false">IF(pos_xz&lt;L_rampe,Poids*COS(Beta),0)</f>
        <v>0</v>
      </c>
      <c r="V502" s="418" t="n">
        <f aca="false">Rho_moyen*(20000-Alt_rampe-pos_z)/(20000+Alt_rampe+pos_z)</f>
        <v>1.06225292033623</v>
      </c>
      <c r="W502" s="417" t="n">
        <f aca="false">1/2*Rho*Sref*Cx*vit_xz^2</f>
        <v>5.4392710888733</v>
      </c>
      <c r="X502" s="401"/>
      <c r="Y502" s="422" t="str">
        <f aca="false">IF(AND(pos_z&lt;=0,K501&gt;0),"Impact balistique","") &amp; IF(AND(H503&lt;0,vit_z&gt;=0),"Apogée","") &amp; IF(AND(Poussee=0,Q501&gt;0),"Fin de propulsion","") &amp; IF(AND(L503&gt;L_rampe,pos_xz&lt;=L_rampe),"Sortie de rampe","")</f>
        <v/>
      </c>
      <c r="Z502" s="423" t="str">
        <f aca="false">IF(ABS(t-T_para)&lt;pas/2,"Para","")</f>
        <v/>
      </c>
      <c r="AA502" s="424" t="str">
        <f aca="false">IF(ABS(t-T_satellite)&lt;pas/2,"Satellite","")</f>
        <v/>
      </c>
      <c r="AB502" s="412"/>
      <c r="AC502" s="420" t="e">
        <f aca="false">IF(ABS(t-ROUND(t,0))&lt;0.001,t,NA())</f>
        <v>#N/A</v>
      </c>
      <c r="AD502" s="425" t="e">
        <f aca="false">IF(ABS(t-ROUND(t,0))&lt;0.001,pos_x,NA())</f>
        <v>#N/A</v>
      </c>
      <c r="AE502" s="426" t="e">
        <f aca="false">IF(t&lt;T_para, pos_z, NA())</f>
        <v>#N/A</v>
      </c>
      <c r="AF502" s="412"/>
      <c r="AG502" s="418" t="n">
        <f aca="false">IF(AND(L501&lt;L_rampe,Poussee&lt;Poids*SIN(M501)),0,(-W501+Poussee)/m-Poids*SIN(M501)/m)</f>
        <v>-8.14673072989268</v>
      </c>
      <c r="AH502" s="417" t="n">
        <f aca="false">IF(AND(L501&lt;L_rampe,Poussee&lt;Poids*SIN(M501)), g*SIN(M501), (-W501+Poussee)/m)</f>
        <v>-0.767006756098655</v>
      </c>
    </row>
    <row r="503" customFormat="false" ht="12" hidden="false" customHeight="false" outlineLevel="0" collapsed="false">
      <c r="A503" s="416" t="n">
        <f aca="false">IF(B502+0.01&lt;=T_ini+ROUNDUP(Temps_fin_propu,0), 0.01, IF(K502&gt;0, 0.1, 0.0001))</f>
        <v>0.1</v>
      </c>
      <c r="B503" s="417" t="n">
        <f aca="false">B502+pas</f>
        <v>13.8999999999999</v>
      </c>
      <c r="C503" s="401"/>
      <c r="D503" s="418" t="n">
        <f aca="false">IF(AND(L502&lt;L_rampe,Poussee&lt;Poids*SIN(M502)),0,(-W502+Poussee)/m*COS(M502)-U502/m*SIN(M502))</f>
        <v>-0.494453576331524</v>
      </c>
      <c r="E503" s="419" t="n">
        <f aca="false">IF(AND(L502&lt;L_rampe,Poussee&lt;Poids*SIN(M502)),0,(-W502+Poussee)/m*SIN(M502)+U502/m*COS(M502)-Poids/m)</f>
        <v>-10.3568284606358</v>
      </c>
      <c r="F503" s="417" t="n">
        <f aca="false">SQRT(acc_x^2+acc_z^2)</f>
        <v>10.3686247932011</v>
      </c>
      <c r="G503" s="418" t="n">
        <f aca="false">G502+acc_x*pas</f>
        <v>27.3197480302057</v>
      </c>
      <c r="H503" s="419" t="n">
        <f aca="false">H502+acc_z*pas</f>
        <v>29.2325862200742</v>
      </c>
      <c r="I503" s="417" t="n">
        <f aca="false">SQRT(vit_x^2+vit_z^2)</f>
        <v>40.0114074927139</v>
      </c>
      <c r="J503" s="418" t="n">
        <f aca="false">J502+0.5*(vit_x+G502)*pas*(K502&gt;=0)</f>
        <v>439.694904373461</v>
      </c>
      <c r="K503" s="419" t="n">
        <f aca="false">K502+0.5*(vit_z+H502)*pas</f>
        <v>1426.05404042801</v>
      </c>
      <c r="L503" s="417" t="n">
        <f aca="false">SQRT(pos_x^2+pos_z^2)</f>
        <v>1492.3008192563</v>
      </c>
      <c r="M503" s="418" t="n">
        <f aca="false">IF(AND(L502&gt;L_rampe,G503&gt;0),ATAN2(G503,H503),$M$4)</f>
        <v>0.819209485905331</v>
      </c>
      <c r="N503" s="417" t="n">
        <f aca="false">DEGREES(Beta)</f>
        <v>46.9372460794574</v>
      </c>
      <c r="O503" s="401"/>
      <c r="P503" s="420" t="n">
        <f aca="false">MATCH(t-pas/2-T_ini,CdP_t)</f>
        <v>23</v>
      </c>
      <c r="Q503" s="417" t="n">
        <f aca="false">(INDEX(CdP,2,i_P+1)-INDEX(CdP,2,i_P+0))/(INDEX(CdP,1,i_P+1)-INDEX(CdP,1,i_P+0))*(t-pas/2-T_ini-INDEX(CdP,1,i_P+0))+INDEX(CdP,2,i_P+0)</f>
        <v>0</v>
      </c>
      <c r="R503" s="418" t="n">
        <f aca="false">Poussee/(g*ISP)</f>
        <v>0</v>
      </c>
      <c r="S503" s="419" t="n">
        <f aca="false">S502-Débit*pas</f>
        <v>7.37799999999998</v>
      </c>
      <c r="T503" s="417" t="n">
        <f aca="false">m*g</f>
        <v>72.3781799999998</v>
      </c>
      <c r="U503" s="421" t="n">
        <f aca="false">IF(pos_xz&lt;L_rampe,Poids*COS(Beta),0)</f>
        <v>0</v>
      </c>
      <c r="V503" s="418" t="n">
        <f aca="false">Rho_moyen*(20000-Alt_rampe-pos_z)/(20000+Alt_rampe+pos_z)</f>
        <v>1.06193533151479</v>
      </c>
      <c r="W503" s="417" t="n">
        <f aca="false">1/2*Rho*Sref*Cx*vit_xz^2</f>
        <v>5.22758906040979</v>
      </c>
      <c r="X503" s="401"/>
      <c r="Y503" s="422" t="str">
        <f aca="false">IF(AND(pos_z&lt;=0,K502&gt;0),"Impact balistique","") &amp; IF(AND(H504&lt;0,vit_z&gt;=0),"Apogée","") &amp; IF(AND(Poussee=0,Q502&gt;0),"Fin de propulsion","") &amp; IF(AND(L504&gt;L_rampe,pos_xz&lt;=L_rampe),"Sortie de rampe","")</f>
        <v/>
      </c>
      <c r="Z503" s="423" t="str">
        <f aca="false">IF(ABS(t-T_para)&lt;pas/2,"Para","")</f>
        <v/>
      </c>
      <c r="AA503" s="424" t="str">
        <f aca="false">IF(ABS(t-T_satellite)&lt;pas/2,"Satellite","")</f>
        <v/>
      </c>
      <c r="AB503" s="412"/>
      <c r="AC503" s="420" t="e">
        <f aca="false">IF(ABS(t-ROUND(t,0))&lt;0.001,t,NA())</f>
        <v>#N/A</v>
      </c>
      <c r="AD503" s="425" t="e">
        <f aca="false">IF(ABS(t-ROUND(t,0))&lt;0.001,pos_x,NA())</f>
        <v>#N/A</v>
      </c>
      <c r="AE503" s="426" t="e">
        <f aca="false">IF(t&lt;T_para, pos_z, NA())</f>
        <v>#N/A</v>
      </c>
      <c r="AF503" s="412"/>
      <c r="AG503" s="418" t="n">
        <f aca="false">IF(AND(L502&lt;L_rampe,Poussee&lt;Poids*SIN(M502)),0,(-W502+Poussee)/m-Poids*SIN(M502)/m)</f>
        <v>-8.0136535077379</v>
      </c>
      <c r="AH503" s="417" t="n">
        <f aca="false">IF(AND(L502&lt;L_rampe,Poussee&lt;Poids*SIN(M502)), g*SIN(M502), (-W502+Poussee)/m)</f>
        <v>-0.737228393720969</v>
      </c>
    </row>
    <row r="504" customFormat="false" ht="12" hidden="false" customHeight="false" outlineLevel="0" collapsed="false">
      <c r="A504" s="416" t="n">
        <f aca="false">IF(B503+0.01&lt;=T_ini+ROUNDUP(Temps_fin_propu,0), 0.01, IF(K503&gt;0, 0.1, 0.0001))</f>
        <v>0.1</v>
      </c>
      <c r="B504" s="417" t="n">
        <f aca="false">B503+pas</f>
        <v>13.9999999999999</v>
      </c>
      <c r="C504" s="401"/>
      <c r="D504" s="418" t="n">
        <f aca="false">IF(AND(L503&lt;L_rampe,Poussee&lt;Poids*SIN(M503)),0,(-W503+Poussee)/m*COS(M503)-U503/m*SIN(M503))</f>
        <v>-0.483788621975657</v>
      </c>
      <c r="E504" s="419" t="n">
        <f aca="false">IF(AND(L503&lt;L_rampe,Poussee&lt;Poids*SIN(M503)),0,(-W503+Poussee)/m*SIN(M503)+U503/m*COS(M503)-Poids/m)</f>
        <v>-10.3276618974874</v>
      </c>
      <c r="F504" s="417" t="n">
        <f aca="false">SQRT(acc_x^2+acc_z^2)</f>
        <v>10.3389869764676</v>
      </c>
      <c r="G504" s="418" t="n">
        <f aca="false">G503+acc_x*pas</f>
        <v>27.2713691680082</v>
      </c>
      <c r="H504" s="419" t="n">
        <f aca="false">H503+acc_z*pas</f>
        <v>28.1998200303254</v>
      </c>
      <c r="I504" s="417" t="n">
        <f aca="false">SQRT(vit_x^2+vit_z^2)</f>
        <v>39.229547869438</v>
      </c>
      <c r="J504" s="418" t="n">
        <f aca="false">J503+0.5*(vit_x+G503)*pas*(K503&gt;=0)</f>
        <v>442.424460233371</v>
      </c>
      <c r="K504" s="419" t="n">
        <f aca="false">K503+0.5*(vit_z+H503)*pas</f>
        <v>1428.92566074053</v>
      </c>
      <c r="L504" s="417" t="n">
        <f aca="false">SQRT(pos_x^2+pos_z^2)</f>
        <v>1495.85024214844</v>
      </c>
      <c r="M504" s="418" t="n">
        <f aca="false">IF(AND(L503&gt;L_rampe,G504&gt;0),ATAN2(G504,H504),$M$4)</f>
        <v>0.802134133727477</v>
      </c>
      <c r="N504" s="417" t="n">
        <f aca="false">DEGREES(Beta)</f>
        <v>45.9589004659668</v>
      </c>
      <c r="O504" s="401"/>
      <c r="P504" s="420" t="n">
        <f aca="false">MATCH(t-pas/2-T_ini,CdP_t)</f>
        <v>23</v>
      </c>
      <c r="Q504" s="417" t="n">
        <f aca="false">(INDEX(CdP,2,i_P+1)-INDEX(CdP,2,i_P+0))/(INDEX(CdP,1,i_P+1)-INDEX(CdP,1,i_P+0))*(t-pas/2-T_ini-INDEX(CdP,1,i_P+0))+INDEX(CdP,2,i_P+0)</f>
        <v>0</v>
      </c>
      <c r="R504" s="418" t="n">
        <f aca="false">Poussee/(g*ISP)</f>
        <v>0</v>
      </c>
      <c r="S504" s="419" t="n">
        <f aca="false">S503-Débit*pas</f>
        <v>7.37799999999998</v>
      </c>
      <c r="T504" s="417" t="n">
        <f aca="false">m*g</f>
        <v>72.3781799999998</v>
      </c>
      <c r="U504" s="421" t="n">
        <f aca="false">IF(pos_xz&lt;L_rampe,Poids*COS(Beta),0)</f>
        <v>0</v>
      </c>
      <c r="V504" s="418" t="n">
        <f aca="false">Rho_moyen*(20000-Alt_rampe-pos_z)/(20000+Alt_rampe+pos_z)</f>
        <v>1.06162886678317</v>
      </c>
      <c r="W504" s="417" t="n">
        <f aca="false">1/2*Rho*Sref*Cx*vit_xz^2</f>
        <v>5.02383117640553</v>
      </c>
      <c r="X504" s="401"/>
      <c r="Y504" s="422" t="str">
        <f aca="false">IF(AND(pos_z&lt;=0,K503&gt;0),"Impact balistique","") &amp; IF(AND(H505&lt;0,vit_z&gt;=0),"Apogée","") &amp; IF(AND(Poussee=0,Q503&gt;0),"Fin de propulsion","") &amp; IF(AND(L505&gt;L_rampe,pos_xz&lt;=L_rampe),"Sortie de rampe","")</f>
        <v/>
      </c>
      <c r="Z504" s="423" t="str">
        <f aca="false">IF(ABS(t-T_para)&lt;pas/2,"Para","")</f>
        <v/>
      </c>
      <c r="AA504" s="424" t="str">
        <f aca="false">IF(ABS(t-T_satellite)&lt;pas/2,"Satellite","")</f>
        <v/>
      </c>
      <c r="AB504" s="412"/>
      <c r="AC504" s="420" t="n">
        <f aca="false">IF(ABS(t-ROUND(t,0))&lt;0.001,t,NA())</f>
        <v>13.9999999999999</v>
      </c>
      <c r="AD504" s="425" t="n">
        <f aca="false">IF(ABS(t-ROUND(t,0))&lt;0.001,pos_x,NA())</f>
        <v>442.424460233371</v>
      </c>
      <c r="AE504" s="426" t="e">
        <f aca="false">IF(t&lt;T_para, pos_z, NA())</f>
        <v>#N/A</v>
      </c>
      <c r="AF504" s="412"/>
      <c r="AG504" s="418" t="n">
        <f aca="false">IF(AND(L503&lt;L_rampe,Poussee&lt;Poids*SIN(M503)),0,(-W503+Poussee)/m-Poids*SIN(M503)/m)</f>
        <v>-7.87578517900713</v>
      </c>
      <c r="AH504" s="417" t="n">
        <f aca="false">IF(AND(L503&lt;L_rampe,Poussee&lt;Poids*SIN(M503)), g*SIN(M503), (-W503+Poussee)/m)</f>
        <v>-0.708537416699621</v>
      </c>
    </row>
    <row r="505" customFormat="false" ht="12" hidden="false" customHeight="false" outlineLevel="0" collapsed="false">
      <c r="A505" s="416" t="n">
        <f aca="false">IF(B504+0.01&lt;=T_ini+ROUNDUP(Temps_fin_propu,0), 0.01, IF(K504&gt;0, 0.1, 0.0001))</f>
        <v>0.1</v>
      </c>
      <c r="B505" s="417" t="n">
        <f aca="false">B504+pas</f>
        <v>14.0999999999999</v>
      </c>
      <c r="C505" s="401"/>
      <c r="D505" s="418" t="n">
        <f aca="false">IF(AND(L504&lt;L_rampe,Poussee&lt;Poids*SIN(M504)),0,(-W504+Poussee)/m*COS(M504)-U504/m*SIN(M504))</f>
        <v>-0.473358331423393</v>
      </c>
      <c r="E505" s="419" t="n">
        <f aca="false">IF(AND(L504&lt;L_rampe,Poussee&lt;Poids*SIN(M504)),0,(-W504+Poussee)/m*SIN(M504)+U504/m*COS(M504)-Poids/m)</f>
        <v>-10.2994737654629</v>
      </c>
      <c r="F505" s="417" t="n">
        <f aca="false">SQRT(acc_x^2+acc_z^2)</f>
        <v>10.3103456758436</v>
      </c>
      <c r="G505" s="418" t="n">
        <f aca="false">G504+acc_x*pas</f>
        <v>27.2240333348658</v>
      </c>
      <c r="H505" s="419" t="n">
        <f aca="false">H504+acc_z*pas</f>
        <v>27.1698726537791</v>
      </c>
      <c r="I505" s="417" t="n">
        <f aca="false">SQRT(vit_x^2+vit_z^2)</f>
        <v>38.4623188463782</v>
      </c>
      <c r="J505" s="418" t="n">
        <f aca="false">J504+0.5*(vit_x+G504)*pas*(K504&gt;=0)</f>
        <v>445.149230358515</v>
      </c>
      <c r="K505" s="419" t="n">
        <f aca="false">K504+0.5*(vit_z+H504)*pas</f>
        <v>1431.69414537473</v>
      </c>
      <c r="L505" s="417" t="n">
        <f aca="false">SQRT(pos_x^2+pos_z^2)</f>
        <v>1499.30182524703</v>
      </c>
      <c r="M505" s="418" t="n">
        <f aca="false">IF(AND(L504&gt;L_rampe,G505&gt;0),ATAN2(G505,H505),$M$4)</f>
        <v>0.784402451429292</v>
      </c>
      <c r="N505" s="417" t="n">
        <f aca="false">DEGREES(Beta)</f>
        <v>44.942949906614</v>
      </c>
      <c r="O505" s="401"/>
      <c r="P505" s="420" t="n">
        <f aca="false">MATCH(t-pas/2-T_ini,CdP_t)</f>
        <v>23</v>
      </c>
      <c r="Q505" s="417" t="n">
        <f aca="false">(INDEX(CdP,2,i_P+1)-INDEX(CdP,2,i_P+0))/(INDEX(CdP,1,i_P+1)-INDEX(CdP,1,i_P+0))*(t-pas/2-T_ini-INDEX(CdP,1,i_P+0))+INDEX(CdP,2,i_P+0)</f>
        <v>0</v>
      </c>
      <c r="R505" s="418" t="n">
        <f aca="false">Poussee/(g*ISP)</f>
        <v>0</v>
      </c>
      <c r="S505" s="419" t="n">
        <f aca="false">S504-Débit*pas</f>
        <v>7.37799999999998</v>
      </c>
      <c r="T505" s="417" t="n">
        <f aca="false">m*g</f>
        <v>72.3781799999998</v>
      </c>
      <c r="U505" s="421" t="n">
        <f aca="false">IF(pos_xz&lt;L_rampe,Poids*COS(Beta),0)</f>
        <v>0</v>
      </c>
      <c r="V505" s="418" t="n">
        <f aca="false">Rho_moyen*(20000-Alt_rampe-pos_z)/(20000+Alt_rampe+pos_z)</f>
        <v>1.06133348664015</v>
      </c>
      <c r="W505" s="417" t="n">
        <f aca="false">1/2*Rho*Sref*Cx*vit_xz^2</f>
        <v>4.82790267683001</v>
      </c>
      <c r="X505" s="401"/>
      <c r="Y505" s="422" t="str">
        <f aca="false">IF(AND(pos_z&lt;=0,K504&gt;0),"Impact balistique","") &amp; IF(AND(H506&lt;0,vit_z&gt;=0),"Apogée","") &amp; IF(AND(Poussee=0,Q504&gt;0),"Fin de propulsion","") &amp; IF(AND(L506&gt;L_rampe,pos_xz&lt;=L_rampe),"Sortie de rampe","")</f>
        <v/>
      </c>
      <c r="Z505" s="423" t="str">
        <f aca="false">IF(ABS(t-T_para)&lt;pas/2,"Para","")</f>
        <v/>
      </c>
      <c r="AA505" s="424" t="str">
        <f aca="false">IF(ABS(t-T_satellite)&lt;pas/2,"Satellite","")</f>
        <v/>
      </c>
      <c r="AB505" s="412"/>
      <c r="AC505" s="420" t="e">
        <f aca="false">IF(ABS(t-ROUND(t,0))&lt;0.001,t,NA())</f>
        <v>#N/A</v>
      </c>
      <c r="AD505" s="425" t="e">
        <f aca="false">IF(ABS(t-ROUND(t,0))&lt;0.001,pos_x,NA())</f>
        <v>#N/A</v>
      </c>
      <c r="AE505" s="426" t="e">
        <f aca="false">IF(t&lt;T_para, pos_z, NA())</f>
        <v>#N/A</v>
      </c>
      <c r="AF505" s="412"/>
      <c r="AG505" s="418" t="n">
        <f aca="false">IF(AND(L504&lt;L_rampe,Poussee&lt;Poids*SIN(M504)),0,(-W504+Poussee)/m-Poids*SIN(M504)/m)</f>
        <v>-7.73275382647071</v>
      </c>
      <c r="AH505" s="417" t="n">
        <f aca="false">IF(AND(L504&lt;L_rampe,Poussee&lt;Poids*SIN(M504)), g*SIN(M504), (-W504+Poussee)/m)</f>
        <v>-0.680920463053069</v>
      </c>
    </row>
    <row r="506" customFormat="false" ht="12" hidden="false" customHeight="false" outlineLevel="0" collapsed="false">
      <c r="A506" s="416" t="n">
        <f aca="false">IF(B505+0.01&lt;=T_ini+ROUNDUP(Temps_fin_propu,0), 0.01, IF(K505&gt;0, 0.1, 0.0001))</f>
        <v>0.1</v>
      </c>
      <c r="B506" s="417" t="n">
        <f aca="false">B505+pas</f>
        <v>14.1999999999999</v>
      </c>
      <c r="C506" s="401"/>
      <c r="D506" s="418" t="n">
        <f aca="false">IF(AND(L505&lt;L_rampe,Poussee&lt;Poids*SIN(M505)),0,(-W505+Poussee)/m*COS(M505)-U505/m*SIN(M505))</f>
        <v>-0.46316620125711</v>
      </c>
      <c r="E506" s="419" t="n">
        <f aca="false">IF(AND(L505&lt;L_rampe,Poussee&lt;Poids*SIN(M505)),0,(-W505+Poussee)/m*SIN(M505)+U505/m*COS(M505)-Poids/m)</f>
        <v>-10.2722447581848</v>
      </c>
      <c r="F506" s="417" t="n">
        <f aca="false">SQRT(acc_x^2+acc_z^2)</f>
        <v>10.28268132843</v>
      </c>
      <c r="G506" s="418" t="n">
        <f aca="false">G505+acc_x*pas</f>
        <v>27.1777167147401</v>
      </c>
      <c r="H506" s="419" t="n">
        <f aca="false">H505+acc_z*pas</f>
        <v>26.1426481779606</v>
      </c>
      <c r="I506" s="417" t="n">
        <f aca="false">SQRT(vit_x^2+vit_z^2)</f>
        <v>37.7102948753161</v>
      </c>
      <c r="J506" s="418" t="n">
        <f aca="false">J505+0.5*(vit_x+G505)*pas*(K505&gt;=0)</f>
        <v>447.869317860995</v>
      </c>
      <c r="K506" s="419" t="n">
        <f aca="false">K505+0.5*(vit_z+H505)*pas</f>
        <v>1434.35977141632</v>
      </c>
      <c r="L506" s="417" t="n">
        <f aca="false">SQRT(pos_x^2+pos_z^2)</f>
        <v>1502.65594190379</v>
      </c>
      <c r="M506" s="418" t="n">
        <f aca="false">IF(AND(L505&gt;L_rampe,G506&gt;0),ATAN2(G506,H506),$M$4)</f>
        <v>0.765988345941384</v>
      </c>
      <c r="N506" s="417" t="n">
        <f aca="false">DEGREES(Beta)</f>
        <v>43.8878993786481</v>
      </c>
      <c r="O506" s="401"/>
      <c r="P506" s="420" t="n">
        <f aca="false">MATCH(t-pas/2-T_ini,CdP_t)</f>
        <v>23</v>
      </c>
      <c r="Q506" s="417" t="n">
        <f aca="false">(INDEX(CdP,2,i_P+1)-INDEX(CdP,2,i_P+0))/(INDEX(CdP,1,i_P+1)-INDEX(CdP,1,i_P+0))*(t-pas/2-T_ini-INDEX(CdP,1,i_P+0))+INDEX(CdP,2,i_P+0)</f>
        <v>0</v>
      </c>
      <c r="R506" s="418" t="n">
        <f aca="false">Poussee/(g*ISP)</f>
        <v>0</v>
      </c>
      <c r="S506" s="419" t="n">
        <f aca="false">S505-Débit*pas</f>
        <v>7.37799999999998</v>
      </c>
      <c r="T506" s="417" t="n">
        <f aca="false">m*g</f>
        <v>72.3781799999998</v>
      </c>
      <c r="U506" s="421" t="n">
        <f aca="false">IF(pos_xz&lt;L_rampe,Poids*COS(Beta),0)</f>
        <v>0</v>
      </c>
      <c r="V506" s="418" t="n">
        <f aca="false">Rho_moyen*(20000-Alt_rampe-pos_z)/(20000+Alt_rampe+pos_z)</f>
        <v>1.06104915297464</v>
      </c>
      <c r="W506" s="417" t="n">
        <f aca="false">1/2*Rho*Sref*Cx*vit_xz^2</f>
        <v>4.63971251732894</v>
      </c>
      <c r="X506" s="401"/>
      <c r="Y506" s="422" t="str">
        <f aca="false">IF(AND(pos_z&lt;=0,K505&gt;0),"Impact balistique","") &amp; IF(AND(H507&lt;0,vit_z&gt;=0),"Apogée","") &amp; IF(AND(Poussee=0,Q505&gt;0),"Fin de propulsion","") &amp; IF(AND(L507&gt;L_rampe,pos_xz&lt;=L_rampe),"Sortie de rampe","")</f>
        <v/>
      </c>
      <c r="Z506" s="423" t="str">
        <f aca="false">IF(ABS(t-T_para)&lt;pas/2,"Para","")</f>
        <v/>
      </c>
      <c r="AA506" s="424" t="str">
        <f aca="false">IF(ABS(t-T_satellite)&lt;pas/2,"Satellite","")</f>
        <v/>
      </c>
      <c r="AB506" s="412"/>
      <c r="AC506" s="420" t="e">
        <f aca="false">IF(ABS(t-ROUND(t,0))&lt;0.001,t,NA())</f>
        <v>#N/A</v>
      </c>
      <c r="AD506" s="425" t="e">
        <f aca="false">IF(ABS(t-ROUND(t,0))&lt;0.001,pos_x,NA())</f>
        <v>#N/A</v>
      </c>
      <c r="AE506" s="426" t="e">
        <f aca="false">IF(t&lt;T_para, pos_z, NA())</f>
        <v>#N/A</v>
      </c>
      <c r="AF506" s="412"/>
      <c r="AG506" s="418" t="n">
        <f aca="false">IF(AND(L505&lt;L_rampe,Poussee&lt;Poids*SIN(M505)),0,(-W505+Poussee)/m-Poids*SIN(M505)/m)</f>
        <v>-7.58417180243428</v>
      </c>
      <c r="AH506" s="417" t="n">
        <f aca="false">IF(AND(L505&lt;L_rampe,Poussee&lt;Poids*SIN(M505)), g*SIN(M505), (-W505+Poussee)/m)</f>
        <v>-0.654364689188129</v>
      </c>
    </row>
    <row r="507" customFormat="false" ht="12" hidden="false" customHeight="false" outlineLevel="0" collapsed="false">
      <c r="A507" s="416" t="n">
        <f aca="false">IF(B506+0.01&lt;=T_ini+ROUNDUP(Temps_fin_propu,0), 0.01, IF(K506&gt;0, 0.1, 0.0001))</f>
        <v>0.1</v>
      </c>
      <c r="B507" s="417" t="n">
        <f aca="false">B506+pas</f>
        <v>14.2999999999999</v>
      </c>
      <c r="C507" s="401"/>
      <c r="D507" s="418" t="n">
        <f aca="false">IF(AND(L506&lt;L_rampe,Poussee&lt;Poids*SIN(M506)),0,(-W506+Poussee)/m*COS(M506)-U506/m*SIN(M506))</f>
        <v>-0.453216236553571</v>
      </c>
      <c r="E507" s="419" t="n">
        <f aca="false">IF(AND(L506&lt;L_rampe,Poussee&lt;Poids*SIN(M506)),0,(-W506+Poussee)/m*SIN(M506)+U506/m*COS(M506)-Poids/m)</f>
        <v>-10.2459554095408</v>
      </c>
      <c r="F507" s="417" t="n">
        <f aca="false">SQRT(acc_x^2+acc_z^2)</f>
        <v>10.2559742204909</v>
      </c>
      <c r="G507" s="418" t="n">
        <f aca="false">G506+acc_x*pas</f>
        <v>27.1323950910848</v>
      </c>
      <c r="H507" s="419" t="n">
        <f aca="false">H506+acc_z*pas</f>
        <v>25.1180526370066</v>
      </c>
      <c r="I507" s="417" t="n">
        <f aca="false">SQRT(vit_x^2+vit_z^2)</f>
        <v>36.9740913567075</v>
      </c>
      <c r="J507" s="418" t="n">
        <f aca="false">J506+0.5*(vit_x+G506)*pas*(K506&gt;=0)</f>
        <v>450.584823451286</v>
      </c>
      <c r="K507" s="419" t="n">
        <f aca="false">K506+0.5*(vit_z+H506)*pas</f>
        <v>1436.92280645707</v>
      </c>
      <c r="L507" s="417" t="n">
        <f aca="false">SQRT(pos_x^2+pos_z^2)</f>
        <v>1505.91295725918</v>
      </c>
      <c r="M507" s="418" t="n">
        <f aca="false">IF(AND(L506&gt;L_rampe,G507&gt;0),ATAN2(G507,H507),$M$4)</f>
        <v>0.746865566952931</v>
      </c>
      <c r="N507" s="417" t="n">
        <f aca="false">DEGREES(Beta)</f>
        <v>42.7922448500483</v>
      </c>
      <c r="O507" s="401"/>
      <c r="P507" s="420" t="n">
        <f aca="false">MATCH(t-pas/2-T_ini,CdP_t)</f>
        <v>23</v>
      </c>
      <c r="Q507" s="417" t="n">
        <f aca="false">(INDEX(CdP,2,i_P+1)-INDEX(CdP,2,i_P+0))/(INDEX(CdP,1,i_P+1)-INDEX(CdP,1,i_P+0))*(t-pas/2-T_ini-INDEX(CdP,1,i_P+0))+INDEX(CdP,2,i_P+0)</f>
        <v>0</v>
      </c>
      <c r="R507" s="418" t="n">
        <f aca="false">Poussee/(g*ISP)</f>
        <v>0</v>
      </c>
      <c r="S507" s="419" t="n">
        <f aca="false">S506-Débit*pas</f>
        <v>7.37799999999998</v>
      </c>
      <c r="T507" s="417" t="n">
        <f aca="false">m*g</f>
        <v>72.3781799999998</v>
      </c>
      <c r="U507" s="421" t="n">
        <f aca="false">IF(pos_xz&lt;L_rampe,Poids*COS(Beta),0)</f>
        <v>0</v>
      </c>
      <c r="V507" s="418" t="n">
        <f aca="false">Rho_moyen*(20000-Alt_rampe-pos_z)/(20000+Alt_rampe+pos_z)</f>
        <v>1.06077582904019</v>
      </c>
      <c r="W507" s="417" t="n">
        <f aca="false">1/2*Rho*Sref*Cx*vit_xz^2</f>
        <v>4.45917326295689</v>
      </c>
      <c r="X507" s="401"/>
      <c r="Y507" s="422" t="str">
        <f aca="false">IF(AND(pos_z&lt;=0,K506&gt;0),"Impact balistique","") &amp; IF(AND(H508&lt;0,vit_z&gt;=0),"Apogée","") &amp; IF(AND(Poussee=0,Q506&gt;0),"Fin de propulsion","") &amp; IF(AND(L508&gt;L_rampe,pos_xz&lt;=L_rampe),"Sortie de rampe","")</f>
        <v/>
      </c>
      <c r="Z507" s="423" t="str">
        <f aca="false">IF(ABS(t-T_para)&lt;pas/2,"Para","")</f>
        <v/>
      </c>
      <c r="AA507" s="424" t="str">
        <f aca="false">IF(ABS(t-T_satellite)&lt;pas/2,"Satellite","")</f>
        <v/>
      </c>
      <c r="AB507" s="412"/>
      <c r="AC507" s="420" t="e">
        <f aca="false">IF(ABS(t-ROUND(t,0))&lt;0.001,t,NA())</f>
        <v>#N/A</v>
      </c>
      <c r="AD507" s="425" t="e">
        <f aca="false">IF(ABS(t-ROUND(t,0))&lt;0.001,pos_x,NA())</f>
        <v>#N/A</v>
      </c>
      <c r="AE507" s="426" t="e">
        <f aca="false">IF(t&lt;T_para, pos_z, NA())</f>
        <v>#N/A</v>
      </c>
      <c r="AF507" s="412"/>
      <c r="AG507" s="418" t="n">
        <f aca="false">IF(AND(L506&lt;L_rampe,Poussee&lt;Poids*SIN(M506)),0,(-W506+Poussee)/m-Poids*SIN(M506)/m)</f>
        <v>-7.42963667965547</v>
      </c>
      <c r="AH507" s="417" t="n">
        <f aca="false">IF(AND(L506&lt;L_rampe,Poussee&lt;Poids*SIN(M506)), g*SIN(M506), (-W506+Poussee)/m)</f>
        <v>-0.628857755127264</v>
      </c>
    </row>
    <row r="508" customFormat="false" ht="12" hidden="false" customHeight="false" outlineLevel="0" collapsed="false">
      <c r="A508" s="416" t="n">
        <f aca="false">IF(B507+0.01&lt;=T_ini+ROUNDUP(Temps_fin_propu,0), 0.01, IF(K507&gt;0, 0.1, 0.0001))</f>
        <v>0.1</v>
      </c>
      <c r="B508" s="417" t="n">
        <f aca="false">B507+pas</f>
        <v>14.3999999999999</v>
      </c>
      <c r="C508" s="401"/>
      <c r="D508" s="418" t="n">
        <f aca="false">IF(AND(L507&lt;L_rampe,Poussee&lt;Poids*SIN(M507)),0,(-W507+Poussee)/m*COS(M507)-U507/m*SIN(M507))</f>
        <v>-0.443512964086341</v>
      </c>
      <c r="E508" s="419" t="n">
        <f aca="false">IF(AND(L507&lt;L_rampe,Poussee&lt;Poids*SIN(M507)),0,(-W507+Poussee)/m*SIN(M507)+U507/m*COS(M507)-Poids/m)</f>
        <v>-10.2205860149728</v>
      </c>
      <c r="F508" s="417" t="n">
        <f aca="false">SQRT(acc_x^2+acc_z^2)</f>
        <v>10.2302044084549</v>
      </c>
      <c r="G508" s="418" t="n">
        <f aca="false">G507+acc_x*pas</f>
        <v>27.0880437946761</v>
      </c>
      <c r="H508" s="419" t="n">
        <f aca="false">H507+acc_z*pas</f>
        <v>24.0959940355093</v>
      </c>
      <c r="I508" s="417" t="n">
        <f aca="false">SQRT(vit_x^2+vit_z^2)</f>
        <v>36.2543658775269</v>
      </c>
      <c r="J508" s="418" t="n">
        <f aca="false">J507+0.5*(vit_x+G507)*pas*(K507&gt;=0)</f>
        <v>453.295845395575</v>
      </c>
      <c r="K508" s="419" t="n">
        <f aca="false">K507+0.5*(vit_z+H507)*pas</f>
        <v>1439.38350879069</v>
      </c>
      <c r="L508" s="417" t="n">
        <f aca="false">SQRT(pos_x^2+pos_z^2)</f>
        <v>1509.07322845232</v>
      </c>
      <c r="M508" s="418" t="n">
        <f aca="false">IF(AND(L507&gt;L_rampe,G508&gt;0),ATAN2(G508,H508),$M$4)</f>
        <v>0.727007916612677</v>
      </c>
      <c r="N508" s="417" t="n">
        <f aca="false">DEGREES(Beta)</f>
        <v>41.6544852945053</v>
      </c>
      <c r="O508" s="401"/>
      <c r="P508" s="420" t="n">
        <f aca="false">MATCH(t-pas/2-T_ini,CdP_t)</f>
        <v>23</v>
      </c>
      <c r="Q508" s="417" t="n">
        <f aca="false">(INDEX(CdP,2,i_P+1)-INDEX(CdP,2,i_P+0))/(INDEX(CdP,1,i_P+1)-INDEX(CdP,1,i_P+0))*(t-pas/2-T_ini-INDEX(CdP,1,i_P+0))+INDEX(CdP,2,i_P+0)</f>
        <v>0</v>
      </c>
      <c r="R508" s="418" t="n">
        <f aca="false">Poussee/(g*ISP)</f>
        <v>0</v>
      </c>
      <c r="S508" s="419" t="n">
        <f aca="false">S507-Débit*pas</f>
        <v>7.37799999999998</v>
      </c>
      <c r="T508" s="417" t="n">
        <f aca="false">m*g</f>
        <v>72.3781799999998</v>
      </c>
      <c r="U508" s="421" t="n">
        <f aca="false">IF(pos_xz&lt;L_rampe,Poids*COS(Beta),0)</f>
        <v>0</v>
      </c>
      <c r="V508" s="418" t="n">
        <f aca="false">Rho_moyen*(20000-Alt_rampe-pos_z)/(20000+Alt_rampe+pos_z)</f>
        <v>1.06051347942952</v>
      </c>
      <c r="W508" s="417" t="n">
        <f aca="false">1/2*Rho*Sref*Cx*vit_xz^2</f>
        <v>4.28620098431431</v>
      </c>
      <c r="X508" s="401"/>
      <c r="Y508" s="422" t="str">
        <f aca="false">IF(AND(pos_z&lt;=0,K507&gt;0),"Impact balistique","") &amp; IF(AND(H509&lt;0,vit_z&gt;=0),"Apogée","") &amp; IF(AND(Poussee=0,Q507&gt;0),"Fin de propulsion","") &amp; IF(AND(L509&gt;L_rampe,pos_xz&lt;=L_rampe),"Sortie de rampe","")</f>
        <v/>
      </c>
      <c r="Z508" s="423" t="str">
        <f aca="false">IF(ABS(t-T_para)&lt;pas/2,"Para","")</f>
        <v/>
      </c>
      <c r="AA508" s="424" t="str">
        <f aca="false">IF(ABS(t-T_satellite)&lt;pas/2,"Satellite","")</f>
        <v/>
      </c>
      <c r="AB508" s="412"/>
      <c r="AC508" s="420" t="e">
        <f aca="false">IF(ABS(t-ROUND(t,0))&lt;0.001,t,NA())</f>
        <v>#N/A</v>
      </c>
      <c r="AD508" s="425" t="e">
        <f aca="false">IF(ABS(t-ROUND(t,0))&lt;0.001,pos_x,NA())</f>
        <v>#N/A</v>
      </c>
      <c r="AE508" s="426" t="e">
        <f aca="false">IF(t&lt;T_para, pos_z, NA())</f>
        <v>#N/A</v>
      </c>
      <c r="AF508" s="412"/>
      <c r="AG508" s="418" t="n">
        <f aca="false">IF(AND(L507&lt;L_rampe,Poussee&lt;Poids*SIN(M507)),0,(-W507+Poussee)/m-Poids*SIN(M507)/m)</f>
        <v>-7.26873268857202</v>
      </c>
      <c r="AH508" s="417" t="n">
        <f aca="false">IF(AND(L507&lt;L_rampe,Poussee&lt;Poids*SIN(M507)), g*SIN(M507), (-W507+Poussee)/m)</f>
        <v>-0.6043878101053</v>
      </c>
    </row>
    <row r="509" customFormat="false" ht="12" hidden="false" customHeight="false" outlineLevel="0" collapsed="false">
      <c r="A509" s="416" t="n">
        <f aca="false">IF(B508+0.01&lt;=T_ini+ROUNDUP(Temps_fin_propu,0), 0.01, IF(K508&gt;0, 0.1, 0.0001))</f>
        <v>0.1</v>
      </c>
      <c r="B509" s="417" t="n">
        <f aca="false">B508+pas</f>
        <v>14.4999999999999</v>
      </c>
      <c r="C509" s="401"/>
      <c r="D509" s="418" t="n">
        <f aca="false">IF(AND(L508&lt;L_rampe,Poussee&lt;Poids*SIN(M508)),0,(-W508+Poussee)/m*COS(M508)-U508/m*SIN(M508))</f>
        <v>-0.434061443545444</v>
      </c>
      <c r="E509" s="419" t="n">
        <f aca="false">IF(AND(L508&lt;L_rampe,Poussee&lt;Poids*SIN(M508)),0,(-W508+Poussee)/m*SIN(M508)+U508/m*COS(M508)-Poids/m)</f>
        <v>-10.1961165477284</v>
      </c>
      <c r="F509" s="417" t="n">
        <f aca="false">SQRT(acc_x^2+acc_z^2)</f>
        <v>10.2053516348842</v>
      </c>
      <c r="G509" s="418" t="n">
        <f aca="false">G508+acc_x*pas</f>
        <v>27.0446376503216</v>
      </c>
      <c r="H509" s="419" t="n">
        <f aca="false">H508+acc_z*pas</f>
        <v>23.0763823807364</v>
      </c>
      <c r="I509" s="417" t="n">
        <f aca="false">SQRT(vit_x^2+vit_z^2)</f>
        <v>35.5518192139186</v>
      </c>
      <c r="J509" s="418" t="n">
        <f aca="false">J508+0.5*(vit_x+G508)*pas*(K508&gt;=0)</f>
        <v>456.002479467824</v>
      </c>
      <c r="K509" s="419" t="n">
        <f aca="false">K508+0.5*(vit_z+H508)*pas</f>
        <v>1441.74212761151</v>
      </c>
      <c r="L509" s="417" t="n">
        <f aca="false">SQRT(pos_x^2+pos_z^2)</f>
        <v>1512.13710483228</v>
      </c>
      <c r="M509" s="418" t="n">
        <f aca="false">IF(AND(L508&gt;L_rampe,G509&gt;0),ATAN2(G509,H509),$M$4)</f>
        <v>0.706389501468416</v>
      </c>
      <c r="N509" s="417" t="n">
        <f aca="false">DEGREES(Beta)</f>
        <v>40.4731371264905</v>
      </c>
      <c r="O509" s="401"/>
      <c r="P509" s="420" t="n">
        <f aca="false">MATCH(t-pas/2-T_ini,CdP_t)</f>
        <v>23</v>
      </c>
      <c r="Q509" s="417" t="n">
        <f aca="false">(INDEX(CdP,2,i_P+1)-INDEX(CdP,2,i_P+0))/(INDEX(CdP,1,i_P+1)-INDEX(CdP,1,i_P+0))*(t-pas/2-T_ini-INDEX(CdP,1,i_P+0))+INDEX(CdP,2,i_P+0)</f>
        <v>0</v>
      </c>
      <c r="R509" s="418" t="n">
        <f aca="false">Poussee/(g*ISP)</f>
        <v>0</v>
      </c>
      <c r="S509" s="419" t="n">
        <f aca="false">S508-Débit*pas</f>
        <v>7.37799999999998</v>
      </c>
      <c r="T509" s="417" t="n">
        <f aca="false">m*g</f>
        <v>72.3781799999998</v>
      </c>
      <c r="U509" s="421" t="n">
        <f aca="false">IF(pos_xz&lt;L_rampe,Poids*COS(Beta),0)</f>
        <v>0</v>
      </c>
      <c r="V509" s="418" t="n">
        <f aca="false">Rho_moyen*(20000-Alt_rampe-pos_z)/(20000+Alt_rampe+pos_z)</f>
        <v>1.06026207004889</v>
      </c>
      <c r="W509" s="417" t="n">
        <f aca="false">1/2*Rho*Sref*Cx*vit_xz^2</f>
        <v>4.12071515576236</v>
      </c>
      <c r="X509" s="401"/>
      <c r="Y509" s="422" t="str">
        <f aca="false">IF(AND(pos_z&lt;=0,K508&gt;0),"Impact balistique","") &amp; IF(AND(H510&lt;0,vit_z&gt;=0),"Apogée","") &amp; IF(AND(Poussee=0,Q508&gt;0),"Fin de propulsion","") &amp; IF(AND(L510&gt;L_rampe,pos_xz&lt;=L_rampe),"Sortie de rampe","")</f>
        <v/>
      </c>
      <c r="Z509" s="423" t="str">
        <f aca="false">IF(ABS(t-T_para)&lt;pas/2,"Para","")</f>
        <v/>
      </c>
      <c r="AA509" s="424" t="str">
        <f aca="false">IF(ABS(t-T_satellite)&lt;pas/2,"Satellite","")</f>
        <v/>
      </c>
      <c r="AB509" s="412"/>
      <c r="AC509" s="420" t="e">
        <f aca="false">IF(ABS(t-ROUND(t,0))&lt;0.001,t,NA())</f>
        <v>#N/A</v>
      </c>
      <c r="AD509" s="425" t="e">
        <f aca="false">IF(ABS(t-ROUND(t,0))&lt;0.001,pos_x,NA())</f>
        <v>#N/A</v>
      </c>
      <c r="AE509" s="426" t="e">
        <f aca="false">IF(t&lt;T_para, pos_z, NA())</f>
        <v>#N/A</v>
      </c>
      <c r="AF509" s="412"/>
      <c r="AG509" s="418" t="n">
        <f aca="false">IF(AND(L508&lt;L_rampe,Poussee&lt;Poids*SIN(M508)),0,(-W508+Poussee)/m-Poids*SIN(M508)/m)</f>
        <v>-7.10103273579367</v>
      </c>
      <c r="AH509" s="417" t="n">
        <f aca="false">IF(AND(L508&lt;L_rampe,Poussee&lt;Poids*SIN(M508)), g*SIN(M508), (-W508+Poussee)/m)</f>
        <v>-0.580943478492046</v>
      </c>
    </row>
    <row r="510" customFormat="false" ht="12" hidden="false" customHeight="false" outlineLevel="0" collapsed="false">
      <c r="A510" s="416" t="n">
        <f aca="false">IF(B509+0.01&lt;=T_ini+ROUNDUP(Temps_fin_propu,0), 0.01, IF(K509&gt;0, 0.1, 0.0001))</f>
        <v>0.1</v>
      </c>
      <c r="B510" s="417" t="n">
        <f aca="false">B509+pas</f>
        <v>14.5999999999999</v>
      </c>
      <c r="C510" s="401"/>
      <c r="D510" s="418" t="n">
        <f aca="false">IF(AND(L509&lt;L_rampe,Poussee&lt;Poids*SIN(M509)),0,(-W509+Poussee)/m*COS(M509)-U509/m*SIN(M509))</f>
        <v>-0.424867276039421</v>
      </c>
      <c r="E510" s="419" t="n">
        <f aca="false">IF(AND(L509&lt;L_rampe,Poussee&lt;Poids*SIN(M509)),0,(-W509+Poussee)/m*SIN(M509)+U509/m*COS(M509)-Poids/m)</f>
        <v>-10.1725265699513</v>
      </c>
      <c r="F510" s="417" t="n">
        <f aca="false">SQRT(acc_x^2+acc_z^2)</f>
        <v>10.1813952392889</v>
      </c>
      <c r="G510" s="418" t="n">
        <f aca="false">G509+acc_x*pas</f>
        <v>27.0021509227176</v>
      </c>
      <c r="H510" s="419" t="n">
        <f aca="false">H509+acc_z*pas</f>
        <v>22.0591297237413</v>
      </c>
      <c r="I510" s="417" t="n">
        <f aca="false">SQRT(vit_x^2+vit_z^2)</f>
        <v>34.86719602466</v>
      </c>
      <c r="J510" s="418" t="n">
        <f aca="false">J509+0.5*(vit_x+G509)*pas*(K509&gt;=0)</f>
        <v>458.704818896476</v>
      </c>
      <c r="K510" s="419" t="n">
        <f aca="false">K509+0.5*(vit_z+H509)*pas</f>
        <v>1443.99890321673</v>
      </c>
      <c r="L510" s="417" t="n">
        <f aca="false">SQRT(pos_x^2+pos_z^2)</f>
        <v>1515.10492817163</v>
      </c>
      <c r="M510" s="418" t="n">
        <f aca="false">IF(AND(L509&gt;L_rampe,G510&gt;0),ATAN2(G510,H510),$M$4)</f>
        <v>0.684985031163441</v>
      </c>
      <c r="N510" s="417" t="n">
        <f aca="false">DEGREES(Beta)</f>
        <v>39.2467513153024</v>
      </c>
      <c r="O510" s="401"/>
      <c r="P510" s="420" t="n">
        <f aca="false">MATCH(t-pas/2-T_ini,CdP_t)</f>
        <v>23</v>
      </c>
      <c r="Q510" s="417" t="n">
        <f aca="false">(INDEX(CdP,2,i_P+1)-INDEX(CdP,2,i_P+0))/(INDEX(CdP,1,i_P+1)-INDEX(CdP,1,i_P+0))*(t-pas/2-T_ini-INDEX(CdP,1,i_P+0))+INDEX(CdP,2,i_P+0)</f>
        <v>0</v>
      </c>
      <c r="R510" s="418" t="n">
        <f aca="false">Poussee/(g*ISP)</f>
        <v>0</v>
      </c>
      <c r="S510" s="419" t="n">
        <f aca="false">S509-Débit*pas</f>
        <v>7.37799999999998</v>
      </c>
      <c r="T510" s="417" t="n">
        <f aca="false">m*g</f>
        <v>72.3781799999998</v>
      </c>
      <c r="U510" s="421" t="n">
        <f aca="false">IF(pos_xz&lt;L_rampe,Poids*COS(Beta),0)</f>
        <v>0</v>
      </c>
      <c r="V510" s="418" t="n">
        <f aca="false">Rho_moyen*(20000-Alt_rampe-pos_z)/(20000+Alt_rampe+pos_z)</f>
        <v>1.0600215680924</v>
      </c>
      <c r="W510" s="417" t="n">
        <f aca="false">1/2*Rho*Sref*Cx*vit_xz^2</f>
        <v>3.96263855538153</v>
      </c>
      <c r="X510" s="401"/>
      <c r="Y510" s="422" t="str">
        <f aca="false">IF(AND(pos_z&lt;=0,K509&gt;0),"Impact balistique","") &amp; IF(AND(H511&lt;0,vit_z&gt;=0),"Apogée","") &amp; IF(AND(Poussee=0,Q509&gt;0),"Fin de propulsion","") &amp; IF(AND(L511&gt;L_rampe,pos_xz&lt;=L_rampe),"Sortie de rampe","")</f>
        <v/>
      </c>
      <c r="Z510" s="423" t="str">
        <f aca="false">IF(ABS(t-T_para)&lt;pas/2,"Para","")</f>
        <v/>
      </c>
      <c r="AA510" s="424" t="str">
        <f aca="false">IF(ABS(t-T_satellite)&lt;pas/2,"Satellite","")</f>
        <v/>
      </c>
      <c r="AB510" s="412"/>
      <c r="AC510" s="420" t="e">
        <f aca="false">IF(ABS(t-ROUND(t,0))&lt;0.001,t,NA())</f>
        <v>#N/A</v>
      </c>
      <c r="AD510" s="425" t="e">
        <f aca="false">IF(ABS(t-ROUND(t,0))&lt;0.001,pos_x,NA())</f>
        <v>#N/A</v>
      </c>
      <c r="AE510" s="426" t="e">
        <f aca="false">IF(t&lt;T_para, pos_z, NA())</f>
        <v>#N/A</v>
      </c>
      <c r="AF510" s="412"/>
      <c r="AG510" s="418" t="n">
        <f aca="false">IF(AND(L509&lt;L_rampe,Poussee&lt;Poids*SIN(M509)),0,(-W509+Poussee)/m-Poids*SIN(M509)/m)</f>
        <v>-6.92610110764631</v>
      </c>
      <c r="AH510" s="417" t="n">
        <f aca="false">IF(AND(L509&lt;L_rampe,Poussee&lt;Poids*SIN(M509)), g*SIN(M509), (-W509+Poussee)/m)</f>
        <v>-0.558513845996526</v>
      </c>
    </row>
    <row r="511" customFormat="false" ht="12" hidden="false" customHeight="false" outlineLevel="0" collapsed="false">
      <c r="A511" s="416" t="n">
        <f aca="false">IF(B510+0.01&lt;=T_ini+ROUNDUP(Temps_fin_propu,0), 0.01, IF(K510&gt;0, 0.1, 0.0001))</f>
        <v>0.1</v>
      </c>
      <c r="B511" s="417" t="n">
        <f aca="false">B510+pas</f>
        <v>14.6999999999999</v>
      </c>
      <c r="C511" s="401"/>
      <c r="D511" s="418" t="n">
        <f aca="false">IF(AND(L510&lt;L_rampe,Poussee&lt;Poids*SIN(M510)),0,(-W510+Poussee)/m*COS(M510)-U510/m*SIN(M510))</f>
        <v>-0.415936609023194</v>
      </c>
      <c r="E511" s="419" t="n">
        <f aca="false">IF(AND(L510&lt;L_rampe,Poussee&lt;Poids*SIN(M510)),0,(-W510+Poussee)/m*SIN(M510)+U510/m*COS(M510)-Poids/m)</f>
        <v>-10.1497951386005</v>
      </c>
      <c r="F511" s="417" t="n">
        <f aca="false">SQRT(acc_x^2+acc_z^2)</f>
        <v>10.1583140637747</v>
      </c>
      <c r="G511" s="418" t="n">
        <f aca="false">G510+acc_x*pas</f>
        <v>26.9605572618153</v>
      </c>
      <c r="H511" s="419" t="n">
        <f aca="false">H510+acc_z*pas</f>
        <v>21.0441502098813</v>
      </c>
      <c r="I511" s="417" t="n">
        <f aca="false">SQRT(vit_x^2+vit_z^2)</f>
        <v>34.2012851501763</v>
      </c>
      <c r="J511" s="418" t="n">
        <f aca="false">J510+0.5*(vit_x+G510)*pas*(K510&gt;=0)</f>
        <v>461.402954305703</v>
      </c>
      <c r="K511" s="419" t="n">
        <f aca="false">K510+0.5*(vit_z+H510)*pas</f>
        <v>1446.15406721341</v>
      </c>
      <c r="L511" s="417" t="n">
        <f aca="false">SQRT(pos_x^2+pos_z^2)</f>
        <v>1517.97703288288</v>
      </c>
      <c r="M511" s="418" t="n">
        <f aca="false">IF(AND(L510&gt;L_rampe,G511&gt;0),ATAN2(G511,H511),$M$4)</f>
        <v>0.662770168115441</v>
      </c>
      <c r="N511" s="417" t="n">
        <f aca="false">DEGREES(Beta)</f>
        <v>37.9739334201908</v>
      </c>
      <c r="O511" s="401"/>
      <c r="P511" s="420" t="n">
        <f aca="false">MATCH(t-pas/2-T_ini,CdP_t)</f>
        <v>23</v>
      </c>
      <c r="Q511" s="417" t="n">
        <f aca="false">(INDEX(CdP,2,i_P+1)-INDEX(CdP,2,i_P+0))/(INDEX(CdP,1,i_P+1)-INDEX(CdP,1,i_P+0))*(t-pas/2-T_ini-INDEX(CdP,1,i_P+0))+INDEX(CdP,2,i_P+0)</f>
        <v>0</v>
      </c>
      <c r="R511" s="418" t="n">
        <f aca="false">Poussee/(g*ISP)</f>
        <v>0</v>
      </c>
      <c r="S511" s="419" t="n">
        <f aca="false">S510-Débit*pas</f>
        <v>7.37799999999998</v>
      </c>
      <c r="T511" s="417" t="n">
        <f aca="false">m*g</f>
        <v>72.3781799999998</v>
      </c>
      <c r="U511" s="421" t="n">
        <f aca="false">IF(pos_xz&lt;L_rampe,Poids*COS(Beta),0)</f>
        <v>0</v>
      </c>
      <c r="V511" s="418" t="n">
        <f aca="false">Rho_moyen*(20000-Alt_rampe-pos_z)/(20000+Alt_rampe+pos_z)</f>
        <v>1.05979194201587</v>
      </c>
      <c r="W511" s="417" t="n">
        <f aca="false">1/2*Rho*Sref*Cx*vit_xz^2</f>
        <v>3.81189716633306</v>
      </c>
      <c r="X511" s="401"/>
      <c r="Y511" s="422" t="str">
        <f aca="false">IF(AND(pos_z&lt;=0,K510&gt;0),"Impact balistique","") &amp; IF(AND(H512&lt;0,vit_z&gt;=0),"Apogée","") &amp; IF(AND(Poussee=0,Q510&gt;0),"Fin de propulsion","") &amp; IF(AND(L512&gt;L_rampe,pos_xz&lt;=L_rampe),"Sortie de rampe","")</f>
        <v/>
      </c>
      <c r="Z511" s="423" t="str">
        <f aca="false">IF(ABS(t-T_para)&lt;pas/2,"Para","")</f>
        <v/>
      </c>
      <c r="AA511" s="424" t="str">
        <f aca="false">IF(ABS(t-T_satellite)&lt;pas/2,"Satellite","")</f>
        <v/>
      </c>
      <c r="AB511" s="412"/>
      <c r="AC511" s="420" t="e">
        <f aca="false">IF(ABS(t-ROUND(t,0))&lt;0.001,t,NA())</f>
        <v>#N/A</v>
      </c>
      <c r="AD511" s="425" t="e">
        <f aca="false">IF(ABS(t-ROUND(t,0))&lt;0.001,pos_x,NA())</f>
        <v>#N/A</v>
      </c>
      <c r="AE511" s="426" t="e">
        <f aca="false">IF(t&lt;T_para, pos_z, NA())</f>
        <v>#N/A</v>
      </c>
      <c r="AF511" s="412"/>
      <c r="AG511" s="418" t="n">
        <f aca="false">IF(AND(L510&lt;L_rampe,Poussee&lt;Poids*SIN(M510)),0,(-W510+Poussee)/m-Poids*SIN(M510)/m)</f>
        <v>-6.74349696937544</v>
      </c>
      <c r="AH511" s="417" t="n">
        <f aca="false">IF(AND(L510&lt;L_rampe,Poussee&lt;Poids*SIN(M510)), g*SIN(M510), (-W510+Poussee)/m)</f>
        <v>-0.537088446107555</v>
      </c>
    </row>
    <row r="512" customFormat="false" ht="12" hidden="false" customHeight="false" outlineLevel="0" collapsed="false">
      <c r="A512" s="416" t="n">
        <f aca="false">IF(B511+0.01&lt;=T_ini+ROUNDUP(Temps_fin_propu,0), 0.01, IF(K511&gt;0, 0.1, 0.0001))</f>
        <v>0.1</v>
      </c>
      <c r="B512" s="417" t="n">
        <f aca="false">B511+pas</f>
        <v>14.7999999999999</v>
      </c>
      <c r="C512" s="401"/>
      <c r="D512" s="418" t="n">
        <f aca="false">IF(AND(L511&lt;L_rampe,Poussee&lt;Poids*SIN(M511)),0,(-W511+Poussee)/m*COS(M511)-U511/m*SIN(M511))</f>
        <v>-0.407276136668065</v>
      </c>
      <c r="E512" s="419" t="n">
        <f aca="false">IF(AND(L511&lt;L_rampe,Poussee&lt;Poids*SIN(M511)),0,(-W511+Poussee)/m*SIN(M511)+U511/m*COS(M511)-Poids/m)</f>
        <v>-10.1279007063434</v>
      </c>
      <c r="F512" s="417" t="n">
        <f aca="false">SQRT(acc_x^2+acc_z^2)</f>
        <v>10.1360863536698</v>
      </c>
      <c r="G512" s="418" t="n">
        <f aca="false">G511+acc_x*pas</f>
        <v>26.9198296481485</v>
      </c>
      <c r="H512" s="419" t="n">
        <f aca="false">H511+acc_z*pas</f>
        <v>20.0313601392469</v>
      </c>
      <c r="I512" s="417" t="n">
        <f aca="false">SQRT(vit_x^2+vit_z^2)</f>
        <v>33.5549194204597</v>
      </c>
      <c r="J512" s="418" t="n">
        <f aca="false">J511+0.5*(vit_x+G511)*pas*(K511&gt;=0)</f>
        <v>464.096973651201</v>
      </c>
      <c r="K512" s="419" t="n">
        <f aca="false">K511+0.5*(vit_z+H511)*pas</f>
        <v>1448.20784273087</v>
      </c>
      <c r="L512" s="417" t="n">
        <f aca="false">SQRT(pos_x^2+pos_z^2)</f>
        <v>1520.75374623882</v>
      </c>
      <c r="M512" s="418" t="n">
        <f aca="false">IF(AND(L511&gt;L_rampe,G512&gt;0),ATAN2(G512,H512),$M$4)</f>
        <v>0.639721931804177</v>
      </c>
      <c r="N512" s="417" t="n">
        <f aca="false">DEGREES(Beta)</f>
        <v>36.6533667543352</v>
      </c>
      <c r="O512" s="401"/>
      <c r="P512" s="420" t="n">
        <f aca="false">MATCH(t-pas/2-T_ini,CdP_t)</f>
        <v>23</v>
      </c>
      <c r="Q512" s="417" t="n">
        <f aca="false">(INDEX(CdP,2,i_P+1)-INDEX(CdP,2,i_P+0))/(INDEX(CdP,1,i_P+1)-INDEX(CdP,1,i_P+0))*(t-pas/2-T_ini-INDEX(CdP,1,i_P+0))+INDEX(CdP,2,i_P+0)</f>
        <v>0</v>
      </c>
      <c r="R512" s="418" t="n">
        <f aca="false">Poussee/(g*ISP)</f>
        <v>0</v>
      </c>
      <c r="S512" s="419" t="n">
        <f aca="false">S511-Débit*pas</f>
        <v>7.37799999999998</v>
      </c>
      <c r="T512" s="417" t="n">
        <f aca="false">m*g</f>
        <v>72.3781799999998</v>
      </c>
      <c r="U512" s="421" t="n">
        <f aca="false">IF(pos_xz&lt;L_rampe,Poids*COS(Beta),0)</f>
        <v>0</v>
      </c>
      <c r="V512" s="418" t="n">
        <f aca="false">Rho_moyen*(20000-Alt_rampe-pos_z)/(20000+Alt_rampe+pos_z)</f>
        <v>1.05957316151041</v>
      </c>
      <c r="W512" s="417" t="n">
        <f aca="false">1/2*Rho*Sref*Cx*vit_xz^2</f>
        <v>3.6684200792745</v>
      </c>
      <c r="X512" s="401"/>
      <c r="Y512" s="422" t="str">
        <f aca="false">IF(AND(pos_z&lt;=0,K511&gt;0),"Impact balistique","") &amp; IF(AND(H513&lt;0,vit_z&gt;=0),"Apogée","") &amp; IF(AND(Poussee=0,Q511&gt;0),"Fin de propulsion","") &amp; IF(AND(L513&gt;L_rampe,pos_xz&lt;=L_rampe),"Sortie de rampe","")</f>
        <v/>
      </c>
      <c r="Z512" s="423" t="str">
        <f aca="false">IF(ABS(t-T_para)&lt;pas/2,"Para","")</f>
        <v/>
      </c>
      <c r="AA512" s="424" t="str">
        <f aca="false">IF(ABS(t-T_satellite)&lt;pas/2,"Satellite","")</f>
        <v/>
      </c>
      <c r="AB512" s="412"/>
      <c r="AC512" s="420" t="e">
        <f aca="false">IF(ABS(t-ROUND(t,0))&lt;0.001,t,NA())</f>
        <v>#N/A</v>
      </c>
      <c r="AD512" s="425" t="e">
        <f aca="false">IF(ABS(t-ROUND(t,0))&lt;0.001,pos_x,NA())</f>
        <v>#N/A</v>
      </c>
      <c r="AE512" s="426" t="e">
        <f aca="false">IF(t&lt;T_para, pos_z, NA())</f>
        <v>#N/A</v>
      </c>
      <c r="AF512" s="412"/>
      <c r="AG512" s="418" t="n">
        <f aca="false">IF(AND(L511&lt;L_rampe,Poussee&lt;Poids*SIN(M511)),0,(-W511+Poussee)/m-Poids*SIN(M511)/m)</f>
        <v>-6.55277877410137</v>
      </c>
      <c r="AH512" s="417" t="n">
        <f aca="false">IF(AND(L511&lt;L_rampe,Poussee&lt;Poids*SIN(M511)), g*SIN(M511), (-W511+Poussee)/m)</f>
        <v>-0.51665724672446</v>
      </c>
    </row>
    <row r="513" customFormat="false" ht="12" hidden="false" customHeight="false" outlineLevel="0" collapsed="false">
      <c r="A513" s="416" t="n">
        <f aca="false">IF(B512+0.01&lt;=T_ini+ROUNDUP(Temps_fin_propu,0), 0.01, IF(K512&gt;0, 0.1, 0.0001))</f>
        <v>0.1</v>
      </c>
      <c r="B513" s="417" t="n">
        <f aca="false">B512+pas</f>
        <v>14.8999999999999</v>
      </c>
      <c r="C513" s="401"/>
      <c r="D513" s="418" t="n">
        <f aca="false">IF(AND(L512&lt;L_rampe,Poussee&lt;Poids*SIN(M512)),0,(-W512+Poussee)/m*COS(M512)-U512/m*SIN(M512))</f>
        <v>-0.398893094562459</v>
      </c>
      <c r="E513" s="419" t="n">
        <f aca="false">IF(AND(L512&lt;L_rampe,Poussee&lt;Poids*SIN(M512)),0,(-W512+Poussee)/m*SIN(M512)+U512/m*COS(M512)-Poids/m)</f>
        <v>-10.1068210177656</v>
      </c>
      <c r="F513" s="417" t="n">
        <f aca="false">SQRT(acc_x^2+acc_z^2)</f>
        <v>10.1146896534712</v>
      </c>
      <c r="G513" s="418" t="n">
        <f aca="false">G512+acc_x*pas</f>
        <v>26.8799403386923</v>
      </c>
      <c r="H513" s="419" t="n">
        <f aca="false">H512+acc_z*pas</f>
        <v>19.0206780374704</v>
      </c>
      <c r="I513" s="417" t="n">
        <f aca="false">SQRT(vit_x^2+vit_z^2)</f>
        <v>32.9289748643465</v>
      </c>
      <c r="J513" s="418" t="n">
        <f aca="false">J512+0.5*(vit_x+G512)*pas*(K512&gt;=0)</f>
        <v>466.786962150543</v>
      </c>
      <c r="K513" s="419" t="n">
        <f aca="false">K512+0.5*(vit_z+H512)*pas</f>
        <v>1450.1604446397</v>
      </c>
      <c r="L513" s="417" t="n">
        <f aca="false">SQRT(pos_x^2+pos_z^2)</f>
        <v>1523.43538859755</v>
      </c>
      <c r="M513" s="418" t="n">
        <f aca="false">IF(AND(L512&gt;L_rampe,G513&gt;0),ATAN2(G513,H513),$M$4)</f>
        <v>0.61581916030644</v>
      </c>
      <c r="N513" s="417" t="n">
        <f aca="false">DEGREES(Beta)</f>
        <v>35.2838388288493</v>
      </c>
      <c r="O513" s="401"/>
      <c r="P513" s="420" t="n">
        <f aca="false">MATCH(t-pas/2-T_ini,CdP_t)</f>
        <v>23</v>
      </c>
      <c r="Q513" s="417" t="n">
        <f aca="false">(INDEX(CdP,2,i_P+1)-INDEX(CdP,2,i_P+0))/(INDEX(CdP,1,i_P+1)-INDEX(CdP,1,i_P+0))*(t-pas/2-T_ini-INDEX(CdP,1,i_P+0))+INDEX(CdP,2,i_P+0)</f>
        <v>0</v>
      </c>
      <c r="R513" s="418" t="n">
        <f aca="false">Poussee/(g*ISP)</f>
        <v>0</v>
      </c>
      <c r="S513" s="419" t="n">
        <f aca="false">S512-Débit*pas</f>
        <v>7.37799999999998</v>
      </c>
      <c r="T513" s="417" t="n">
        <f aca="false">m*g</f>
        <v>72.3781799999998</v>
      </c>
      <c r="U513" s="421" t="n">
        <f aca="false">IF(pos_xz&lt;L_rampe,Poids*COS(Beta),0)</f>
        <v>0</v>
      </c>
      <c r="V513" s="418" t="n">
        <f aca="false">Rho_moyen*(20000-Alt_rampe-pos_z)/(20000+Alt_rampe+pos_z)</f>
        <v>1.05936519747548</v>
      </c>
      <c r="W513" s="417" t="n">
        <f aca="false">1/2*Rho*Sref*Cx*vit_xz^2</f>
        <v>3.5321393954738</v>
      </c>
      <c r="X513" s="401"/>
      <c r="Y513" s="422" t="str">
        <f aca="false">IF(AND(pos_z&lt;=0,K512&gt;0),"Impact balistique","") &amp; IF(AND(H514&lt;0,vit_z&gt;=0),"Apogée","") &amp; IF(AND(Poussee=0,Q512&gt;0),"Fin de propulsion","") &amp; IF(AND(L514&gt;L_rampe,pos_xz&lt;=L_rampe),"Sortie de rampe","")</f>
        <v/>
      </c>
      <c r="Z513" s="423" t="str">
        <f aca="false">IF(ABS(t-T_para)&lt;pas/2,"Para","")</f>
        <v/>
      </c>
      <c r="AA513" s="424" t="str">
        <f aca="false">IF(ABS(t-T_satellite)&lt;pas/2,"Satellite","")</f>
        <v/>
      </c>
      <c r="AB513" s="412"/>
      <c r="AC513" s="420" t="e">
        <f aca="false">IF(ABS(t-ROUND(t,0))&lt;0.001,t,NA())</f>
        <v>#N/A</v>
      </c>
      <c r="AD513" s="425" t="e">
        <f aca="false">IF(ABS(t-ROUND(t,0))&lt;0.001,pos_x,NA())</f>
        <v>#N/A</v>
      </c>
      <c r="AE513" s="426" t="e">
        <f aca="false">IF(t&lt;T_para, pos_z, NA())</f>
        <v>#N/A</v>
      </c>
      <c r="AF513" s="412"/>
      <c r="AG513" s="418" t="n">
        <f aca="false">IF(AND(L512&lt;L_rampe,Poussee&lt;Poids*SIN(M512)),0,(-W512+Poussee)/m-Poids*SIN(M512)/m)</f>
        <v>-6.35350969411732</v>
      </c>
      <c r="AH513" s="417" t="n">
        <f aca="false">IF(AND(L512&lt;L_rampe,Poussee&lt;Poids*SIN(M512)), g*SIN(M512), (-W512+Poussee)/m)</f>
        <v>-0.497210636930674</v>
      </c>
    </row>
    <row r="514" customFormat="false" ht="12" hidden="false" customHeight="false" outlineLevel="0" collapsed="false">
      <c r="A514" s="416" t="n">
        <f aca="false">IF(B513+0.01&lt;=T_ini+ROUNDUP(Temps_fin_propu,0), 0.01, IF(K513&gt;0, 0.1, 0.0001))</f>
        <v>0.1</v>
      </c>
      <c r="B514" s="417" t="n">
        <f aca="false">B513+pas</f>
        <v>14.9999999999999</v>
      </c>
      <c r="C514" s="401"/>
      <c r="D514" s="418" t="n">
        <f aca="false">IF(AND(L513&lt;L_rampe,Poussee&lt;Poids*SIN(M513)),0,(-W513+Poussee)/m*COS(M513)-U513/m*SIN(M513))</f>
        <v>-0.390795247510854</v>
      </c>
      <c r="E514" s="419" t="n">
        <f aca="false">IF(AND(L513&lt;L_rampe,Poussee&lt;Poids*SIN(M513)),0,(-W513+Poussee)/m*SIN(M513)+U513/m*COS(M513)-Poids/m)</f>
        <v>-10.0865330014806</v>
      </c>
      <c r="F514" s="417" t="n">
        <f aca="false">SQRT(acc_x^2+acc_z^2)</f>
        <v>10.0941006986969</v>
      </c>
      <c r="G514" s="418" t="n">
        <f aca="false">G513+acc_x*pas</f>
        <v>26.8408608139412</v>
      </c>
      <c r="H514" s="419" t="n">
        <f aca="false">H513+acc_z*pas</f>
        <v>18.0120247373223</v>
      </c>
      <c r="I514" s="417" t="n">
        <f aca="false">SQRT(vit_x^2+vit_z^2)</f>
        <v>32.324369202991</v>
      </c>
      <c r="J514" s="418" t="n">
        <f aca="false">J513+0.5*(vit_x+G513)*pas*(K513&gt;=0)</f>
        <v>469.473002208175</v>
      </c>
      <c r="K514" s="419" t="n">
        <f aca="false">K513+0.5*(vit_z+H513)*pas</f>
        <v>1452.01207977844</v>
      </c>
      <c r="L514" s="417" t="n">
        <f aca="false">SQRT(pos_x^2+pos_z^2)</f>
        <v>1526.02227363328</v>
      </c>
      <c r="M514" s="418" t="n">
        <f aca="false">IF(AND(L513&gt;L_rampe,G514&gt;0),ATAN2(G514,H514),$M$4)</f>
        <v>0.591043030253647</v>
      </c>
      <c r="N514" s="417" t="n">
        <f aca="false">DEGREES(Beta)</f>
        <v>33.864271144157</v>
      </c>
      <c r="O514" s="401"/>
      <c r="P514" s="420" t="n">
        <f aca="false">MATCH(t-pas/2-T_ini,CdP_t)</f>
        <v>23</v>
      </c>
      <c r="Q514" s="417" t="n">
        <f aca="false">(INDEX(CdP,2,i_P+1)-INDEX(CdP,2,i_P+0))/(INDEX(CdP,1,i_P+1)-INDEX(CdP,1,i_P+0))*(t-pas/2-T_ini-INDEX(CdP,1,i_P+0))+INDEX(CdP,2,i_P+0)</f>
        <v>0</v>
      </c>
      <c r="R514" s="418" t="n">
        <f aca="false">Poussee/(g*ISP)</f>
        <v>0</v>
      </c>
      <c r="S514" s="419" t="n">
        <f aca="false">S513-Débit*pas</f>
        <v>7.37799999999998</v>
      </c>
      <c r="T514" s="417" t="n">
        <f aca="false">m*g</f>
        <v>72.3781799999998</v>
      </c>
      <c r="U514" s="421" t="n">
        <f aca="false">IF(pos_xz&lt;L_rampe,Poids*COS(Beta),0)</f>
        <v>0</v>
      </c>
      <c r="V514" s="418" t="n">
        <f aca="false">Rho_moyen*(20000-Alt_rampe-pos_z)/(20000+Alt_rampe+pos_z)</f>
        <v>1.05916802199125</v>
      </c>
      <c r="W514" s="417" t="n">
        <f aca="false">1/2*Rho*Sref*Cx*vit_xz^2</f>
        <v>3.40299013025965</v>
      </c>
      <c r="X514" s="401"/>
      <c r="Y514" s="422" t="str">
        <f aca="false">IF(AND(pos_z&lt;=0,K513&gt;0),"Impact balistique","") &amp; IF(AND(H515&lt;0,vit_z&gt;=0),"Apogée","") &amp; IF(AND(Poussee=0,Q513&gt;0),"Fin de propulsion","") &amp; IF(AND(L515&gt;L_rampe,pos_xz&lt;=L_rampe),"Sortie de rampe","")</f>
        <v/>
      </c>
      <c r="Z514" s="423" t="str">
        <f aca="false">IF(ABS(t-T_para)&lt;pas/2,"Para","")</f>
        <v/>
      </c>
      <c r="AA514" s="424" t="str">
        <f aca="false">IF(ABS(t-T_satellite)&lt;pas/2,"Satellite","")</f>
        <v/>
      </c>
      <c r="AB514" s="412"/>
      <c r="AC514" s="420" t="n">
        <f aca="false">IF(ABS(t-ROUND(t,0))&lt;0.001,t,NA())</f>
        <v>14.9999999999999</v>
      </c>
      <c r="AD514" s="425" t="n">
        <f aca="false">IF(ABS(t-ROUND(t,0))&lt;0.001,pos_x,NA())</f>
        <v>469.473002208175</v>
      </c>
      <c r="AE514" s="426" t="e">
        <f aca="false">IF(t&lt;T_para, pos_z, NA())</f>
        <v>#N/A</v>
      </c>
      <c r="AF514" s="412"/>
      <c r="AG514" s="418" t="n">
        <f aca="false">IF(AND(L513&lt;L_rampe,Poussee&lt;Poids*SIN(M513)),0,(-W513+Poussee)/m-Poids*SIN(M513)/m)</f>
        <v>-6.14526417864038</v>
      </c>
      <c r="AH514" s="417" t="n">
        <f aca="false">IF(AND(L513&lt;L_rampe,Poussee&lt;Poids*SIN(M513)), g*SIN(M513), (-W513+Poussee)/m)</f>
        <v>-0.478739413861997</v>
      </c>
    </row>
    <row r="515" customFormat="false" ht="12" hidden="false" customHeight="false" outlineLevel="0" collapsed="false">
      <c r="A515" s="416" t="n">
        <f aca="false">IF(B514+0.01&lt;=T_ini+ROUNDUP(Temps_fin_propu,0), 0.01, IF(K514&gt;0, 0.1, 0.0001))</f>
        <v>0.1</v>
      </c>
      <c r="B515" s="417" t="n">
        <f aca="false">B514+pas</f>
        <v>15.0999999999999</v>
      </c>
      <c r="C515" s="401"/>
      <c r="D515" s="418" t="n">
        <f aca="false">IF(AND(L514&lt;L_rampe,Poussee&lt;Poids*SIN(M514)),0,(-W514+Poussee)/m*COS(M514)-U514/m*SIN(M514))</f>
        <v>-0.38299086909288</v>
      </c>
      <c r="E515" s="419" t="n">
        <f aca="false">IF(AND(L514&lt;L_rampe,Poussee&lt;Poids*SIN(M514)),0,(-W514+Poussee)/m*SIN(M514)+U514/m*COS(M514)-Poids/m)</f>
        <v>-10.0670126590235</v>
      </c>
      <c r="F515" s="417" t="n">
        <f aca="false">SQRT(acc_x^2+acc_z^2)</f>
        <v>10.0742953045236</v>
      </c>
      <c r="G515" s="418" t="n">
        <f aca="false">G514+acc_x*pas</f>
        <v>26.8025617270319</v>
      </c>
      <c r="H515" s="419" t="n">
        <f aca="false">H514+acc_z*pas</f>
        <v>17.00532347142</v>
      </c>
      <c r="I515" s="417" t="n">
        <f aca="false">SQRT(vit_x^2+vit_z^2)</f>
        <v>31.7420595031101</v>
      </c>
      <c r="J515" s="418" t="n">
        <f aca="false">J514+0.5*(vit_x+G514)*pas*(K514&gt;=0)</f>
        <v>472.155173335224</v>
      </c>
      <c r="K515" s="419" t="n">
        <f aca="false">K514+0.5*(vit_z+H514)*pas</f>
        <v>1453.76294718888</v>
      </c>
      <c r="L515" s="417" t="n">
        <f aca="false">SQRT(pos_x^2+pos_z^2)</f>
        <v>1528.51470857382</v>
      </c>
      <c r="M515" s="418" t="n">
        <f aca="false">IF(AND(L514&gt;L_rampe,G515&gt;0),ATAN2(G515,H515),$M$4)</f>
        <v>0.565377634365149</v>
      </c>
      <c r="N515" s="417" t="n">
        <f aca="false">DEGREES(Beta)</f>
        <v>32.3937522802137</v>
      </c>
      <c r="O515" s="401"/>
      <c r="P515" s="420" t="n">
        <f aca="false">MATCH(t-pas/2-T_ini,CdP_t)</f>
        <v>23</v>
      </c>
      <c r="Q515" s="417" t="n">
        <f aca="false">(INDEX(CdP,2,i_P+1)-INDEX(CdP,2,i_P+0))/(INDEX(CdP,1,i_P+1)-INDEX(CdP,1,i_P+0))*(t-pas/2-T_ini-INDEX(CdP,1,i_P+0))+INDEX(CdP,2,i_P+0)</f>
        <v>0</v>
      </c>
      <c r="R515" s="418" t="n">
        <f aca="false">Poussee/(g*ISP)</f>
        <v>0</v>
      </c>
      <c r="S515" s="419" t="n">
        <f aca="false">S514-Débit*pas</f>
        <v>7.37799999999998</v>
      </c>
      <c r="T515" s="417" t="n">
        <f aca="false">m*g</f>
        <v>72.3781799999998</v>
      </c>
      <c r="U515" s="421" t="n">
        <f aca="false">IF(pos_xz&lt;L_rampe,Poids*COS(Beta),0)</f>
        <v>0</v>
      </c>
      <c r="V515" s="418" t="n">
        <f aca="false">Rho_moyen*(20000-Alt_rampe-pos_z)/(20000+Alt_rampe+pos_z)</f>
        <v>1.05898160829033</v>
      </c>
      <c r="W515" s="417" t="n">
        <f aca="false">1/2*Rho*Sref*Cx*vit_xz^2</f>
        <v>3.28091011644161</v>
      </c>
      <c r="X515" s="401"/>
      <c r="Y515" s="422" t="str">
        <f aca="false">IF(AND(pos_z&lt;=0,K514&gt;0),"Impact balistique","") &amp; IF(AND(H516&lt;0,vit_z&gt;=0),"Apogée","") &amp; IF(AND(Poussee=0,Q514&gt;0),"Fin de propulsion","") &amp; IF(AND(L516&gt;L_rampe,pos_xz&lt;=L_rampe),"Sortie de rampe","")</f>
        <v/>
      </c>
      <c r="Z515" s="423" t="str">
        <f aca="false">IF(ABS(t-T_para)&lt;pas/2,"Para","")</f>
        <v/>
      </c>
      <c r="AA515" s="424" t="str">
        <f aca="false">IF(ABS(t-T_satellite)&lt;pas/2,"Satellite","")</f>
        <v/>
      </c>
      <c r="AB515" s="412"/>
      <c r="AC515" s="420" t="e">
        <f aca="false">IF(ABS(t-ROUND(t,0))&lt;0.001,t,NA())</f>
        <v>#N/A</v>
      </c>
      <c r="AD515" s="425" t="e">
        <f aca="false">IF(ABS(t-ROUND(t,0))&lt;0.001,pos_x,NA())</f>
        <v>#N/A</v>
      </c>
      <c r="AE515" s="426" t="e">
        <f aca="false">IF(t&lt;T_para, pos_z, NA())</f>
        <v>#N/A</v>
      </c>
      <c r="AF515" s="412"/>
      <c r="AG515" s="418" t="n">
        <f aca="false">IF(AND(L514&lt;L_rampe,Poussee&lt;Poids*SIN(M514)),0,(-W514+Poussee)/m-Poids*SIN(M514)/m)</f>
        <v>-5.92763572437695</v>
      </c>
      <c r="AH515" s="417" t="n">
        <f aca="false">IF(AND(L514&lt;L_rampe,Poussee&lt;Poids*SIN(M514)), g*SIN(M514), (-W514+Poussee)/m)</f>
        <v>-0.461234769620447</v>
      </c>
    </row>
    <row r="516" customFormat="false" ht="12" hidden="false" customHeight="false" outlineLevel="0" collapsed="false">
      <c r="A516" s="416" t="n">
        <f aca="false">IF(B515+0.01&lt;=T_ini+ROUNDUP(Temps_fin_propu,0), 0.01, IF(K515&gt;0, 0.1, 0.0001))</f>
        <v>0.1</v>
      </c>
      <c r="B516" s="417" t="n">
        <f aca="false">B515+pas</f>
        <v>15.1999999999999</v>
      </c>
      <c r="C516" s="401"/>
      <c r="D516" s="418" t="n">
        <f aca="false">IF(AND(L515&lt;L_rampe,Poussee&lt;Poids*SIN(M515)),0,(-W515+Poussee)/m*COS(M515)-U515/m*SIN(M515))</f>
        <v>-0.37548871156727</v>
      </c>
      <c r="E516" s="419" t="n">
        <f aca="false">IF(AND(L515&lt;L_rampe,Poussee&lt;Poids*SIN(M515)),0,(-W515+Poussee)/m*SIN(M515)+U515/m*COS(M515)-Poids/m)</f>
        <v>-10.0482349517594</v>
      </c>
      <c r="F516" s="417" t="n">
        <f aca="false">SQRT(acc_x^2+acc_z^2)</f>
        <v>10.0552482524438</v>
      </c>
      <c r="G516" s="418" t="n">
        <f aca="false">G515+acc_x*pas</f>
        <v>26.7650128558752</v>
      </c>
      <c r="H516" s="419" t="n">
        <f aca="false">H515+acc_z*pas</f>
        <v>16.000499976244</v>
      </c>
      <c r="I516" s="417" t="n">
        <f aca="false">SQRT(vit_x^2+vit_z^2)</f>
        <v>31.183038861935</v>
      </c>
      <c r="J516" s="418" t="n">
        <f aca="false">J515+0.5*(vit_x+G515)*pas*(K515&gt;=0)</f>
        <v>474.833552064369</v>
      </c>
      <c r="K516" s="419" t="n">
        <f aca="false">K515+0.5*(vit_z+H515)*pas</f>
        <v>1455.41323836126</v>
      </c>
      <c r="L516" s="417" t="n">
        <f aca="false">SQRT(pos_x^2+pos_z^2)</f>
        <v>1530.91299444589</v>
      </c>
      <c r="M516" s="418" t="n">
        <f aca="false">IF(AND(L515&gt;L_rampe,G516&gt;0),ATAN2(G516,H516),$M$4)</f>
        <v>0.538810613058391</v>
      </c>
      <c r="N516" s="417" t="n">
        <f aca="false">DEGREES(Beta)</f>
        <v>30.8715740851023</v>
      </c>
      <c r="O516" s="401"/>
      <c r="P516" s="420" t="n">
        <f aca="false">MATCH(t-pas/2-T_ini,CdP_t)</f>
        <v>23</v>
      </c>
      <c r="Q516" s="417" t="n">
        <f aca="false">(INDEX(CdP,2,i_P+1)-INDEX(CdP,2,i_P+0))/(INDEX(CdP,1,i_P+1)-INDEX(CdP,1,i_P+0))*(t-pas/2-T_ini-INDEX(CdP,1,i_P+0))+INDEX(CdP,2,i_P+0)</f>
        <v>0</v>
      </c>
      <c r="R516" s="418" t="n">
        <f aca="false">Poussee/(g*ISP)</f>
        <v>0</v>
      </c>
      <c r="S516" s="419" t="n">
        <f aca="false">S515-Débit*pas</f>
        <v>7.37799999999998</v>
      </c>
      <c r="T516" s="417" t="n">
        <f aca="false">m*g</f>
        <v>72.3781799999998</v>
      </c>
      <c r="U516" s="421" t="n">
        <f aca="false">IF(pos_xz&lt;L_rampe,Poids*COS(Beta),0)</f>
        <v>0</v>
      </c>
      <c r="V516" s="418" t="n">
        <f aca="false">Rho_moyen*(20000-Alt_rampe-pos_z)/(20000+Alt_rampe+pos_z)</f>
        <v>1.05880593072849</v>
      </c>
      <c r="W516" s="417" t="n">
        <f aca="false">1/2*Rho*Sref*Cx*vit_xz^2</f>
        <v>3.16583990733103</v>
      </c>
      <c r="X516" s="401"/>
      <c r="Y516" s="422" t="str">
        <f aca="false">IF(AND(pos_z&lt;=0,K515&gt;0),"Impact balistique","") &amp; IF(AND(H517&lt;0,vit_z&gt;=0),"Apogée","") &amp; IF(AND(Poussee=0,Q515&gt;0),"Fin de propulsion","") &amp; IF(AND(L517&gt;L_rampe,pos_xz&lt;=L_rampe),"Sortie de rampe","")</f>
        <v/>
      </c>
      <c r="Z516" s="423" t="str">
        <f aca="false">IF(ABS(t-T_para)&lt;pas/2,"Para","")</f>
        <v/>
      </c>
      <c r="AA516" s="424" t="str">
        <f aca="false">IF(ABS(t-T_satellite)&lt;pas/2,"Satellite","")</f>
        <v/>
      </c>
      <c r="AB516" s="412"/>
      <c r="AC516" s="420" t="e">
        <f aca="false">IF(ABS(t-ROUND(t,0))&lt;0.001,t,NA())</f>
        <v>#N/A</v>
      </c>
      <c r="AD516" s="425" t="e">
        <f aca="false">IF(ABS(t-ROUND(t,0))&lt;0.001,pos_x,NA())</f>
        <v>#N/A</v>
      </c>
      <c r="AE516" s="426" t="e">
        <f aca="false">IF(t&lt;T_para, pos_z, NA())</f>
        <v>#N/A</v>
      </c>
      <c r="AF516" s="412"/>
      <c r="AG516" s="418" t="n">
        <f aca="false">IF(AND(L515&lt;L_rampe,Poussee&lt;Poids*SIN(M515)),0,(-W515+Poussee)/m-Poids*SIN(M515)/m)</f>
        <v>-5.70024591578104</v>
      </c>
      <c r="AH516" s="417" t="n">
        <f aca="false">IF(AND(L515&lt;L_rampe,Poussee&lt;Poids*SIN(M515)), g*SIN(M515), (-W515+Poussee)/m)</f>
        <v>-0.444688278184009</v>
      </c>
    </row>
    <row r="517" customFormat="false" ht="12" hidden="false" customHeight="false" outlineLevel="0" collapsed="false">
      <c r="A517" s="416" t="n">
        <f aca="false">IF(B516+0.01&lt;=T_ini+ROUNDUP(Temps_fin_propu,0), 0.01, IF(K516&gt;0, 0.1, 0.0001))</f>
        <v>0.1</v>
      </c>
      <c r="B517" s="417" t="n">
        <f aca="false">B516+pas</f>
        <v>15.2999999999999</v>
      </c>
      <c r="C517" s="401"/>
      <c r="D517" s="418" t="n">
        <f aca="false">IF(AND(L516&lt;L_rampe,Poussee&lt;Poids*SIN(M516)),0,(-W516+Poussee)/m*COS(M516)-U516/m*SIN(M516))</f>
        <v>-0.368297964670808</v>
      </c>
      <c r="E517" s="419" t="n">
        <f aca="false">IF(AND(L516&lt;L_rampe,Poussee&lt;Poids*SIN(M516)),0,(-W516+Poussee)/m*SIN(M516)+U516/m*COS(M516)-Poids/m)</f>
        <v>-10.0301736874441</v>
      </c>
      <c r="F517" s="417" t="n">
        <f aca="false">SQRT(acc_x^2+acc_z^2)</f>
        <v>10.0369331765772</v>
      </c>
      <c r="G517" s="418" t="n">
        <f aca="false">G516+acc_x*pas</f>
        <v>26.7281830594081</v>
      </c>
      <c r="H517" s="419" t="n">
        <f aca="false">H516+acc_z*pas</f>
        <v>14.9974826074996</v>
      </c>
      <c r="I517" s="417" t="n">
        <f aca="false">SQRT(vit_x^2+vit_z^2)</f>
        <v>30.648331997345</v>
      </c>
      <c r="J517" s="418" t="n">
        <f aca="false">J516+0.5*(vit_x+G516)*pas*(K516&gt;=0)</f>
        <v>477.508211860133</v>
      </c>
      <c r="K517" s="419" t="n">
        <f aca="false">K516+0.5*(vit_z+H516)*pas</f>
        <v>1456.96313749045</v>
      </c>
      <c r="L517" s="417" t="n">
        <f aca="false">SQRT(pos_x^2+pos_z^2)</f>
        <v>1533.21742632931</v>
      </c>
      <c r="M517" s="418" t="n">
        <f aca="false">IF(AND(L516&gt;L_rampe,G517&gt;0),ATAN2(G517,H517),$M$4)</f>
        <v>0.511333833312981</v>
      </c>
      <c r="N517" s="417" t="n">
        <f aca="false">DEGREES(Beta)</f>
        <v>29.2972705710797</v>
      </c>
      <c r="O517" s="401"/>
      <c r="P517" s="420" t="n">
        <f aca="false">MATCH(t-pas/2-T_ini,CdP_t)</f>
        <v>23</v>
      </c>
      <c r="Q517" s="417" t="n">
        <f aca="false">(INDEX(CdP,2,i_P+1)-INDEX(CdP,2,i_P+0))/(INDEX(CdP,1,i_P+1)-INDEX(CdP,1,i_P+0))*(t-pas/2-T_ini-INDEX(CdP,1,i_P+0))+INDEX(CdP,2,i_P+0)</f>
        <v>0</v>
      </c>
      <c r="R517" s="418" t="n">
        <f aca="false">Poussee/(g*ISP)</f>
        <v>0</v>
      </c>
      <c r="S517" s="419" t="n">
        <f aca="false">S516-Débit*pas</f>
        <v>7.37799999999998</v>
      </c>
      <c r="T517" s="417" t="n">
        <f aca="false">m*g</f>
        <v>72.3781799999998</v>
      </c>
      <c r="U517" s="421" t="n">
        <f aca="false">IF(pos_xz&lt;L_rampe,Poids*COS(Beta),0)</f>
        <v>0</v>
      </c>
      <c r="V517" s="418" t="n">
        <f aca="false">Rho_moyen*(20000-Alt_rampe-pos_z)/(20000+Alt_rampe+pos_z)</f>
        <v>1.05864096475448</v>
      </c>
      <c r="W517" s="417" t="n">
        <f aca="false">1/2*Rho*Sref*Cx*vit_xz^2</f>
        <v>3.05772267899507</v>
      </c>
      <c r="X517" s="401"/>
      <c r="Y517" s="422" t="str">
        <f aca="false">IF(AND(pos_z&lt;=0,K516&gt;0),"Impact balistique","") &amp; IF(AND(H518&lt;0,vit_z&gt;=0),"Apogée","") &amp; IF(AND(Poussee=0,Q516&gt;0),"Fin de propulsion","") &amp; IF(AND(L518&gt;L_rampe,pos_xz&lt;=L_rampe),"Sortie de rampe","")</f>
        <v/>
      </c>
      <c r="Z517" s="423" t="str">
        <f aca="false">IF(ABS(t-T_para)&lt;pas/2,"Para","")</f>
        <v/>
      </c>
      <c r="AA517" s="424" t="str">
        <f aca="false">IF(ABS(t-T_satellite)&lt;pas/2,"Satellite","")</f>
        <v/>
      </c>
      <c r="AB517" s="412"/>
      <c r="AC517" s="420" t="e">
        <f aca="false">IF(ABS(t-ROUND(t,0))&lt;0.001,t,NA())</f>
        <v>#N/A</v>
      </c>
      <c r="AD517" s="425" t="e">
        <f aca="false">IF(ABS(t-ROUND(t,0))&lt;0.001,pos_x,NA())</f>
        <v>#N/A</v>
      </c>
      <c r="AE517" s="426" t="e">
        <f aca="false">IF(t&lt;T_para, pos_z, NA())</f>
        <v>#N/A</v>
      </c>
      <c r="AF517" s="412"/>
      <c r="AG517" s="418" t="n">
        <f aca="false">IF(AND(L516&lt;L_rampe,Poussee&lt;Poids*SIN(M516)),0,(-W516+Poussee)/m-Poids*SIN(M516)/m)</f>
        <v>-5.46275474821727</v>
      </c>
      <c r="AH517" s="417" t="n">
        <f aca="false">IF(AND(L516&lt;L_rampe,Poussee&lt;Poids*SIN(M516)), g*SIN(M516), (-W516+Poussee)/m)</f>
        <v>-0.429091882262272</v>
      </c>
    </row>
    <row r="518" customFormat="false" ht="12" hidden="false" customHeight="false" outlineLevel="0" collapsed="false">
      <c r="A518" s="416" t="n">
        <f aca="false">IF(B517+0.01&lt;=T_ini+ROUNDUP(Temps_fin_propu,0), 0.01, IF(K517&gt;0, 0.1, 0.0001))</f>
        <v>0.1</v>
      </c>
      <c r="B518" s="417" t="n">
        <f aca="false">B517+pas</f>
        <v>15.3999999999999</v>
      </c>
      <c r="C518" s="401"/>
      <c r="D518" s="418" t="n">
        <f aca="false">IF(AND(L517&lt;L_rampe,Poussee&lt;Poids*SIN(M517)),0,(-W517+Poussee)/m*COS(M517)-U517/m*SIN(M517))</f>
        <v>-0.361428201888407</v>
      </c>
      <c r="E518" s="419" t="n">
        <f aca="false">IF(AND(L517&lt;L_rampe,Poussee&lt;Poids*SIN(M517)),0,(-W517+Poussee)/m*SIN(M517)+U517/m*COS(M517)-Poids/m)</f>
        <v>-10.012801408522</v>
      </c>
      <c r="F518" s="417" t="n">
        <f aca="false">SQRT(acc_x^2+acc_z^2)</f>
        <v>10.019322451724</v>
      </c>
      <c r="G518" s="418" t="n">
        <f aca="false">G517+acc_x*pas</f>
        <v>26.6920402392192</v>
      </c>
      <c r="H518" s="419" t="n">
        <f aca="false">H517+acc_z*pas</f>
        <v>13.9962024666474</v>
      </c>
      <c r="I518" s="417" t="n">
        <f aca="false">SQRT(vit_x^2+vit_z^2)</f>
        <v>30.1389896250602</v>
      </c>
      <c r="J518" s="418" t="n">
        <f aca="false">J517+0.5*(vit_x+G517)*pas*(K517&gt;=0)</f>
        <v>480.179223025065</v>
      </c>
      <c r="K518" s="419" t="n">
        <f aca="false">K517+0.5*(vit_z+H517)*pas</f>
        <v>1458.41282174416</v>
      </c>
      <c r="L518" s="417" t="n">
        <f aca="false">SQRT(pos_x^2+pos_z^2)</f>
        <v>1535.42829362127</v>
      </c>
      <c r="M518" s="418" t="n">
        <f aca="false">IF(AND(L517&gt;L_rampe,G518&gt;0),ATAN2(G518,H518),$M$4)</f>
        <v>0.482944103973262</v>
      </c>
      <c r="N518" s="417" t="n">
        <f aca="false">DEGREES(Beta)</f>
        <v>27.6706588983951</v>
      </c>
      <c r="O518" s="401"/>
      <c r="P518" s="420" t="n">
        <f aca="false">MATCH(t-pas/2-T_ini,CdP_t)</f>
        <v>23</v>
      </c>
      <c r="Q518" s="417" t="n">
        <f aca="false">(INDEX(CdP,2,i_P+1)-INDEX(CdP,2,i_P+0))/(INDEX(CdP,1,i_P+1)-INDEX(CdP,1,i_P+0))*(t-pas/2-T_ini-INDEX(CdP,1,i_P+0))+INDEX(CdP,2,i_P+0)</f>
        <v>0</v>
      </c>
      <c r="R518" s="418" t="n">
        <f aca="false">Poussee/(g*ISP)</f>
        <v>0</v>
      </c>
      <c r="S518" s="419" t="n">
        <f aca="false">S517-Débit*pas</f>
        <v>7.37799999999998</v>
      </c>
      <c r="T518" s="417" t="n">
        <f aca="false">m*g</f>
        <v>72.3781799999998</v>
      </c>
      <c r="U518" s="421" t="n">
        <f aca="false">IF(pos_xz&lt;L_rampe,Poids*COS(Beta),0)</f>
        <v>0</v>
      </c>
      <c r="V518" s="418" t="n">
        <f aca="false">Rho_moyen*(20000-Alt_rampe-pos_z)/(20000+Alt_rampe+pos_z)</f>
        <v>1.0584866868787</v>
      </c>
      <c r="W518" s="417" t="n">
        <f aca="false">1/2*Rho*Sref*Cx*vit_xz^2</f>
        <v>2.95650413138202</v>
      </c>
      <c r="X518" s="401"/>
      <c r="Y518" s="422" t="str">
        <f aca="false">IF(AND(pos_z&lt;=0,K517&gt;0),"Impact balistique","") &amp; IF(AND(H519&lt;0,vit_z&gt;=0),"Apogée","") &amp; IF(AND(Poussee=0,Q517&gt;0),"Fin de propulsion","") &amp; IF(AND(L519&gt;L_rampe,pos_xz&lt;=L_rampe),"Sortie de rampe","")</f>
        <v/>
      </c>
      <c r="Z518" s="423" t="str">
        <f aca="false">IF(ABS(t-T_para)&lt;pas/2,"Para","")</f>
        <v/>
      </c>
      <c r="AA518" s="424" t="str">
        <f aca="false">IF(ABS(t-T_satellite)&lt;pas/2,"Satellite","")</f>
        <v/>
      </c>
      <c r="AB518" s="412"/>
      <c r="AC518" s="420" t="e">
        <f aca="false">IF(ABS(t-ROUND(t,0))&lt;0.001,t,NA())</f>
        <v>#N/A</v>
      </c>
      <c r="AD518" s="425" t="e">
        <f aca="false">IF(ABS(t-ROUND(t,0))&lt;0.001,pos_x,NA())</f>
        <v>#N/A</v>
      </c>
      <c r="AE518" s="426" t="e">
        <f aca="false">IF(t&lt;T_para, pos_z, NA())</f>
        <v>#N/A</v>
      </c>
      <c r="AF518" s="412"/>
      <c r="AG518" s="418" t="n">
        <f aca="false">IF(AND(L517&lt;L_rampe,Poussee&lt;Poids*SIN(M517)),0,(-W517+Poussee)/m-Poids*SIN(M517)/m)</f>
        <v>-5.21487218728273</v>
      </c>
      <c r="AH518" s="417" t="n">
        <f aca="false">IF(AND(L517&lt;L_rampe,Poussee&lt;Poids*SIN(M517)), g*SIN(M517), (-W517+Poussee)/m)</f>
        <v>-0.414437880048126</v>
      </c>
    </row>
    <row r="519" customFormat="false" ht="12" hidden="false" customHeight="false" outlineLevel="0" collapsed="false">
      <c r="A519" s="416" t="n">
        <f aca="false">IF(B518+0.01&lt;=T_ini+ROUNDUP(Temps_fin_propu,0), 0.01, IF(K518&gt;0, 0.1, 0.0001))</f>
        <v>0.1</v>
      </c>
      <c r="B519" s="417" t="n">
        <f aca="false">B518+pas</f>
        <v>15.4999999999999</v>
      </c>
      <c r="C519" s="401"/>
      <c r="D519" s="418" t="n">
        <f aca="false">IF(AND(L518&lt;L_rampe,Poussee&lt;Poids*SIN(M518)),0,(-W518+Poussee)/m*COS(M518)-U518/m*SIN(M518))</f>
        <v>-0.354889312876241</v>
      </c>
      <c r="E519" s="419" t="n">
        <f aca="false">IF(AND(L518&lt;L_rampe,Poussee&lt;Poids*SIN(M518)),0,(-W518+Poussee)/m*SIN(M518)+U518/m*COS(M518)-Poids/m)</f>
        <v>-9.99608928473617</v>
      </c>
      <c r="F519" s="417" t="n">
        <f aca="false">SQRT(acc_x^2+acc_z^2)</f>
        <v>10.0023870857316</v>
      </c>
      <c r="G519" s="418" t="n">
        <f aca="false">G518+acc_x*pas</f>
        <v>26.6565513079316</v>
      </c>
      <c r="H519" s="419" t="n">
        <f aca="false">H518+acc_z*pas</f>
        <v>12.9965935381738</v>
      </c>
      <c r="I519" s="417" t="n">
        <f aca="false">SQRT(vit_x^2+vit_z^2)</f>
        <v>29.656081521821</v>
      </c>
      <c r="J519" s="418" t="n">
        <f aca="false">J518+0.5*(vit_x+G518)*pas*(K518&gt;=0)</f>
        <v>482.846652602422</v>
      </c>
      <c r="K519" s="419" t="n">
        <f aca="false">K518+0.5*(vit_z+H518)*pas</f>
        <v>1459.7624615444</v>
      </c>
      <c r="L519" s="417" t="n">
        <f aca="false">SQRT(pos_x^2+pos_z^2)</f>
        <v>1537.54588031172</v>
      </c>
      <c r="M519" s="418" t="n">
        <f aca="false">IF(AND(L518&gt;L_rampe,G519&gt;0),ATAN2(G519,H519),$M$4)</f>
        <v>0.453643912084415</v>
      </c>
      <c r="N519" s="417" t="n">
        <f aca="false">DEGREES(Beta)</f>
        <v>25.9918815642407</v>
      </c>
      <c r="O519" s="401"/>
      <c r="P519" s="420" t="n">
        <f aca="false">MATCH(t-pas/2-T_ini,CdP_t)</f>
        <v>23</v>
      </c>
      <c r="Q519" s="417" t="n">
        <f aca="false">(INDEX(CdP,2,i_P+1)-INDEX(CdP,2,i_P+0))/(INDEX(CdP,1,i_P+1)-INDEX(CdP,1,i_P+0))*(t-pas/2-T_ini-INDEX(CdP,1,i_P+0))+INDEX(CdP,2,i_P+0)</f>
        <v>0</v>
      </c>
      <c r="R519" s="418" t="n">
        <f aca="false">Poussee/(g*ISP)</f>
        <v>0</v>
      </c>
      <c r="S519" s="419" t="n">
        <f aca="false">S518-Débit*pas</f>
        <v>7.37799999999998</v>
      </c>
      <c r="T519" s="417" t="n">
        <f aca="false">m*g</f>
        <v>72.3781799999998</v>
      </c>
      <c r="U519" s="421" t="n">
        <f aca="false">IF(pos_xz&lt;L_rampe,Poids*COS(Beta),0)</f>
        <v>0</v>
      </c>
      <c r="V519" s="418" t="n">
        <f aca="false">Rho_moyen*(20000-Alt_rampe-pos_z)/(20000+Alt_rampe+pos_z)</f>
        <v>1.05834307464061</v>
      </c>
      <c r="W519" s="417" t="n">
        <f aca="false">1/2*Rho*Sref*Cx*vit_xz^2</f>
        <v>2.86213238796756</v>
      </c>
      <c r="X519" s="401"/>
      <c r="Y519" s="422" t="str">
        <f aca="false">IF(AND(pos_z&lt;=0,K518&gt;0),"Impact balistique","") &amp; IF(AND(H520&lt;0,vit_z&gt;=0),"Apogée","") &amp; IF(AND(Poussee=0,Q518&gt;0),"Fin de propulsion","") &amp; IF(AND(L520&gt;L_rampe,pos_xz&lt;=L_rampe),"Sortie de rampe","")</f>
        <v/>
      </c>
      <c r="Z519" s="423" t="str">
        <f aca="false">IF(ABS(t-T_para)&lt;pas/2,"Para","")</f>
        <v/>
      </c>
      <c r="AA519" s="424" t="str">
        <f aca="false">IF(ABS(t-T_satellite)&lt;pas/2,"Satellite","")</f>
        <v/>
      </c>
      <c r="AB519" s="412"/>
      <c r="AC519" s="420" t="e">
        <f aca="false">IF(ABS(t-ROUND(t,0))&lt;0.001,t,NA())</f>
        <v>#N/A</v>
      </c>
      <c r="AD519" s="425" t="e">
        <f aca="false">IF(ABS(t-ROUND(t,0))&lt;0.001,pos_x,NA())</f>
        <v>#N/A</v>
      </c>
      <c r="AE519" s="426" t="e">
        <f aca="false">IF(t&lt;T_para, pos_z, NA())</f>
        <v>#N/A</v>
      </c>
      <c r="AF519" s="412"/>
      <c r="AG519" s="418" t="n">
        <f aca="false">IF(AND(L518&lt;L_rampe,Poussee&lt;Poids*SIN(M518)),0,(-W518+Poussee)/m-Poids*SIN(M518)/m)</f>
        <v>-4.95637083996359</v>
      </c>
      <c r="AH519" s="417" t="n">
        <f aca="false">IF(AND(L518&lt;L_rampe,Poussee&lt;Poids*SIN(M518)), g*SIN(M518), (-W518+Poussee)/m)</f>
        <v>-0.400718911816485</v>
      </c>
    </row>
    <row r="520" customFormat="false" ht="12" hidden="false" customHeight="false" outlineLevel="0" collapsed="false">
      <c r="A520" s="416" t="n">
        <f aca="false">IF(B519+0.01&lt;=T_ini+ROUNDUP(Temps_fin_propu,0), 0.01, IF(K519&gt;0, 0.1, 0.0001))</f>
        <v>0.1</v>
      </c>
      <c r="B520" s="417" t="n">
        <f aca="false">B519+pas</f>
        <v>15.5999999999999</v>
      </c>
      <c r="C520" s="401"/>
      <c r="D520" s="418" t="n">
        <f aca="false">IF(AND(L519&lt;L_rampe,Poussee&lt;Poids*SIN(M519)),0,(-W519+Poussee)/m*COS(M519)-U519/m*SIN(M519))</f>
        <v>-0.348691420925521</v>
      </c>
      <c r="E520" s="419" t="n">
        <f aca="false">IF(AND(L519&lt;L_rampe,Poussee&lt;Poids*SIN(M519)),0,(-W519+Poussee)/m*SIN(M519)+U519/m*COS(M519)-Poids/m)</f>
        <v>-9.98000701312284</v>
      </c>
      <c r="F520" s="417" t="n">
        <f aca="false">SQRT(acc_x^2+acc_z^2)</f>
        <v>9.9860966192506</v>
      </c>
      <c r="G520" s="418" t="n">
        <f aca="false">G519+acc_x*pas</f>
        <v>26.6216821658391</v>
      </c>
      <c r="H520" s="419" t="n">
        <f aca="false">H519+acc_z*pas</f>
        <v>11.9985928368615</v>
      </c>
      <c r="I520" s="417" t="n">
        <f aca="false">SQRT(vit_x^2+vit_z^2)</f>
        <v>29.2006882008582</v>
      </c>
      <c r="J520" s="418" t="n">
        <f aca="false">J519+0.5*(vit_x+G519)*pas*(K519&gt;=0)</f>
        <v>485.510564276111</v>
      </c>
      <c r="K520" s="419" t="n">
        <f aca="false">K519+0.5*(vit_z+H519)*pas</f>
        <v>1461.01222086315</v>
      </c>
      <c r="L520" s="417" t="n">
        <f aca="false">SQRT(pos_x^2+pos_z^2)</f>
        <v>1539.57046527114</v>
      </c>
      <c r="M520" s="418" t="n">
        <f aca="false">IF(AND(L519&gt;L_rampe,G520&gt;0),ATAN2(G520,H520),$M$4)</f>
        <v>0.42344215983182</v>
      </c>
      <c r="N520" s="417" t="n">
        <f aca="false">DEGREES(Beta)</f>
        <v>24.2614486262673</v>
      </c>
      <c r="O520" s="401"/>
      <c r="P520" s="420" t="n">
        <f aca="false">MATCH(t-pas/2-T_ini,CdP_t)</f>
        <v>23</v>
      </c>
      <c r="Q520" s="417" t="n">
        <f aca="false">(INDEX(CdP,2,i_P+1)-INDEX(CdP,2,i_P+0))/(INDEX(CdP,1,i_P+1)-INDEX(CdP,1,i_P+0))*(t-pas/2-T_ini-INDEX(CdP,1,i_P+0))+INDEX(CdP,2,i_P+0)</f>
        <v>0</v>
      </c>
      <c r="R520" s="418" t="n">
        <f aca="false">Poussee/(g*ISP)</f>
        <v>0</v>
      </c>
      <c r="S520" s="419" t="n">
        <f aca="false">S519-Débit*pas</f>
        <v>7.37799999999998</v>
      </c>
      <c r="T520" s="417" t="n">
        <f aca="false">m*g</f>
        <v>72.3781799999998</v>
      </c>
      <c r="U520" s="421" t="n">
        <f aca="false">IF(pos_xz&lt;L_rampe,Poids*COS(Beta),0)</f>
        <v>0</v>
      </c>
      <c r="V520" s="418" t="n">
        <f aca="false">Rho_moyen*(20000-Alt_rampe-pos_z)/(20000+Alt_rampe+pos_z)</f>
        <v>1.0582101065748</v>
      </c>
      <c r="W520" s="417" t="n">
        <f aca="false">1/2*Rho*Sref*Cx*vit_xz^2</f>
        <v>2.77455789359024</v>
      </c>
      <c r="X520" s="401"/>
      <c r="Y520" s="422" t="str">
        <f aca="false">IF(AND(pos_z&lt;=0,K519&gt;0),"Impact balistique","") &amp; IF(AND(H521&lt;0,vit_z&gt;=0),"Apogée","") &amp; IF(AND(Poussee=0,Q519&gt;0),"Fin de propulsion","") &amp; IF(AND(L521&gt;L_rampe,pos_xz&lt;=L_rampe),"Sortie de rampe","")</f>
        <v/>
      </c>
      <c r="Z520" s="423" t="str">
        <f aca="false">IF(ABS(t-T_para)&lt;pas/2,"Para","")</f>
        <v/>
      </c>
      <c r="AA520" s="424" t="str">
        <f aca="false">IF(ABS(t-T_satellite)&lt;pas/2,"Satellite","")</f>
        <v/>
      </c>
      <c r="AB520" s="412"/>
      <c r="AC520" s="420" t="e">
        <f aca="false">IF(ABS(t-ROUND(t,0))&lt;0.001,t,NA())</f>
        <v>#N/A</v>
      </c>
      <c r="AD520" s="425" t="e">
        <f aca="false">IF(ABS(t-ROUND(t,0))&lt;0.001,pos_x,NA())</f>
        <v>#N/A</v>
      </c>
      <c r="AE520" s="426" t="e">
        <f aca="false">IF(t&lt;T_para, pos_z, NA())</f>
        <v>#N/A</v>
      </c>
      <c r="AF520" s="412"/>
      <c r="AG520" s="418" t="n">
        <f aca="false">IF(AND(L519&lt;L_rampe,Poussee&lt;Poids*SIN(M519)),0,(-W519+Poussee)/m-Poids*SIN(M519)/m)</f>
        <v>-4.68709951811877</v>
      </c>
      <c r="AH520" s="417" t="n">
        <f aca="false">IF(AND(L519&lt;L_rampe,Poussee&lt;Poids*SIN(M519)), g*SIN(M519), (-W519+Poussee)/m)</f>
        <v>-0.387927946322522</v>
      </c>
    </row>
    <row r="521" customFormat="false" ht="12" hidden="false" customHeight="false" outlineLevel="0" collapsed="false">
      <c r="A521" s="416" t="n">
        <f aca="false">IF(B520+0.01&lt;=T_ini+ROUNDUP(Temps_fin_propu,0), 0.01, IF(K520&gt;0, 0.1, 0.0001))</f>
        <v>0.1</v>
      </c>
      <c r="B521" s="417" t="n">
        <f aca="false">B520+pas</f>
        <v>15.6999999999999</v>
      </c>
      <c r="C521" s="401"/>
      <c r="D521" s="418" t="n">
        <f aca="false">IF(AND(L520&lt;L_rampe,Poussee&lt;Poids*SIN(M520)),0,(-W520+Poussee)/m*COS(M520)-U520/m*SIN(M520))</f>
        <v>-0.342844784678894</v>
      </c>
      <c r="E521" s="419" t="n">
        <f aca="false">IF(AND(L520&lt;L_rampe,Poussee&lt;Poids*SIN(M520)),0,(-W520+Poussee)/m*SIN(M520)+U520/m*COS(M520)-Poids/m)</f>
        <v>-9.9645227289537</v>
      </c>
      <c r="F521" s="417" t="n">
        <f aca="false">SQRT(acc_x^2+acc_z^2)</f>
        <v>9.97041903644057</v>
      </c>
      <c r="G521" s="418" t="n">
        <f aca="false">G520+acc_x*pas</f>
        <v>26.5873976873712</v>
      </c>
      <c r="H521" s="419" t="n">
        <f aca="false">H520+acc_z*pas</f>
        <v>11.0021405639661</v>
      </c>
      <c r="I521" s="417" t="n">
        <f aca="false">SQRT(vit_x^2+vit_z^2)</f>
        <v>28.7738911650075</v>
      </c>
      <c r="J521" s="418" t="n">
        <f aca="false">J520+0.5*(vit_x+G520)*pas*(K520&gt;=0)</f>
        <v>488.171018268771</v>
      </c>
      <c r="K521" s="419" t="n">
        <f aca="false">K520+0.5*(vit_z+H520)*pas</f>
        <v>1462.16225753319</v>
      </c>
      <c r="L521" s="417" t="n">
        <f aca="false">SQRT(pos_x^2+pos_z^2)</f>
        <v>1541.50232255165</v>
      </c>
      <c r="M521" s="418" t="n">
        <f aca="false">IF(AND(L520&gt;L_rampe,G521&gt;0),ATAN2(G521,H521),$M$4)</f>
        <v>0.392354876462904</v>
      </c>
      <c r="N521" s="417" t="n">
        <f aca="false">DEGREES(Beta)</f>
        <v>22.4802784927012</v>
      </c>
      <c r="O521" s="401"/>
      <c r="P521" s="420" t="n">
        <f aca="false">MATCH(t-pas/2-T_ini,CdP_t)</f>
        <v>23</v>
      </c>
      <c r="Q521" s="417" t="n">
        <f aca="false">(INDEX(CdP,2,i_P+1)-INDEX(CdP,2,i_P+0))/(INDEX(CdP,1,i_P+1)-INDEX(CdP,1,i_P+0))*(t-pas/2-T_ini-INDEX(CdP,1,i_P+0))+INDEX(CdP,2,i_P+0)</f>
        <v>0</v>
      </c>
      <c r="R521" s="418" t="n">
        <f aca="false">Poussee/(g*ISP)</f>
        <v>0</v>
      </c>
      <c r="S521" s="419" t="n">
        <f aca="false">S520-Débit*pas</f>
        <v>7.37799999999998</v>
      </c>
      <c r="T521" s="417" t="n">
        <f aca="false">m*g</f>
        <v>72.3781799999998</v>
      </c>
      <c r="U521" s="421" t="n">
        <f aca="false">IF(pos_xz&lt;L_rampe,Poids*COS(Beta),0)</f>
        <v>0</v>
      </c>
      <c r="V521" s="418" t="n">
        <f aca="false">Rho_moyen*(20000-Alt_rampe-pos_z)/(20000+Alt_rampe+pos_z)</f>
        <v>1.05808776217555</v>
      </c>
      <c r="W521" s="417" t="n">
        <f aca="false">1/2*Rho*Sref*Cx*vit_xz^2</f>
        <v>2.69373331017127</v>
      </c>
      <c r="X521" s="401"/>
      <c r="Y521" s="422" t="str">
        <f aca="false">IF(AND(pos_z&lt;=0,K520&gt;0),"Impact balistique","") &amp; IF(AND(H522&lt;0,vit_z&gt;=0),"Apogée","") &amp; IF(AND(Poussee=0,Q520&gt;0),"Fin de propulsion","") &amp; IF(AND(L522&gt;L_rampe,pos_xz&lt;=L_rampe),"Sortie de rampe","")</f>
        <v/>
      </c>
      <c r="Z521" s="423" t="str">
        <f aca="false">IF(ABS(t-T_para)&lt;pas/2,"Para","")</f>
        <v/>
      </c>
      <c r="AA521" s="424" t="str">
        <f aca="false">IF(ABS(t-T_satellite)&lt;pas/2,"Satellite","")</f>
        <v/>
      </c>
      <c r="AB521" s="412"/>
      <c r="AC521" s="420" t="e">
        <f aca="false">IF(ABS(t-ROUND(t,0))&lt;0.001,t,NA())</f>
        <v>#N/A</v>
      </c>
      <c r="AD521" s="425" t="e">
        <f aca="false">IF(ABS(t-ROUND(t,0))&lt;0.001,pos_x,NA())</f>
        <v>#N/A</v>
      </c>
      <c r="AE521" s="426" t="e">
        <f aca="false">IF(t&lt;T_para, pos_z, NA())</f>
        <v>#N/A</v>
      </c>
      <c r="AF521" s="412"/>
      <c r="AG521" s="418" t="n">
        <f aca="false">IF(AND(L520&lt;L_rampe,Poussee&lt;Poids*SIN(M520)),0,(-W520+Poussee)/m-Poids*SIN(M520)/m)</f>
        <v>-4.40699736400468</v>
      </c>
      <c r="AH521" s="417" t="n">
        <f aca="false">IF(AND(L520&lt;L_rampe,Poussee&lt;Poids*SIN(M520)), g*SIN(M520), (-W520+Poussee)/m)</f>
        <v>-0.376058266954492</v>
      </c>
    </row>
    <row r="522" customFormat="false" ht="12" hidden="false" customHeight="false" outlineLevel="0" collapsed="false">
      <c r="A522" s="416" t="n">
        <f aca="false">IF(B521+0.01&lt;=T_ini+ROUNDUP(Temps_fin_propu,0), 0.01, IF(K521&gt;0, 0.1, 0.0001))</f>
        <v>0.1</v>
      </c>
      <c r="B522" s="417" t="n">
        <f aca="false">B521+pas</f>
        <v>15.7999999999999</v>
      </c>
      <c r="C522" s="401"/>
      <c r="D522" s="418" t="n">
        <f aca="false">IF(AND(L521&lt;L_rampe,Poussee&lt;Poids*SIN(M521)),0,(-W521+Poussee)/m*COS(M521)-U521/m*SIN(M521))</f>
        <v>-0.337359683769326</v>
      </c>
      <c r="E522" s="419" t="n">
        <f aca="false">IF(AND(L521&lt;L_rampe,Poussee&lt;Poids*SIN(M521)),0,(-W521+Poussee)/m*SIN(M521)+U521/m*COS(M521)-Poids/m)</f>
        <v>-9.94960293162532</v>
      </c>
      <c r="F522" s="417" t="n">
        <f aca="false">SQRT(acc_x^2+acc_z^2)</f>
        <v>9.95532069062771</v>
      </c>
      <c r="G522" s="418" t="n">
        <f aca="false">G521+acc_x*pas</f>
        <v>26.5536617189942</v>
      </c>
      <c r="H522" s="419" t="n">
        <f aca="false">H521+acc_z*pas</f>
        <v>10.0071802708036</v>
      </c>
      <c r="I522" s="417" t="n">
        <f aca="false">SQRT(vit_x^2+vit_z^2)</f>
        <v>28.3767617542795</v>
      </c>
      <c r="J522" s="418" t="n">
        <f aca="false">J521+0.5*(vit_x+G521)*pas*(K521&gt;=0)</f>
        <v>490.828071239089</v>
      </c>
      <c r="K522" s="419" t="n">
        <f aca="false">K521+0.5*(vit_z+H521)*pas</f>
        <v>1463.21272357493</v>
      </c>
      <c r="L522" s="417" t="n">
        <f aca="false">SQRT(pos_x^2+pos_z^2)</f>
        <v>1543.34172170257</v>
      </c>
      <c r="M522" s="418" t="n">
        <f aca="false">IF(AND(L521&gt;L_rampe,G522&gt;0),ATAN2(G522,H522),$M$4)</f>
        <v>0.360405874607143</v>
      </c>
      <c r="N522" s="417" t="n">
        <f aca="false">DEGREES(Beta)</f>
        <v>20.6497355267104</v>
      </c>
      <c r="O522" s="401"/>
      <c r="P522" s="420" t="n">
        <f aca="false">MATCH(t-pas/2-T_ini,CdP_t)</f>
        <v>23</v>
      </c>
      <c r="Q522" s="417" t="n">
        <f aca="false">(INDEX(CdP,2,i_P+1)-INDEX(CdP,2,i_P+0))/(INDEX(CdP,1,i_P+1)-INDEX(CdP,1,i_P+0))*(t-pas/2-T_ini-INDEX(CdP,1,i_P+0))+INDEX(CdP,2,i_P+0)</f>
        <v>0</v>
      </c>
      <c r="R522" s="418" t="n">
        <f aca="false">Poussee/(g*ISP)</f>
        <v>0</v>
      </c>
      <c r="S522" s="419" t="n">
        <f aca="false">S521-Débit*pas</f>
        <v>7.37799999999998</v>
      </c>
      <c r="T522" s="417" t="n">
        <f aca="false">m*g</f>
        <v>72.3781799999998</v>
      </c>
      <c r="U522" s="421" t="n">
        <f aca="false">IF(pos_xz&lt;L_rampe,Poids*COS(Beta),0)</f>
        <v>0</v>
      </c>
      <c r="V522" s="418" t="n">
        <f aca="false">Rho_moyen*(20000-Alt_rampe-pos_z)/(20000+Alt_rampe+pos_z)</f>
        <v>1.05797602185991</v>
      </c>
      <c r="W522" s="417" t="n">
        <f aca="false">1/2*Rho*Sref*Cx*vit_xz^2</f>
        <v>2.61961341005023</v>
      </c>
      <c r="X522" s="401"/>
      <c r="Y522" s="422" t="str">
        <f aca="false">IF(AND(pos_z&lt;=0,K521&gt;0),"Impact balistique","") &amp; IF(AND(H523&lt;0,vit_z&gt;=0),"Apogée","") &amp; IF(AND(Poussee=0,Q521&gt;0),"Fin de propulsion","") &amp; IF(AND(L523&gt;L_rampe,pos_xz&lt;=L_rampe),"Sortie de rampe","")</f>
        <v/>
      </c>
      <c r="Z522" s="423" t="str">
        <f aca="false">IF(ABS(t-T_para)&lt;pas/2,"Para","")</f>
        <v/>
      </c>
      <c r="AA522" s="424" t="str">
        <f aca="false">IF(ABS(t-T_satellite)&lt;pas/2,"Satellite","")</f>
        <v/>
      </c>
      <c r="AB522" s="412"/>
      <c r="AC522" s="420" t="e">
        <f aca="false">IF(ABS(t-ROUND(t,0))&lt;0.001,t,NA())</f>
        <v>#N/A</v>
      </c>
      <c r="AD522" s="425" t="e">
        <f aca="false">IF(ABS(t-ROUND(t,0))&lt;0.001,pos_x,NA())</f>
        <v>#N/A</v>
      </c>
      <c r="AE522" s="426" t="e">
        <f aca="false">IF(t&lt;T_para, pos_z, NA())</f>
        <v>#N/A</v>
      </c>
      <c r="AF522" s="412"/>
      <c r="AG522" s="418" t="n">
        <f aca="false">IF(AND(L521&lt;L_rampe,Poussee&lt;Poids*SIN(M521)),0,(-W521+Poussee)/m-Poids*SIN(M521)/m)</f>
        <v>-4.11610808584294</v>
      </c>
      <c r="AH522" s="417" t="n">
        <f aca="false">IF(AND(L521&lt;L_rampe,Poussee&lt;Poids*SIN(M521)), g*SIN(M521), (-W521+Poussee)/m)</f>
        <v>-0.365103457599793</v>
      </c>
    </row>
    <row r="523" customFormat="false" ht="12" hidden="false" customHeight="false" outlineLevel="0" collapsed="false">
      <c r="A523" s="416" t="n">
        <f aca="false">IF(B522+0.01&lt;=T_ini+ROUNDUP(Temps_fin_propu,0), 0.01, IF(K522&gt;0, 0.1, 0.0001))</f>
        <v>0.1</v>
      </c>
      <c r="B523" s="417" t="n">
        <f aca="false">B522+pas</f>
        <v>15.8999999999999</v>
      </c>
      <c r="C523" s="401"/>
      <c r="D523" s="418" t="n">
        <f aca="false">IF(AND(L522&lt;L_rampe,Poussee&lt;Poids*SIN(M522)),0,(-W522+Poussee)/m*COS(M522)-U522/m*SIN(M522))</f>
        <v>-0.332246288650216</v>
      </c>
      <c r="E523" s="419" t="n">
        <f aca="false">IF(AND(L522&lt;L_rampe,Poussee&lt;Poids*SIN(M522)),0,(-W522+Poussee)/m*SIN(M522)+U522/m*COS(M522)-Poids/m)</f>
        <v>-9.93521242983411</v>
      </c>
      <c r="F523" s="417" t="n">
        <f aca="false">SQRT(acc_x^2+acc_z^2)</f>
        <v>9.94076624925121</v>
      </c>
      <c r="G523" s="418" t="n">
        <f aca="false">G522+acc_x*pas</f>
        <v>26.5204370901292</v>
      </c>
      <c r="H523" s="419" t="n">
        <f aca="false">H522+acc_z*pas</f>
        <v>9.01365902782019</v>
      </c>
      <c r="I523" s="417" t="n">
        <f aca="false">SQRT(vit_x^2+vit_z^2)</f>
        <v>28.010348668328</v>
      </c>
      <c r="J523" s="418" t="n">
        <f aca="false">J522+0.5*(vit_x+G522)*pas*(K522&gt;=0)</f>
        <v>493.481776179546</v>
      </c>
      <c r="K523" s="419" t="n">
        <f aca="false">K522+0.5*(vit_z+H522)*pas</f>
        <v>1464.16376553986</v>
      </c>
      <c r="L523" s="417" t="n">
        <f aca="false">SQRT(pos_x^2+pos_z^2)</f>
        <v>1545.08892810129</v>
      </c>
      <c r="M523" s="418" t="n">
        <f aca="false">IF(AND(L522&gt;L_rampe,G523&gt;0),ATAN2(G523,H523),$M$4)</f>
        <v>0.327627316184442</v>
      </c>
      <c r="N523" s="417" t="n">
        <f aca="false">DEGREES(Beta)</f>
        <v>18.7716624705667</v>
      </c>
      <c r="O523" s="401"/>
      <c r="P523" s="420" t="n">
        <f aca="false">MATCH(t-pas/2-T_ini,CdP_t)</f>
        <v>23</v>
      </c>
      <c r="Q523" s="417" t="n">
        <f aca="false">(INDEX(CdP,2,i_P+1)-INDEX(CdP,2,i_P+0))/(INDEX(CdP,1,i_P+1)-INDEX(CdP,1,i_P+0))*(t-pas/2-T_ini-INDEX(CdP,1,i_P+0))+INDEX(CdP,2,i_P+0)</f>
        <v>0</v>
      </c>
      <c r="R523" s="418" t="n">
        <f aca="false">Poussee/(g*ISP)</f>
        <v>0</v>
      </c>
      <c r="S523" s="419" t="n">
        <f aca="false">S522-Débit*pas</f>
        <v>7.37799999999998</v>
      </c>
      <c r="T523" s="417" t="n">
        <f aca="false">m*g</f>
        <v>72.3781799999998</v>
      </c>
      <c r="U523" s="421" t="n">
        <f aca="false">IF(pos_xz&lt;L_rampe,Poids*COS(Beta),0)</f>
        <v>0</v>
      </c>
      <c r="V523" s="418" t="n">
        <f aca="false">Rho_moyen*(20000-Alt_rampe-pos_z)/(20000+Alt_rampe+pos_z)</f>
        <v>1.05787486692904</v>
      </c>
      <c r="W523" s="417" t="n">
        <f aca="false">1/2*Rho*Sref*Cx*vit_xz^2</f>
        <v>2.55215496671487</v>
      </c>
      <c r="X523" s="401"/>
      <c r="Y523" s="422" t="str">
        <f aca="false">IF(AND(pos_z&lt;=0,K522&gt;0),"Impact balistique","") &amp; IF(AND(H524&lt;0,vit_z&gt;=0),"Apogée","") &amp; IF(AND(Poussee=0,Q522&gt;0),"Fin de propulsion","") &amp; IF(AND(L524&gt;L_rampe,pos_xz&lt;=L_rampe),"Sortie de rampe","")</f>
        <v/>
      </c>
      <c r="Z523" s="423" t="str">
        <f aca="false">IF(ABS(t-T_para)&lt;pas/2,"Para","")</f>
        <v/>
      </c>
      <c r="AA523" s="424" t="str">
        <f aca="false">IF(ABS(t-T_satellite)&lt;pas/2,"Satellite","")</f>
        <v/>
      </c>
      <c r="AB523" s="412"/>
      <c r="AC523" s="420" t="e">
        <f aca="false">IF(ABS(t-ROUND(t,0))&lt;0.001,t,NA())</f>
        <v>#N/A</v>
      </c>
      <c r="AD523" s="425" t="e">
        <f aca="false">IF(ABS(t-ROUND(t,0))&lt;0.001,pos_x,NA())</f>
        <v>#N/A</v>
      </c>
      <c r="AE523" s="426" t="e">
        <f aca="false">IF(t&lt;T_para, pos_z, NA())</f>
        <v>#N/A</v>
      </c>
      <c r="AF523" s="412"/>
      <c r="AG523" s="418" t="n">
        <f aca="false">IF(AND(L522&lt;L_rampe,Poussee&lt;Poids*SIN(M522)),0,(-W522+Poussee)/m-Poids*SIN(M522)/m)</f>
        <v>-3.81459372664195</v>
      </c>
      <c r="AH523" s="417" t="n">
        <f aca="false">IF(AND(L522&lt;L_rampe,Poussee&lt;Poids*SIN(M522)), g*SIN(M522), (-W522+Poussee)/m)</f>
        <v>-0.355057388187887</v>
      </c>
    </row>
    <row r="524" customFormat="false" ht="12" hidden="false" customHeight="false" outlineLevel="0" collapsed="false">
      <c r="A524" s="416" t="n">
        <f aca="false">IF(B523+0.01&lt;=T_ini+ROUNDUP(Temps_fin_propu,0), 0.01, IF(K523&gt;0, 0.1, 0.0001))</f>
        <v>0.1</v>
      </c>
      <c r="B524" s="417" t="n">
        <f aca="false">B523+pas</f>
        <v>15.9999999999999</v>
      </c>
      <c r="C524" s="401"/>
      <c r="D524" s="418" t="n">
        <f aca="false">IF(AND(L523&lt;L_rampe,Poussee&lt;Poids*SIN(M523)),0,(-W523+Poussee)/m*COS(M523)-U523/m*SIN(M523))</f>
        <v>-0.327514515621643</v>
      </c>
      <c r="E524" s="419" t="n">
        <f aca="false">IF(AND(L523&lt;L_rampe,Poussee&lt;Poids*SIN(M523)),0,(-W523+Poussee)/m*SIN(M523)+U523/m*COS(M523)-Poids/m)</f>
        <v>-9.92131431056142</v>
      </c>
      <c r="F524" s="417" t="n">
        <f aca="false">SQRT(acc_x^2+acc_z^2)</f>
        <v>9.9267186626243</v>
      </c>
      <c r="G524" s="418" t="n">
        <f aca="false">G523+acc_x*pas</f>
        <v>26.4876856385671</v>
      </c>
      <c r="H524" s="419" t="n">
        <f aca="false">H523+acc_z*pas</f>
        <v>8.02152759676405</v>
      </c>
      <c r="I524" s="417" t="n">
        <f aca="false">SQRT(vit_x^2+vit_z^2)</f>
        <v>27.6756643185525</v>
      </c>
      <c r="J524" s="418" t="n">
        <f aca="false">J523+0.5*(vit_x+G523)*pas*(K523&gt;=0)</f>
        <v>496.13218231598</v>
      </c>
      <c r="K524" s="419" t="n">
        <f aca="false">K523+0.5*(vit_z+H523)*pas</f>
        <v>1465.01552487109</v>
      </c>
      <c r="L524" s="417" t="n">
        <f aca="false">SQRT(pos_x^2+pos_z^2)</f>
        <v>1546.74420330025</v>
      </c>
      <c r="M524" s="418" t="n">
        <f aca="false">IF(AND(L523&gt;L_rampe,G524&gt;0),ATAN2(G524,H524),$M$4)</f>
        <v>0.294060150212183</v>
      </c>
      <c r="N524" s="417" t="n">
        <f aca="false">DEGREES(Beta)</f>
        <v>16.8484055301411</v>
      </c>
      <c r="O524" s="401"/>
      <c r="P524" s="420" t="n">
        <f aca="false">MATCH(t-pas/2-T_ini,CdP_t)</f>
        <v>23</v>
      </c>
      <c r="Q524" s="417" t="n">
        <f aca="false">(INDEX(CdP,2,i_P+1)-INDEX(CdP,2,i_P+0))/(INDEX(CdP,1,i_P+1)-INDEX(CdP,1,i_P+0))*(t-pas/2-T_ini-INDEX(CdP,1,i_P+0))+INDEX(CdP,2,i_P+0)</f>
        <v>0</v>
      </c>
      <c r="R524" s="418" t="n">
        <f aca="false">Poussee/(g*ISP)</f>
        <v>0</v>
      </c>
      <c r="S524" s="419" t="n">
        <f aca="false">S523-Débit*pas</f>
        <v>7.37799999999998</v>
      </c>
      <c r="T524" s="417" t="n">
        <f aca="false">m*g</f>
        <v>72.3781799999998</v>
      </c>
      <c r="U524" s="421" t="n">
        <f aca="false">IF(pos_xz&lt;L_rampe,Poids*COS(Beta),0)</f>
        <v>0</v>
      </c>
      <c r="V524" s="418" t="n">
        <f aca="false">Rho_moyen*(20000-Alt_rampe-pos_z)/(20000+Alt_rampe+pos_z)</f>
        <v>1.05778427952799</v>
      </c>
      <c r="W524" s="417" t="n">
        <f aca="false">1/2*Rho*Sref*Cx*vit_xz^2</f>
        <v>2.49131664276139</v>
      </c>
      <c r="X524" s="401"/>
      <c r="Y524" s="422" t="str">
        <f aca="false">IF(AND(pos_z&lt;=0,K523&gt;0),"Impact balistique","") &amp; IF(AND(H525&lt;0,vit_z&gt;=0),"Apogée","") &amp; IF(AND(Poussee=0,Q523&gt;0),"Fin de propulsion","") &amp; IF(AND(L525&gt;L_rampe,pos_xz&lt;=L_rampe),"Sortie de rampe","")</f>
        <v/>
      </c>
      <c r="Z524" s="423" t="str">
        <f aca="false">IF(ABS(t-T_para)&lt;pas/2,"Para","")</f>
        <v/>
      </c>
      <c r="AA524" s="424" t="str">
        <f aca="false">IF(ABS(t-T_satellite)&lt;pas/2,"Satellite","")</f>
        <v/>
      </c>
      <c r="AB524" s="412"/>
      <c r="AC524" s="420" t="n">
        <f aca="false">IF(ABS(t-ROUND(t,0))&lt;0.001,t,NA())</f>
        <v>15.9999999999999</v>
      </c>
      <c r="AD524" s="425" t="n">
        <f aca="false">IF(ABS(t-ROUND(t,0))&lt;0.001,pos_x,NA())</f>
        <v>496.13218231598</v>
      </c>
      <c r="AE524" s="426" t="e">
        <f aca="false">IF(t&lt;T_para, pos_z, NA())</f>
        <v>#N/A</v>
      </c>
      <c r="AF524" s="412"/>
      <c r="AG524" s="418" t="n">
        <f aca="false">IF(AND(L523&lt;L_rampe,Poussee&lt;Poids*SIN(M523)),0,(-W523+Poussee)/m-Poids*SIN(M523)/m)</f>
        <v>-3.50274727289705</v>
      </c>
      <c r="AH524" s="417" t="n">
        <f aca="false">IF(AND(L523&lt;L_rampe,Poussee&lt;Poids*SIN(M523)), g*SIN(M523), (-W523+Poussee)/m)</f>
        <v>-0.345914199880032</v>
      </c>
    </row>
    <row r="525" customFormat="false" ht="12" hidden="false" customHeight="false" outlineLevel="0" collapsed="false">
      <c r="A525" s="416" t="n">
        <f aca="false">IF(B524+0.01&lt;=T_ini+ROUNDUP(Temps_fin_propu,0), 0.01, IF(K524&gt;0, 0.1, 0.0001))</f>
        <v>0.1</v>
      </c>
      <c r="B525" s="417" t="n">
        <f aca="false">B524+pas</f>
        <v>16.0999999999999</v>
      </c>
      <c r="C525" s="401"/>
      <c r="D525" s="418" t="n">
        <f aca="false">IF(AND(L524&lt;L_rampe,Poussee&lt;Poids*SIN(M524)),0,(-W524+Poussee)/m*COS(M524)-U524/m*SIN(M524))</f>
        <v>-0.323173868912493</v>
      </c>
      <c r="E525" s="419" t="n">
        <f aca="false">IF(AND(L524&lt;L_rampe,Poussee&lt;Poids*SIN(M524)),0,(-W524+Poussee)/m*SIN(M524)+U524/m*COS(M524)-Poids/m)</f>
        <v>-9.90786993636998</v>
      </c>
      <c r="F525" s="417" t="n">
        <f aca="false">SQRT(acc_x^2+acc_z^2)</f>
        <v>9.91313916101111</v>
      </c>
      <c r="G525" s="418" t="n">
        <f aca="false">G524+acc_x*pas</f>
        <v>26.4553682516758</v>
      </c>
      <c r="H525" s="419" t="n">
        <f aca="false">H524+acc_z*pas</f>
        <v>7.03074060312705</v>
      </c>
      <c r="I525" s="417" t="n">
        <f aca="false">SQRT(vit_x^2+vit_z^2)</f>
        <v>27.3736702464291</v>
      </c>
      <c r="J525" s="418" t="n">
        <f aca="false">J524+0.5*(vit_x+G524)*pas*(K524&gt;=0)</f>
        <v>498.779335010493</v>
      </c>
      <c r="K525" s="419" t="n">
        <f aca="false">K524+0.5*(vit_z+H524)*pas</f>
        <v>1465.76813828109</v>
      </c>
      <c r="L525" s="417" t="n">
        <f aca="false">SQRT(pos_x^2+pos_z^2)</f>
        <v>1548.30780539062</v>
      </c>
      <c r="M525" s="418" t="n">
        <f aca="false">IF(AND(L524&gt;L_rampe,G525&gt;0),ATAN2(G525,H525),$M$4)</f>
        <v>0.259754383941477</v>
      </c>
      <c r="N525" s="417" t="n">
        <f aca="false">DEGREES(Beta)</f>
        <v>14.8828299098674</v>
      </c>
      <c r="O525" s="401"/>
      <c r="P525" s="420" t="n">
        <f aca="false">MATCH(t-pas/2-T_ini,CdP_t)</f>
        <v>23</v>
      </c>
      <c r="Q525" s="417" t="n">
        <f aca="false">(INDEX(CdP,2,i_P+1)-INDEX(CdP,2,i_P+0))/(INDEX(CdP,1,i_P+1)-INDEX(CdP,1,i_P+0))*(t-pas/2-T_ini-INDEX(CdP,1,i_P+0))+INDEX(CdP,2,i_P+0)</f>
        <v>0</v>
      </c>
      <c r="R525" s="418" t="n">
        <f aca="false">Poussee/(g*ISP)</f>
        <v>0</v>
      </c>
      <c r="S525" s="419" t="n">
        <f aca="false">S524-Débit*pas</f>
        <v>7.37799999999998</v>
      </c>
      <c r="T525" s="417" t="n">
        <f aca="false">m*g</f>
        <v>72.3781799999998</v>
      </c>
      <c r="U525" s="421" t="n">
        <f aca="false">IF(pos_xz&lt;L_rampe,Poids*COS(Beta),0)</f>
        <v>0</v>
      </c>
      <c r="V525" s="418" t="n">
        <f aca="false">Rho_moyen*(20000-Alt_rampe-pos_z)/(20000+Alt_rampe+pos_z)</f>
        <v>1.05770424260363</v>
      </c>
      <c r="W525" s="417" t="n">
        <f aca="false">1/2*Rho*Sref*Cx*vit_xz^2</f>
        <v>2.43705887499046</v>
      </c>
      <c r="X525" s="401"/>
      <c r="Y525" s="422" t="str">
        <f aca="false">IF(AND(pos_z&lt;=0,K524&gt;0),"Impact balistique","") &amp; IF(AND(H526&lt;0,vit_z&gt;=0),"Apogée","") &amp; IF(AND(Poussee=0,Q524&gt;0),"Fin de propulsion","") &amp; IF(AND(L526&gt;L_rampe,pos_xz&lt;=L_rampe),"Sortie de rampe","")</f>
        <v/>
      </c>
      <c r="Z525" s="423" t="str">
        <f aca="false">IF(ABS(t-T_para)&lt;pas/2,"Para","")</f>
        <v/>
      </c>
      <c r="AA525" s="424" t="str">
        <f aca="false">IF(ABS(t-T_satellite)&lt;pas/2,"Satellite","")</f>
        <v/>
      </c>
      <c r="AB525" s="412"/>
      <c r="AC525" s="420" t="e">
        <f aca="false">IF(ABS(t-ROUND(t,0))&lt;0.001,t,NA())</f>
        <v>#N/A</v>
      </c>
      <c r="AD525" s="425" t="e">
        <f aca="false">IF(ABS(t-ROUND(t,0))&lt;0.001,pos_x,NA())</f>
        <v>#N/A</v>
      </c>
      <c r="AE525" s="426" t="e">
        <f aca="false">IF(t&lt;T_para, pos_z, NA())</f>
        <v>#N/A</v>
      </c>
      <c r="AF525" s="412"/>
      <c r="AG525" s="418" t="n">
        <f aca="false">IF(AND(L524&lt;L_rampe,Poussee&lt;Poids*SIN(M524)),0,(-W524+Poussee)/m-Poids*SIN(M524)/m)</f>
        <v>-3.18100331586544</v>
      </c>
      <c r="AH525" s="417" t="n">
        <f aca="false">IF(AND(L524&lt;L_rampe,Poussee&lt;Poids*SIN(M524)), g*SIN(M524), (-W524+Poussee)/m)</f>
        <v>-0.337668289883627</v>
      </c>
    </row>
    <row r="526" customFormat="false" ht="12" hidden="false" customHeight="false" outlineLevel="0" collapsed="false">
      <c r="A526" s="416" t="n">
        <f aca="false">IF(B525+0.01&lt;=T_ini+ROUNDUP(Temps_fin_propu,0), 0.01, IF(K525&gt;0, 0.1, 0.0001))</f>
        <v>0.1</v>
      </c>
      <c r="B526" s="417" t="n">
        <f aca="false">B525+pas</f>
        <v>16.1999999999999</v>
      </c>
      <c r="C526" s="401"/>
      <c r="D526" s="418" t="n">
        <f aca="false">IF(AND(L525&lt;L_rampe,Poussee&lt;Poids*SIN(M525)),0,(-W525+Poussee)/m*COS(M525)-U525/m*SIN(M525))</f>
        <v>-0.319233272615122</v>
      </c>
      <c r="E526" s="419" t="n">
        <f aca="false">IF(AND(L525&lt;L_rampe,Poussee&lt;Poids*SIN(M525)),0,(-W525+Poussee)/m*SIN(M525)+U525/m*COS(M525)-Poids/m)</f>
        <v>-9.89483897522395</v>
      </c>
      <c r="F526" s="417" t="n">
        <f aca="false">SQRT(acc_x^2+acc_z^2)</f>
        <v>9.89998728423201</v>
      </c>
      <c r="G526" s="418" t="n">
        <f aca="false">G525+acc_x*pas</f>
        <v>26.4234449244143</v>
      </c>
      <c r="H526" s="419" t="n">
        <f aca="false">H525+acc_z*pas</f>
        <v>6.04125670560466</v>
      </c>
      <c r="I526" s="417" t="n">
        <f aca="false">SQRT(vit_x^2+vit_z^2)</f>
        <v>27.1052619293112</v>
      </c>
      <c r="J526" s="418" t="n">
        <f aca="false">J525+0.5*(vit_x+G525)*pas*(K525&gt;=0)</f>
        <v>501.423275669297</v>
      </c>
      <c r="K526" s="419" t="n">
        <f aca="false">K525+0.5*(vit_z+H525)*pas</f>
        <v>1466.42173814652</v>
      </c>
      <c r="L526" s="417" t="n">
        <f aca="false">SQRT(pos_x^2+pos_z^2)</f>
        <v>1549.77998938288</v>
      </c>
      <c r="M526" s="418" t="n">
        <f aca="false">IF(AND(L525&gt;L_rampe,G526&gt;0),ATAN2(G526,H526),$M$4)</f>
        <v>0.224769150498071</v>
      </c>
      <c r="N526" s="417" t="n">
        <f aca="false">DEGREES(Beta)</f>
        <v>12.8783236882803</v>
      </c>
      <c r="O526" s="401"/>
      <c r="P526" s="420" t="n">
        <f aca="false">MATCH(t-pas/2-T_ini,CdP_t)</f>
        <v>23</v>
      </c>
      <c r="Q526" s="417" t="n">
        <f aca="false">(INDEX(CdP,2,i_P+1)-INDEX(CdP,2,i_P+0))/(INDEX(CdP,1,i_P+1)-INDEX(CdP,1,i_P+0))*(t-pas/2-T_ini-INDEX(CdP,1,i_P+0))+INDEX(CdP,2,i_P+0)</f>
        <v>0</v>
      </c>
      <c r="R526" s="418" t="n">
        <f aca="false">Poussee/(g*ISP)</f>
        <v>0</v>
      </c>
      <c r="S526" s="419" t="n">
        <f aca="false">S525-Débit*pas</f>
        <v>7.37799999999998</v>
      </c>
      <c r="T526" s="417" t="n">
        <f aca="false">m*g</f>
        <v>72.3781799999998</v>
      </c>
      <c r="U526" s="421" t="n">
        <f aca="false">IF(pos_xz&lt;L_rampe,Poids*COS(Beta),0)</f>
        <v>0</v>
      </c>
      <c r="V526" s="418" t="n">
        <f aca="false">Rho_moyen*(20000-Alt_rampe-pos_z)/(20000+Alt_rampe+pos_z)</f>
        <v>1.05763473986097</v>
      </c>
      <c r="W526" s="417" t="n">
        <f aca="false">1/2*Rho*Sref*Cx*vit_xz^2</f>
        <v>2.38934375662453</v>
      </c>
      <c r="X526" s="401"/>
      <c r="Y526" s="422" t="str">
        <f aca="false">IF(AND(pos_z&lt;=0,K525&gt;0),"Impact balistique","") &amp; IF(AND(H527&lt;0,vit_z&gt;=0),"Apogée","") &amp; IF(AND(Poussee=0,Q525&gt;0),"Fin de propulsion","") &amp; IF(AND(L527&gt;L_rampe,pos_xz&lt;=L_rampe),"Sortie de rampe","")</f>
        <v/>
      </c>
      <c r="Z526" s="423" t="str">
        <f aca="false">IF(ABS(t-T_para)&lt;pas/2,"Para","")</f>
        <v/>
      </c>
      <c r="AA526" s="424" t="str">
        <f aca="false">IF(ABS(t-T_satellite)&lt;pas/2,"Satellite","")</f>
        <v/>
      </c>
      <c r="AB526" s="412"/>
      <c r="AC526" s="420" t="e">
        <f aca="false">IF(ABS(t-ROUND(t,0))&lt;0.001,t,NA())</f>
        <v>#N/A</v>
      </c>
      <c r="AD526" s="425" t="e">
        <f aca="false">IF(ABS(t-ROUND(t,0))&lt;0.001,pos_x,NA())</f>
        <v>#N/A</v>
      </c>
      <c r="AE526" s="426" t="e">
        <f aca="false">IF(t&lt;T_para, pos_z, NA())</f>
        <v>#N/A</v>
      </c>
      <c r="AF526" s="412"/>
      <c r="AG526" s="418" t="n">
        <f aca="false">IF(AND(L525&lt;L_rampe,Poussee&lt;Poids*SIN(M525)),0,(-W525+Poussee)/m-Poids*SIN(M525)/m)</f>
        <v>-2.8499459234886</v>
      </c>
      <c r="AH526" s="417" t="n">
        <f aca="false">IF(AND(L525&lt;L_rampe,Poussee&lt;Poids*SIN(M525)), g*SIN(M525), (-W525+Poussee)/m)</f>
        <v>-0.33031429587835</v>
      </c>
    </row>
    <row r="527" customFormat="false" ht="12" hidden="false" customHeight="false" outlineLevel="0" collapsed="false">
      <c r="A527" s="416" t="n">
        <f aca="false">IF(B526+0.01&lt;=T_ini+ROUNDUP(Temps_fin_propu,0), 0.01, IF(K526&gt;0, 0.1, 0.0001))</f>
        <v>0.1</v>
      </c>
      <c r="B527" s="417" t="n">
        <f aca="false">B526+pas</f>
        <v>16.2999999999999</v>
      </c>
      <c r="C527" s="401"/>
      <c r="D527" s="418" t="n">
        <f aca="false">IF(AND(L526&lt;L_rampe,Poussee&lt;Poids*SIN(M526)),0,(-W526+Poussee)/m*COS(M526)-U526/m*SIN(M526))</f>
        <v>-0.315700896232107</v>
      </c>
      <c r="E527" s="419" t="n">
        <f aca="false">IF(AND(L526&lt;L_rampe,Poussee&lt;Poids*SIN(M526)),0,(-W526+Poussee)/m*SIN(M526)+U526/m*COS(M526)-Poids/m)</f>
        <v>-9.88217946644669</v>
      </c>
      <c r="F527" s="417" t="n">
        <f aca="false">SQRT(acc_x^2+acc_z^2)</f>
        <v>9.88722094741198</v>
      </c>
      <c r="G527" s="418" t="n">
        <f aca="false">G526+acc_x*pas</f>
        <v>26.3918748347911</v>
      </c>
      <c r="H527" s="419" t="n">
        <f aca="false">H526+acc_z*pas</f>
        <v>5.05303875895999</v>
      </c>
      <c r="I527" s="417" t="n">
        <f aca="false">SQRT(vit_x^2+vit_z^2)</f>
        <v>26.8712533759561</v>
      </c>
      <c r="J527" s="418" t="n">
        <f aca="false">J526+0.5*(vit_x+G526)*pas*(K526&gt;=0)</f>
        <v>504.064041657257</v>
      </c>
      <c r="K527" s="419" t="n">
        <f aca="false">K526+0.5*(vit_z+H526)*pas</f>
        <v>1466.97645291975</v>
      </c>
      <c r="L527" s="417" t="n">
        <f aca="false">SQRT(pos_x^2+pos_z^2)</f>
        <v>1551.16100760458</v>
      </c>
      <c r="M527" s="418" t="n">
        <f aca="false">IF(AND(L526&gt;L_rampe,G527&gt;0),ATAN2(G527,H527),$M$4)</f>
        <v>0.18917254106563</v>
      </c>
      <c r="N527" s="417" t="n">
        <f aca="false">DEGREES(Beta)</f>
        <v>10.8387882028258</v>
      </c>
      <c r="O527" s="401"/>
      <c r="P527" s="420" t="n">
        <f aca="false">MATCH(t-pas/2-T_ini,CdP_t)</f>
        <v>23</v>
      </c>
      <c r="Q527" s="417" t="n">
        <f aca="false">(INDEX(CdP,2,i_P+1)-INDEX(CdP,2,i_P+0))/(INDEX(CdP,1,i_P+1)-INDEX(CdP,1,i_P+0))*(t-pas/2-T_ini-INDEX(CdP,1,i_P+0))+INDEX(CdP,2,i_P+0)</f>
        <v>0</v>
      </c>
      <c r="R527" s="418" t="n">
        <f aca="false">Poussee/(g*ISP)</f>
        <v>0</v>
      </c>
      <c r="S527" s="419" t="n">
        <f aca="false">S526-Débit*pas</f>
        <v>7.37799999999998</v>
      </c>
      <c r="T527" s="417" t="n">
        <f aca="false">m*g</f>
        <v>72.3781799999998</v>
      </c>
      <c r="U527" s="421" t="n">
        <f aca="false">IF(pos_xz&lt;L_rampe,Poids*COS(Beta),0)</f>
        <v>0</v>
      </c>
      <c r="V527" s="418" t="n">
        <f aca="false">Rho_moyen*(20000-Alt_rampe-pos_z)/(20000+Alt_rampe+pos_z)</f>
        <v>1.05757575571782</v>
      </c>
      <c r="W527" s="417" t="n">
        <f aca="false">1/2*Rho*Sref*Cx*vit_xz^2</f>
        <v>2.34813491672146</v>
      </c>
      <c r="X527" s="401"/>
      <c r="Y527" s="422" t="str">
        <f aca="false">IF(AND(pos_z&lt;=0,K526&gt;0),"Impact balistique","") &amp; IF(AND(H528&lt;0,vit_z&gt;=0),"Apogée","") &amp; IF(AND(Poussee=0,Q526&gt;0),"Fin de propulsion","") &amp; IF(AND(L528&gt;L_rampe,pos_xz&lt;=L_rampe),"Sortie de rampe","")</f>
        <v/>
      </c>
      <c r="Z527" s="423" t="str">
        <f aca="false">IF(ABS(t-T_para)&lt;pas/2,"Para","")</f>
        <v/>
      </c>
      <c r="AA527" s="424" t="str">
        <f aca="false">IF(ABS(t-T_satellite)&lt;pas/2,"Satellite","")</f>
        <v/>
      </c>
      <c r="AB527" s="412"/>
      <c r="AC527" s="420" t="e">
        <f aca="false">IF(ABS(t-ROUND(t,0))&lt;0.001,t,NA())</f>
        <v>#N/A</v>
      </c>
      <c r="AD527" s="425" t="e">
        <f aca="false">IF(ABS(t-ROUND(t,0))&lt;0.001,pos_x,NA())</f>
        <v>#N/A</v>
      </c>
      <c r="AE527" s="426" t="e">
        <f aca="false">IF(t&lt;T_para, pos_z, NA())</f>
        <v>#N/A</v>
      </c>
      <c r="AF527" s="412"/>
      <c r="AG527" s="418" t="n">
        <f aca="false">IF(AND(L526&lt;L_rampe,Poussee&lt;Poids*SIN(M526)),0,(-W526+Poussee)/m-Poids*SIN(M526)/m)</f>
        <v>-2.51031288276379</v>
      </c>
      <c r="AH527" s="417" t="n">
        <f aca="false">IF(AND(L526&lt;L_rampe,Poussee&lt;Poids*SIN(M526)), g*SIN(M526), (-W526+Poussee)/m)</f>
        <v>-0.323847080052119</v>
      </c>
    </row>
    <row r="528" customFormat="false" ht="12" hidden="false" customHeight="false" outlineLevel="0" collapsed="false">
      <c r="A528" s="416" t="n">
        <f aca="false">IF(B527+0.01&lt;=T_ini+ROUNDUP(Temps_fin_propu,0), 0.01, IF(K527&gt;0, 0.1, 0.0001))</f>
        <v>0.1</v>
      </c>
      <c r="B528" s="417" t="n">
        <f aca="false">B527+pas</f>
        <v>16.3999999999999</v>
      </c>
      <c r="C528" s="401"/>
      <c r="D528" s="418" t="n">
        <f aca="false">IF(AND(L527&lt;L_rampe,Poussee&lt;Poids*SIN(M527)),0,(-W527+Poussee)/m*COS(M527)-U527/m*SIN(M527))</f>
        <v>-0.312583978509386</v>
      </c>
      <c r="E528" s="419" t="n">
        <f aca="false">IF(AND(L527&lt;L_rampe,Poussee&lt;Poids*SIN(M527)),0,(-W527+Poussee)/m*SIN(M527)+U527/m*COS(M527)-Poids/m)</f>
        <v>-9.86984792549697</v>
      </c>
      <c r="F528" s="417" t="n">
        <f aca="false">SQRT(acc_x^2+acc_z^2)</f>
        <v>9.8747965455526</v>
      </c>
      <c r="G528" s="418" t="n">
        <f aca="false">G527+acc_x*pas</f>
        <v>26.3606164369401</v>
      </c>
      <c r="H528" s="419" t="n">
        <f aca="false">H527+acc_z*pas</f>
        <v>4.06605396641029</v>
      </c>
      <c r="I528" s="417" t="n">
        <f aca="false">SQRT(vit_x^2+vit_z^2)</f>
        <v>26.6723619837696</v>
      </c>
      <c r="J528" s="418" t="n">
        <f aca="false">J527+0.5*(vit_x+G527)*pas*(K527&gt;=0)</f>
        <v>506.701666220844</v>
      </c>
      <c r="K528" s="419" t="n">
        <f aca="false">K527+0.5*(vit_z+H527)*pas</f>
        <v>1467.43240755602</v>
      </c>
      <c r="L528" s="417" t="n">
        <f aca="false">SQRT(pos_x^2+pos_z^2)</f>
        <v>1552.45111011479</v>
      </c>
      <c r="M528" s="418" t="n">
        <f aca="false">IF(AND(L527&gt;L_rampe,G528&gt;0),ATAN2(G528,H528),$M$4)</f>
        <v>0.153041177875807</v>
      </c>
      <c r="N528" s="417" t="n">
        <f aca="false">DEGREES(Beta)</f>
        <v>8.76861358399463</v>
      </c>
      <c r="O528" s="401"/>
      <c r="P528" s="420" t="n">
        <f aca="false">MATCH(t-pas/2-T_ini,CdP_t)</f>
        <v>23</v>
      </c>
      <c r="Q528" s="417" t="n">
        <f aca="false">(INDEX(CdP,2,i_P+1)-INDEX(CdP,2,i_P+0))/(INDEX(CdP,1,i_P+1)-INDEX(CdP,1,i_P+0))*(t-pas/2-T_ini-INDEX(CdP,1,i_P+0))+INDEX(CdP,2,i_P+0)</f>
        <v>0</v>
      </c>
      <c r="R528" s="418" t="n">
        <f aca="false">Poussee/(g*ISP)</f>
        <v>0</v>
      </c>
      <c r="S528" s="419" t="n">
        <f aca="false">S527-Débit*pas</f>
        <v>7.37799999999998</v>
      </c>
      <c r="T528" s="417" t="n">
        <f aca="false">m*g</f>
        <v>72.3781799999998</v>
      </c>
      <c r="U528" s="421" t="n">
        <f aca="false">IF(pos_xz&lt;L_rampe,Poids*COS(Beta),0)</f>
        <v>0</v>
      </c>
      <c r="V528" s="418" t="n">
        <f aca="false">Rho_moyen*(20000-Alt_rampe-pos_z)/(20000+Alt_rampe+pos_z)</f>
        <v>1.05752727525781</v>
      </c>
      <c r="W528" s="417" t="n">
        <f aca="false">1/2*Rho*Sref*Cx*vit_xz^2</f>
        <v>2.31339739695678</v>
      </c>
      <c r="X528" s="401"/>
      <c r="Y528" s="422" t="str">
        <f aca="false">IF(AND(pos_z&lt;=0,K527&gt;0),"Impact balistique","") &amp; IF(AND(H529&lt;0,vit_z&gt;=0),"Apogée","") &amp; IF(AND(Poussee=0,Q527&gt;0),"Fin de propulsion","") &amp; IF(AND(L529&gt;L_rampe,pos_xz&lt;=L_rampe),"Sortie de rampe","")</f>
        <v/>
      </c>
      <c r="Z528" s="423" t="str">
        <f aca="false">IF(ABS(t-T_para)&lt;pas/2,"Para","")</f>
        <v/>
      </c>
      <c r="AA528" s="424" t="str">
        <f aca="false">IF(ABS(t-T_satellite)&lt;pas/2,"Satellite","")</f>
        <v/>
      </c>
      <c r="AB528" s="412"/>
      <c r="AC528" s="420" t="e">
        <f aca="false">IF(ABS(t-ROUND(t,0))&lt;0.001,t,NA())</f>
        <v>#N/A</v>
      </c>
      <c r="AD528" s="425" t="e">
        <f aca="false">IF(ABS(t-ROUND(t,0))&lt;0.001,pos_x,NA())</f>
        <v>#N/A</v>
      </c>
      <c r="AE528" s="426" t="e">
        <f aca="false">IF(t&lt;T_para, pos_z, NA())</f>
        <v>#N/A</v>
      </c>
      <c r="AF528" s="412"/>
      <c r="AG528" s="418" t="n">
        <f aca="false">IF(AND(L527&lt;L_rampe,Poussee&lt;Poids*SIN(M527)),0,(-W527+Poussee)/m-Poids*SIN(M527)/m)</f>
        <v>-2.16299554529766</v>
      </c>
      <c r="AH528" s="417" t="n">
        <f aca="false">IF(AND(L527&lt;L_rampe,Poussee&lt;Poids*SIN(M527)), g*SIN(M527), (-W527+Poussee)/m)</f>
        <v>-0.318261712757043</v>
      </c>
    </row>
    <row r="529" customFormat="false" ht="12" hidden="false" customHeight="false" outlineLevel="0" collapsed="false">
      <c r="A529" s="416" t="n">
        <f aca="false">IF(B528+0.01&lt;=T_ini+ROUNDUP(Temps_fin_propu,0), 0.01, IF(K528&gt;0, 0.1, 0.0001))</f>
        <v>0.1</v>
      </c>
      <c r="B529" s="417" t="n">
        <f aca="false">B528+pas</f>
        <v>16.4999999999999</v>
      </c>
      <c r="C529" s="401"/>
      <c r="D529" s="418" t="n">
        <f aca="false">IF(AND(L528&lt;L_rampe,Poussee&lt;Poids*SIN(M528)),0,(-W528+Poussee)/m*COS(M528)-U528/m*SIN(M528))</f>
        <v>-0.309888655008526</v>
      </c>
      <c r="E529" s="419" t="n">
        <f aca="false">IF(AND(L528&lt;L_rampe,Poussee&lt;Poids*SIN(M528)),0,(-W528+Poussee)/m*SIN(M528)+U528/m*COS(M528)-Poids/m)</f>
        <v>-9.85779948897846</v>
      </c>
      <c r="F529" s="417" t="n">
        <f aca="false">SQRT(acc_x^2+acc_z^2)</f>
        <v>9.86266909834285</v>
      </c>
      <c r="G529" s="418" t="n">
        <f aca="false">G528+acc_x*pas</f>
        <v>26.3296275714393</v>
      </c>
      <c r="H529" s="419" t="n">
        <f aca="false">H528+acc_z*pas</f>
        <v>3.08027401751244</v>
      </c>
      <c r="I529" s="417" t="n">
        <f aca="false">SQRT(vit_x^2+vit_z^2)</f>
        <v>26.5091941800134</v>
      </c>
      <c r="J529" s="418" t="n">
        <f aca="false">J528+0.5*(vit_x+G528)*pas*(K528&gt;=0)</f>
        <v>509.336178421263</v>
      </c>
      <c r="K529" s="419" t="n">
        <f aca="false">K528+0.5*(vit_z+H528)*pas</f>
        <v>1467.78972395522</v>
      </c>
      <c r="L529" s="417" t="n">
        <f aca="false">SQRT(pos_x^2+pos_z^2)</f>
        <v>1553.65054513469</v>
      </c>
      <c r="M529" s="418" t="n">
        <f aca="false">IF(AND(L528&gt;L_rampe,G529&gt;0),ATAN2(G529,H529),$M$4)</f>
        <v>0.116459515753965</v>
      </c>
      <c r="N529" s="417" t="n">
        <f aca="false">DEGREES(Beta)</f>
        <v>6.67263873683953</v>
      </c>
      <c r="O529" s="401"/>
      <c r="P529" s="420" t="n">
        <f aca="false">MATCH(t-pas/2-T_ini,CdP_t)</f>
        <v>23</v>
      </c>
      <c r="Q529" s="417" t="n">
        <f aca="false">(INDEX(CdP,2,i_P+1)-INDEX(CdP,2,i_P+0))/(INDEX(CdP,1,i_P+1)-INDEX(CdP,1,i_P+0))*(t-pas/2-T_ini-INDEX(CdP,1,i_P+0))+INDEX(CdP,2,i_P+0)</f>
        <v>0</v>
      </c>
      <c r="R529" s="418" t="n">
        <f aca="false">Poussee/(g*ISP)</f>
        <v>0</v>
      </c>
      <c r="S529" s="419" t="n">
        <f aca="false">S528-Débit*pas</f>
        <v>7.37799999999998</v>
      </c>
      <c r="T529" s="417" t="n">
        <f aca="false">m*g</f>
        <v>72.3781799999998</v>
      </c>
      <c r="U529" s="421" t="n">
        <f aca="false">IF(pos_xz&lt;L_rampe,Poids*COS(Beta),0)</f>
        <v>0</v>
      </c>
      <c r="V529" s="418" t="n">
        <f aca="false">Rho_moyen*(20000-Alt_rampe-pos_z)/(20000+Alt_rampe+pos_z)</f>
        <v>1.05748928418199</v>
      </c>
      <c r="W529" s="417" t="n">
        <f aca="false">1/2*Rho*Sref*Cx*vit_xz^2</f>
        <v>2.28509752604897</v>
      </c>
      <c r="X529" s="401"/>
      <c r="Y529" s="422" t="str">
        <f aca="false">IF(AND(pos_z&lt;=0,K528&gt;0),"Impact balistique","") &amp; IF(AND(H530&lt;0,vit_z&gt;=0),"Apogée","") &amp; IF(AND(Poussee=0,Q528&gt;0),"Fin de propulsion","") &amp; IF(AND(L530&gt;L_rampe,pos_xz&lt;=L_rampe),"Sortie de rampe","")</f>
        <v/>
      </c>
      <c r="Z529" s="423" t="str">
        <f aca="false">IF(ABS(t-T_para)&lt;pas/2,"Para","")</f>
        <v/>
      </c>
      <c r="AA529" s="424" t="str">
        <f aca="false">IF(ABS(t-T_satellite)&lt;pas/2,"Satellite","")</f>
        <v/>
      </c>
      <c r="AB529" s="412"/>
      <c r="AC529" s="420" t="e">
        <f aca="false">IF(ABS(t-ROUND(t,0))&lt;0.001,t,NA())</f>
        <v>#N/A</v>
      </c>
      <c r="AD529" s="425" t="e">
        <f aca="false">IF(ABS(t-ROUND(t,0))&lt;0.001,pos_x,NA())</f>
        <v>#N/A</v>
      </c>
      <c r="AE529" s="426" t="e">
        <f aca="false">IF(t&lt;T_para, pos_z, NA())</f>
        <v>#N/A</v>
      </c>
      <c r="AF529" s="412"/>
      <c r="AG529" s="418" t="n">
        <f aca="false">IF(AND(L528&lt;L_rampe,Poussee&lt;Poids*SIN(M528)),0,(-W528+Poussee)/m-Poids*SIN(M528)/m)</f>
        <v>-1.80903366242699</v>
      </c>
      <c r="AH529" s="417" t="n">
        <f aca="false">IF(AND(L528&lt;L_rampe,Poussee&lt;Poids*SIN(M528)), g*SIN(M528), (-W528+Poussee)/m)</f>
        <v>-0.313553455808727</v>
      </c>
    </row>
    <row r="530" customFormat="false" ht="12" hidden="false" customHeight="false" outlineLevel="0" collapsed="false">
      <c r="A530" s="416" t="n">
        <f aca="false">IF(B529+0.01&lt;=T_ini+ROUNDUP(Temps_fin_propu,0), 0.01, IF(K529&gt;0, 0.1, 0.0001))</f>
        <v>0.1</v>
      </c>
      <c r="B530" s="417" t="n">
        <f aca="false">B529+pas</f>
        <v>16.5999999999999</v>
      </c>
      <c r="C530" s="401"/>
      <c r="D530" s="418" t="n">
        <f aca="false">IF(AND(L529&lt;L_rampe,Poussee&lt;Poids*SIN(M529)),0,(-W529+Poussee)/m*COS(M529)-U529/m*SIN(M529))</f>
        <v>-0.307619795419388</v>
      </c>
      <c r="E530" s="419" t="n">
        <f aca="false">IF(AND(L529&lt;L_rampe,Poussee&lt;Poids*SIN(M529)),0,(-W529+Poussee)/m*SIN(M529)+U529/m*COS(M529)-Poids/m)</f>
        <v>-9.84598809973791</v>
      </c>
      <c r="F530" s="417" t="n">
        <f aca="false">SQRT(acc_x^2+acc_z^2)</f>
        <v>9.85079243506401</v>
      </c>
      <c r="G530" s="418" t="n">
        <f aca="false">G529+acc_x*pas</f>
        <v>26.2988655918974</v>
      </c>
      <c r="H530" s="419" t="n">
        <f aca="false">H529+acc_z*pas</f>
        <v>2.09567520753865</v>
      </c>
      <c r="I530" s="417" t="n">
        <f aca="false">SQRT(vit_x^2+vit_z^2)</f>
        <v>26.3822323922024</v>
      </c>
      <c r="J530" s="418" t="n">
        <f aca="false">J529+0.5*(vit_x+G529)*pas*(K529&gt;=0)</f>
        <v>511.96760307943</v>
      </c>
      <c r="K530" s="419" t="n">
        <f aca="false">K529+0.5*(vit_z+H529)*pas</f>
        <v>1468.04852141647</v>
      </c>
      <c r="L530" s="417" t="n">
        <f aca="false">SQRT(pos_x^2+pos_z^2)</f>
        <v>1554.75955949336</v>
      </c>
      <c r="M530" s="418" t="n">
        <f aca="false">IF(AND(L529&gt;L_rampe,G530&gt;0),ATAN2(G530,H530),$M$4)</f>
        <v>0.0795188741770118</v>
      </c>
      <c r="N530" s="417" t="n">
        <f aca="false">DEGREES(Beta)</f>
        <v>4.5560958819746</v>
      </c>
      <c r="O530" s="401"/>
      <c r="P530" s="420" t="n">
        <f aca="false">MATCH(t-pas/2-T_ini,CdP_t)</f>
        <v>23</v>
      </c>
      <c r="Q530" s="417" t="n">
        <f aca="false">(INDEX(CdP,2,i_P+1)-INDEX(CdP,2,i_P+0))/(INDEX(CdP,1,i_P+1)-INDEX(CdP,1,i_P+0))*(t-pas/2-T_ini-INDEX(CdP,1,i_P+0))+INDEX(CdP,2,i_P+0)</f>
        <v>0</v>
      </c>
      <c r="R530" s="418" t="n">
        <f aca="false">Poussee/(g*ISP)</f>
        <v>0</v>
      </c>
      <c r="S530" s="419" t="n">
        <f aca="false">S529-Débit*pas</f>
        <v>7.37799999999998</v>
      </c>
      <c r="T530" s="417" t="n">
        <f aca="false">m*g</f>
        <v>72.3781799999998</v>
      </c>
      <c r="U530" s="421" t="n">
        <f aca="false">IF(pos_xz&lt;L_rampe,Poids*COS(Beta),0)</f>
        <v>0</v>
      </c>
      <c r="V530" s="418" t="n">
        <f aca="false">Rho_moyen*(20000-Alt_rampe-pos_z)/(20000+Alt_rampe+pos_z)</f>
        <v>1.05746176875917</v>
      </c>
      <c r="W530" s="417" t="n">
        <f aca="false">1/2*Rho*Sref*Cx*vit_xz^2</f>
        <v>2.2632027922052</v>
      </c>
      <c r="X530" s="401"/>
      <c r="Y530" s="422" t="str">
        <f aca="false">IF(AND(pos_z&lt;=0,K529&gt;0),"Impact balistique","") &amp; IF(AND(H531&lt;0,vit_z&gt;=0),"Apogée","") &amp; IF(AND(Poussee=0,Q529&gt;0),"Fin de propulsion","") &amp; IF(AND(L531&gt;L_rampe,pos_xz&lt;=L_rampe),"Sortie de rampe","")</f>
        <v/>
      </c>
      <c r="Z530" s="423" t="str">
        <f aca="false">IF(ABS(t-T_para)&lt;pas/2,"Para","")</f>
        <v/>
      </c>
      <c r="AA530" s="424" t="str">
        <f aca="false">IF(ABS(t-T_satellite)&lt;pas/2,"Satellite","")</f>
        <v/>
      </c>
      <c r="AB530" s="412"/>
      <c r="AC530" s="420" t="e">
        <f aca="false">IF(ABS(t-ROUND(t,0))&lt;0.001,t,NA())</f>
        <v>#N/A</v>
      </c>
      <c r="AD530" s="425" t="e">
        <f aca="false">IF(ABS(t-ROUND(t,0))&lt;0.001,pos_x,NA())</f>
        <v>#N/A</v>
      </c>
      <c r="AE530" s="426" t="e">
        <f aca="false">IF(t&lt;T_para, pos_z, NA())</f>
        <v>#N/A</v>
      </c>
      <c r="AF530" s="412"/>
      <c r="AG530" s="418" t="n">
        <f aca="false">IF(AND(L529&lt;L_rampe,Poussee&lt;Poids*SIN(M529)),0,(-W529+Poussee)/m-Poids*SIN(M529)/m)</f>
        <v>-1.44960483168239</v>
      </c>
      <c r="AH530" s="417" t="n">
        <f aca="false">IF(AND(L529&lt;L_rampe,Poussee&lt;Poids*SIN(M529)), g*SIN(M529), (-W529+Poussee)/m)</f>
        <v>-0.309717745466112</v>
      </c>
    </row>
    <row r="531" customFormat="false" ht="12" hidden="false" customHeight="false" outlineLevel="0" collapsed="false">
      <c r="A531" s="416" t="n">
        <f aca="false">IF(B530+0.01&lt;=T_ini+ROUNDUP(Temps_fin_propu,0), 0.01, IF(K530&gt;0, 0.1, 0.0001))</f>
        <v>0.1</v>
      </c>
      <c r="B531" s="417" t="n">
        <f aca="false">B530+pas</f>
        <v>16.6999999999999</v>
      </c>
      <c r="C531" s="401"/>
      <c r="D531" s="418" t="n">
        <f aca="false">IF(AND(L530&lt;L_rampe,Poussee&lt;Poids*SIN(M530)),0,(-W530+Poussee)/m*COS(M530)-U530/m*SIN(M530))</f>
        <v>-0.305780856845217</v>
      </c>
      <c r="E531" s="419" t="n">
        <f aca="false">IF(AND(L530&lt;L_rampe,Poussee&lt;Poids*SIN(M530)),0,(-W530+Poussee)/m*SIN(M530)+U530/m*COS(M530)-Poids/m)</f>
        <v>-9.83436673013105</v>
      </c>
      <c r="F531" s="417" t="n">
        <f aca="false">SQRT(acc_x^2+acc_z^2)</f>
        <v>9.83911941766749</v>
      </c>
      <c r="G531" s="418" t="n">
        <f aca="false">G530+acc_x*pas</f>
        <v>26.2682875062128</v>
      </c>
      <c r="H531" s="419" t="n">
        <f aca="false">H530+acc_z*pas</f>
        <v>1.11223853452555</v>
      </c>
      <c r="I531" s="417" t="n">
        <f aca="false">SQRT(vit_x^2+vit_z^2)</f>
        <v>26.2918238824685</v>
      </c>
      <c r="J531" s="418" t="n">
        <f aca="false">J530+0.5*(vit_x+G530)*pas*(K530&gt;=0)</f>
        <v>514.595960734335</v>
      </c>
      <c r="K531" s="419" t="n">
        <f aca="false">K530+0.5*(vit_z+H530)*pas</f>
        <v>1468.20891710357</v>
      </c>
      <c r="L531" s="417" t="n">
        <f aca="false">SQRT(pos_x^2+pos_z^2)</f>
        <v>1555.77839908727</v>
      </c>
      <c r="M531" s="418" t="n">
        <f aca="false">IF(AND(L530&gt;L_rampe,G531&gt;0),ATAN2(G531,H531),$M$4)</f>
        <v>0.042316217751088</v>
      </c>
      <c r="N531" s="417" t="n">
        <f aca="false">DEGREES(Beta)</f>
        <v>2.42454068209392</v>
      </c>
      <c r="O531" s="401"/>
      <c r="P531" s="420" t="n">
        <f aca="false">MATCH(t-pas/2-T_ini,CdP_t)</f>
        <v>23</v>
      </c>
      <c r="Q531" s="417" t="n">
        <f aca="false">(INDEX(CdP,2,i_P+1)-INDEX(CdP,2,i_P+0))/(INDEX(CdP,1,i_P+1)-INDEX(CdP,1,i_P+0))*(t-pas/2-T_ini-INDEX(CdP,1,i_P+0))+INDEX(CdP,2,i_P+0)</f>
        <v>0</v>
      </c>
      <c r="R531" s="418" t="n">
        <f aca="false">Poussee/(g*ISP)</f>
        <v>0</v>
      </c>
      <c r="S531" s="419" t="n">
        <f aca="false">S530-Débit*pas</f>
        <v>7.37799999999998</v>
      </c>
      <c r="T531" s="417" t="n">
        <f aca="false">m*g</f>
        <v>72.3781799999998</v>
      </c>
      <c r="U531" s="421" t="n">
        <f aca="false">IF(pos_xz&lt;L_rampe,Poids*COS(Beta),0)</f>
        <v>0</v>
      </c>
      <c r="V531" s="418" t="n">
        <f aca="false">Rho_moyen*(20000-Alt_rampe-pos_z)/(20000+Alt_rampe+pos_z)</f>
        <v>1.05744471577515</v>
      </c>
      <c r="W531" s="417" t="n">
        <f aca="false">1/2*Rho*Sref*Cx*vit_xz^2</f>
        <v>2.24768171406501</v>
      </c>
      <c r="X531" s="401"/>
      <c r="Y531" s="422" t="str">
        <f aca="false">IF(AND(pos_z&lt;=0,K530&gt;0),"Impact balistique","") &amp; IF(AND(H532&lt;0,vit_z&gt;=0),"Apogée","") &amp; IF(AND(Poussee=0,Q530&gt;0),"Fin de propulsion","") &amp; IF(AND(L532&gt;L_rampe,pos_xz&lt;=L_rampe),"Sortie de rampe","")</f>
        <v/>
      </c>
      <c r="Z531" s="423" t="str">
        <f aca="false">IF(ABS(t-T_para)&lt;pas/2,"Para","")</f>
        <v/>
      </c>
      <c r="AA531" s="424" t="str">
        <f aca="false">IF(ABS(t-T_satellite)&lt;pas/2,"Satellite","")</f>
        <v/>
      </c>
      <c r="AB531" s="412"/>
      <c r="AC531" s="420" t="e">
        <f aca="false">IF(ABS(t-ROUND(t,0))&lt;0.001,t,NA())</f>
        <v>#N/A</v>
      </c>
      <c r="AD531" s="425" t="e">
        <f aca="false">IF(ABS(t-ROUND(t,0))&lt;0.001,pos_x,NA())</f>
        <v>#N/A</v>
      </c>
      <c r="AE531" s="426" t="e">
        <f aca="false">IF(t&lt;T_para, pos_z, NA())</f>
        <v>#N/A</v>
      </c>
      <c r="AF531" s="412"/>
      <c r="AG531" s="418" t="n">
        <f aca="false">IF(AND(L530&lt;L_rampe,Poussee&lt;Poids*SIN(M530)),0,(-W530+Poussee)/m-Poids*SIN(M530)/m)</f>
        <v>-1.08600848355025</v>
      </c>
      <c r="AH531" s="417" t="n">
        <f aca="false">IF(AND(L530&lt;L_rampe,Poussee&lt;Poids*SIN(M530)), g*SIN(M530), (-W530+Poussee)/m)</f>
        <v>-0.306750175143021</v>
      </c>
    </row>
    <row r="532" customFormat="false" ht="12" hidden="false" customHeight="false" outlineLevel="0" collapsed="false">
      <c r="A532" s="416" t="n">
        <f aca="false">IF(B531+0.01&lt;=T_ini+ROUNDUP(Temps_fin_propu,0), 0.01, IF(K531&gt;0, 0.1, 0.0001))</f>
        <v>0.1</v>
      </c>
      <c r="B532" s="417" t="n">
        <f aca="false">B531+pas</f>
        <v>16.7999999999999</v>
      </c>
      <c r="C532" s="401"/>
      <c r="D532" s="418" t="n">
        <f aca="false">IF(AND(L531&lt;L_rampe,Poussee&lt;Poids*SIN(M531)),0,(-W531+Poussee)/m*COS(M531)-U531/m*SIN(M531))</f>
        <v>-0.304373759136257</v>
      </c>
      <c r="E532" s="419" t="n">
        <f aca="false">IF(AND(L531&lt;L_rampe,Poussee&lt;Poids*SIN(M531)),0,(-W531+Poussee)/m*SIN(M531)+U531/m*COS(M531)-Poids/m)</f>
        <v>-9.82288763965788</v>
      </c>
      <c r="F532" s="417" t="n">
        <f aca="false">SQRT(acc_x^2+acc_z^2)</f>
        <v>9.82760219822691</v>
      </c>
      <c r="G532" s="418" t="n">
        <f aca="false">G531+acc_x*pas</f>
        <v>26.2378501302992</v>
      </c>
      <c r="H532" s="419" t="n">
        <f aca="false">H531+acc_z*pas</f>
        <v>0.129949770559759</v>
      </c>
      <c r="I532" s="417" t="n">
        <f aca="false">SQRT(vit_x^2+vit_z^2)</f>
        <v>26.2381719333286</v>
      </c>
      <c r="J532" s="418" t="n">
        <f aca="false">J531+0.5*(vit_x+G531)*pas*(K531&gt;=0)</f>
        <v>517.221267616161</v>
      </c>
      <c r="K532" s="419" t="n">
        <f aca="false">K531+0.5*(vit_z+H531)*pas</f>
        <v>1468.27102651883</v>
      </c>
      <c r="L532" s="417" t="n">
        <f aca="false">SQRT(pos_x^2+pos_z^2)</f>
        <v>1556.70730935173</v>
      </c>
      <c r="M532" s="418" t="n">
        <f aca="false">IF(AND(L531&gt;L_rampe,G532&gt;0),ATAN2(G532,H532),$M$4)</f>
        <v>0.00495271934939277</v>
      </c>
      <c r="N532" s="417" t="n">
        <f aca="false">DEGREES(Beta)</f>
        <v>0.283769915832984</v>
      </c>
      <c r="O532" s="401"/>
      <c r="P532" s="420" t="n">
        <f aca="false">MATCH(t-pas/2-T_ini,CdP_t)</f>
        <v>23</v>
      </c>
      <c r="Q532" s="417" t="n">
        <f aca="false">(INDEX(CdP,2,i_P+1)-INDEX(CdP,2,i_P+0))/(INDEX(CdP,1,i_P+1)-INDEX(CdP,1,i_P+0))*(t-pas/2-T_ini-INDEX(CdP,1,i_P+0))+INDEX(CdP,2,i_P+0)</f>
        <v>0</v>
      </c>
      <c r="R532" s="418" t="n">
        <f aca="false">Poussee/(g*ISP)</f>
        <v>0</v>
      </c>
      <c r="S532" s="419" t="n">
        <f aca="false">S531-Débit*pas</f>
        <v>7.37799999999998</v>
      </c>
      <c r="T532" s="417" t="n">
        <f aca="false">m*g</f>
        <v>72.3781799999998</v>
      </c>
      <c r="U532" s="421" t="n">
        <f aca="false">IF(pos_xz&lt;L_rampe,Poids*COS(Beta),0)</f>
        <v>0</v>
      </c>
      <c r="V532" s="418" t="n">
        <f aca="false">Rho_moyen*(20000-Alt_rampe-pos_z)/(20000+Alt_rampe+pos_z)</f>
        <v>1.05743811248109</v>
      </c>
      <c r="W532" s="417" t="n">
        <f aca="false">1/2*Rho*Sref*Cx*vit_xz^2</f>
        <v>2.23850371071129</v>
      </c>
      <c r="X532" s="401"/>
      <c r="Y532" s="422" t="str">
        <f aca="false">IF(AND(pos_z&lt;=0,K531&gt;0),"Impact balistique","") &amp; IF(AND(H533&lt;0,vit_z&gt;=0),"Apogée","") &amp; IF(AND(Poussee=0,Q531&gt;0),"Fin de propulsion","") &amp; IF(AND(L533&gt;L_rampe,pos_xz&lt;=L_rampe),"Sortie de rampe","")</f>
        <v>Apogée</v>
      </c>
      <c r="Z532" s="423" t="str">
        <f aca="false">IF(ABS(t-T_para)&lt;pas/2,"Para","")</f>
        <v/>
      </c>
      <c r="AA532" s="424" t="str">
        <f aca="false">IF(ABS(t-T_satellite)&lt;pas/2,"Satellite","")</f>
        <v/>
      </c>
      <c r="AB532" s="412"/>
      <c r="AC532" s="420" t="e">
        <f aca="false">IF(ABS(t-ROUND(t,0))&lt;0.001,t,NA())</f>
        <v>#N/A</v>
      </c>
      <c r="AD532" s="425" t="e">
        <f aca="false">IF(ABS(t-ROUND(t,0))&lt;0.001,pos_x,NA())</f>
        <v>#N/A</v>
      </c>
      <c r="AE532" s="426" t="e">
        <f aca="false">IF(t&lt;T_para, pos_z, NA())</f>
        <v>#N/A</v>
      </c>
      <c r="AF532" s="412"/>
      <c r="AG532" s="418" t="n">
        <f aca="false">IF(AND(L531&lt;L_rampe,Poussee&lt;Poids*SIN(M531)),0,(-W531+Poussee)/m-Poids*SIN(M531)/m)</f>
        <v>-0.719644694565926</v>
      </c>
      <c r="AH532" s="417" t="n">
        <f aca="false">IF(AND(L531&lt;L_rampe,Poussee&lt;Poids*SIN(M531)), g*SIN(M531), (-W531+Poussee)/m)</f>
        <v>-0.304646477916104</v>
      </c>
    </row>
    <row r="533" customFormat="false" ht="12" hidden="false" customHeight="false" outlineLevel="0" collapsed="false">
      <c r="A533" s="416" t="n">
        <f aca="false">IF(B532+0.01&lt;=T_ini+ROUNDUP(Temps_fin_propu,0), 0.01, IF(K532&gt;0, 0.1, 0.0001))</f>
        <v>0.1</v>
      </c>
      <c r="B533" s="417" t="n">
        <f aca="false">B532+pas</f>
        <v>16.8999999999999</v>
      </c>
      <c r="C533" s="401"/>
      <c r="D533" s="418" t="n">
        <f aca="false">IF(AND(L532&lt;L_rampe,Poussee&lt;Poids*SIN(M532)),0,(-W532+Poussee)/m*COS(M532)-U532/m*SIN(M532))</f>
        <v>-0.303398787768846</v>
      </c>
      <c r="E533" s="419" t="n">
        <f aca="false">IF(AND(L532&lt;L_rampe,Poussee&lt;Poids*SIN(M532)),0,(-W532+Poussee)/m*SIN(M532)+U532/m*COS(M532)-Poids/m)</f>
        <v>-9.81150266133326</v>
      </c>
      <c r="F533" s="417" t="n">
        <f aca="false">SQRT(acc_x^2+acc_z^2)</f>
        <v>9.81619250512994</v>
      </c>
      <c r="G533" s="418" t="n">
        <f aca="false">G532+acc_x*pas</f>
        <v>26.2075102515223</v>
      </c>
      <c r="H533" s="419" t="n">
        <f aca="false">H532+acc_z*pas</f>
        <v>-0.851200495573567</v>
      </c>
      <c r="I533" s="417" t="n">
        <f aca="false">SQRT(vit_x^2+vit_z^2)</f>
        <v>26.22132978831</v>
      </c>
      <c r="J533" s="418" t="n">
        <f aca="false">J532+0.5*(vit_x+G532)*pas*(K532&gt;=0)</f>
        <v>519.843535635252</v>
      </c>
      <c r="K533" s="419" t="n">
        <f aca="false">K532+0.5*(vit_z+H532)*pas</f>
        <v>1468.23496398257</v>
      </c>
      <c r="L533" s="417" t="n">
        <f aca="false">SQRT(pos_x^2+pos_z^2)</f>
        <v>1557.54653574225</v>
      </c>
      <c r="M533" s="418" t="n">
        <f aca="false">IF(AND(L532&gt;L_rampe,G533&gt;0),ATAN2(G533,H533),$M$4)</f>
        <v>-0.0324678447366045</v>
      </c>
      <c r="N533" s="417" t="n">
        <f aca="false">DEGREES(Beta)</f>
        <v>-1.86027047329348</v>
      </c>
      <c r="O533" s="401"/>
      <c r="P533" s="420" t="n">
        <f aca="false">MATCH(t-pas/2-T_ini,CdP_t)</f>
        <v>23</v>
      </c>
      <c r="Q533" s="417" t="n">
        <f aca="false">(INDEX(CdP,2,i_P+1)-INDEX(CdP,2,i_P+0))/(INDEX(CdP,1,i_P+1)-INDEX(CdP,1,i_P+0))*(t-pas/2-T_ini-INDEX(CdP,1,i_P+0))+INDEX(CdP,2,i_P+0)</f>
        <v>0</v>
      </c>
      <c r="R533" s="418" t="n">
        <f aca="false">Poussee/(g*ISP)</f>
        <v>0</v>
      </c>
      <c r="S533" s="419" t="n">
        <f aca="false">S532-Débit*pas</f>
        <v>7.37799999999998</v>
      </c>
      <c r="T533" s="417" t="n">
        <f aca="false">m*g</f>
        <v>72.3781799999998</v>
      </c>
      <c r="U533" s="421" t="n">
        <f aca="false">IF(pos_xz&lt;L_rampe,Poids*COS(Beta),0)</f>
        <v>0</v>
      </c>
      <c r="V533" s="418" t="n">
        <f aca="false">Rho_moyen*(20000-Alt_rampe-pos_z)/(20000+Alt_rampe+pos_z)</f>
        <v>1.05744194654138</v>
      </c>
      <c r="W533" s="417" t="n">
        <f aca="false">1/2*Rho*Sref*Cx*vit_xz^2</f>
        <v>2.23563897139786</v>
      </c>
      <c r="X533" s="401"/>
      <c r="Y533" s="422" t="str">
        <f aca="false">IF(AND(pos_z&lt;=0,K532&gt;0),"Impact balistique","") &amp; IF(AND(H534&lt;0,vit_z&gt;=0),"Apogée","") &amp; IF(AND(Poussee=0,Q532&gt;0),"Fin de propulsion","") &amp; IF(AND(L534&gt;L_rampe,pos_xz&lt;=L_rampe),"Sortie de rampe","")</f>
        <v/>
      </c>
      <c r="Z533" s="423" t="str">
        <f aca="false">IF(ABS(t-T_para)&lt;pas/2,"Para","")</f>
        <v/>
      </c>
      <c r="AA533" s="424" t="str">
        <f aca="false">IF(ABS(t-T_satellite)&lt;pas/2,"Satellite","")</f>
        <v/>
      </c>
      <c r="AB533" s="412"/>
      <c r="AC533" s="420" t="e">
        <f aca="false">IF(ABS(t-ROUND(t,0))&lt;0.001,t,NA())</f>
        <v>#N/A</v>
      </c>
      <c r="AD533" s="425" t="e">
        <f aca="false">IF(ABS(t-ROUND(t,0))&lt;0.001,pos_x,NA())</f>
        <v>#N/A</v>
      </c>
      <c r="AE533" s="426" t="e">
        <f aca="false">IF(t&lt;T_para, pos_z, NA())</f>
        <v>#N/A</v>
      </c>
      <c r="AF533" s="412"/>
      <c r="AG533" s="418" t="n">
        <f aca="false">IF(AND(L532&lt;L_rampe,Poussee&lt;Poids*SIN(M532)),0,(-W532+Poussee)/m-Poids*SIN(M532)/m)</f>
        <v>-0.351988487092308</v>
      </c>
      <c r="AH533" s="417" t="n">
        <f aca="false">IF(AND(L532&lt;L_rampe,Poussee&lt;Poids*SIN(M532)), g*SIN(M532), (-W532+Poussee)/m)</f>
        <v>-0.303402508906383</v>
      </c>
    </row>
    <row r="534" customFormat="false" ht="12" hidden="false" customHeight="false" outlineLevel="0" collapsed="false">
      <c r="A534" s="416" t="n">
        <f aca="false">IF(B533+0.01&lt;=T_ini+ROUNDUP(Temps_fin_propu,0), 0.01, IF(K533&gt;0, 0.1, 0.0001))</f>
        <v>0.1</v>
      </c>
      <c r="B534" s="417" t="n">
        <f aca="false">B533+pas</f>
        <v>16.9999999999999</v>
      </c>
      <c r="C534" s="401"/>
      <c r="D534" s="418" t="n">
        <f aca="false">IF(AND(L533&lt;L_rampe,Poussee&lt;Poids*SIN(M533)),0,(-W533+Poussee)/m*COS(M533)-U533/m*SIN(M533))</f>
        <v>-0.302854528770346</v>
      </c>
      <c r="E534" s="419" t="n">
        <f aca="false">IF(AND(L533&lt;L_rampe,Poussee&lt;Poids*SIN(M533)),0,(-W533+Poussee)/m*SIN(M533)+U533/m*COS(M533)-Poids/m)</f>
        <v>-9.80016350952449</v>
      </c>
      <c r="F534" s="417" t="n">
        <f aca="false">SQRT(acc_x^2+acc_z^2)</f>
        <v>9.80484195074108</v>
      </c>
      <c r="G534" s="418" t="n">
        <f aca="false">G533+acc_x*pas</f>
        <v>26.1772247986453</v>
      </c>
      <c r="H534" s="419" t="n">
        <f aca="false">H533+acc_z*pas</f>
        <v>-1.83121684652602</v>
      </c>
      <c r="I534" s="417" t="n">
        <f aca="false">SQRT(vit_x^2+vit_z^2)</f>
        <v>26.2411976345938</v>
      </c>
      <c r="J534" s="418" t="n">
        <f aca="false">J533+0.5*(vit_x+G533)*pas*(K533&gt;=0)</f>
        <v>522.46277238776</v>
      </c>
      <c r="K534" s="419" t="n">
        <f aca="false">K533+0.5*(vit_z+H533)*pas</f>
        <v>1468.10084311547</v>
      </c>
      <c r="L534" s="417" t="n">
        <f aca="false">SQRT(pos_x^2+pos_z^2)</f>
        <v>1558.29632422318</v>
      </c>
      <c r="M534" s="418" t="n">
        <f aca="false">IF(AND(L533&gt;L_rampe,G534&gt;0),ATAN2(G534,H534),$M$4)</f>
        <v>-0.06984080601217</v>
      </c>
      <c r="N534" s="417" t="n">
        <f aca="false">DEGREES(Beta)</f>
        <v>-4.00158342228925</v>
      </c>
      <c r="O534" s="401"/>
      <c r="P534" s="420" t="n">
        <f aca="false">MATCH(t-pas/2-T_ini,CdP_t)</f>
        <v>23</v>
      </c>
      <c r="Q534" s="417" t="n">
        <f aca="false">(INDEX(CdP,2,i_P+1)-INDEX(CdP,2,i_P+0))/(INDEX(CdP,1,i_P+1)-INDEX(CdP,1,i_P+0))*(t-pas/2-T_ini-INDEX(CdP,1,i_P+0))+INDEX(CdP,2,i_P+0)</f>
        <v>0</v>
      </c>
      <c r="R534" s="418" t="n">
        <f aca="false">Poussee/(g*ISP)</f>
        <v>0</v>
      </c>
      <c r="S534" s="419" t="n">
        <f aca="false">S533-Débit*pas</f>
        <v>7.37799999999998</v>
      </c>
      <c r="T534" s="417" t="n">
        <f aca="false">m*g</f>
        <v>72.3781799999998</v>
      </c>
      <c r="U534" s="421" t="n">
        <f aca="false">IF(pos_xz&lt;L_rampe,Poids*COS(Beta),0)</f>
        <v>0</v>
      </c>
      <c r="V534" s="418" t="n">
        <f aca="false">Rho_moyen*(20000-Alt_rampe-pos_z)/(20000+Alt_rampe+pos_z)</f>
        <v>1.05745620598124</v>
      </c>
      <c r="W534" s="417" t="n">
        <f aca="false">1/2*Rho*Sref*Cx*vit_xz^2</f>
        <v>2.23905832570529</v>
      </c>
      <c r="X534" s="401"/>
      <c r="Y534" s="422" t="str">
        <f aca="false">IF(AND(pos_z&lt;=0,K533&gt;0),"Impact balistique","") &amp; IF(AND(H535&lt;0,vit_z&gt;=0),"Apogée","") &amp; IF(AND(Poussee=0,Q533&gt;0),"Fin de propulsion","") &amp; IF(AND(L535&gt;L_rampe,pos_xz&lt;=L_rampe),"Sortie de rampe","")</f>
        <v/>
      </c>
      <c r="Z534" s="423" t="str">
        <f aca="false">IF(ABS(t-T_para)&lt;pas/2,"Para","")</f>
        <v/>
      </c>
      <c r="AA534" s="424" t="str">
        <f aca="false">IF(ABS(t-T_satellite)&lt;pas/2,"Satellite","")</f>
        <v/>
      </c>
      <c r="AB534" s="412"/>
      <c r="AC534" s="420" t="n">
        <f aca="false">IF(ABS(t-ROUND(t,0))&lt;0.001,t,NA())</f>
        <v>16.9999999999999</v>
      </c>
      <c r="AD534" s="425" t="n">
        <f aca="false">IF(ABS(t-ROUND(t,0))&lt;0.001,pos_x,NA())</f>
        <v>522.46277238776</v>
      </c>
      <c r="AE534" s="426" t="e">
        <f aca="false">IF(t&lt;T_para, pos_z, NA())</f>
        <v>#N/A</v>
      </c>
      <c r="AF534" s="412"/>
      <c r="AG534" s="418" t="n">
        <f aca="false">IF(AND(L533&lt;L_rampe,Poussee&lt;Poids*SIN(M533)),0,(-W533+Poussee)/m-Poids*SIN(M533)/m)</f>
        <v>0.0154393721374467</v>
      </c>
      <c r="AH534" s="417" t="n">
        <f aca="false">IF(AND(L533&lt;L_rampe,Poussee&lt;Poids*SIN(M533)), g*SIN(M533), (-W533+Poussee)/m)</f>
        <v>-0.303014227622373</v>
      </c>
    </row>
    <row r="535" customFormat="false" ht="12" hidden="false" customHeight="false" outlineLevel="0" collapsed="false">
      <c r="A535" s="416" t="n">
        <f aca="false">IF(B534+0.01&lt;=T_ini+ROUNDUP(Temps_fin_propu,0), 0.01, IF(K534&gt;0, 0.1, 0.0001))</f>
        <v>0.1</v>
      </c>
      <c r="B535" s="417" t="n">
        <f aca="false">B534+pas</f>
        <v>17.0999999999999</v>
      </c>
      <c r="C535" s="401"/>
      <c r="D535" s="418" t="n">
        <f aca="false">IF(AND(L534&lt;L_rampe,Poussee&lt;Poids*SIN(M534)),0,(-W534+Poussee)/m*COS(M534)-U534/m*SIN(M534))</f>
        <v>-0.302737838829237</v>
      </c>
      <c r="E535" s="419" t="n">
        <f aca="false">IF(AND(L534&lt;L_rampe,Poussee&lt;Poids*SIN(M534)),0,(-W534+Poussee)/m*SIN(M534)+U534/m*COS(M534)-Poids/m)</f>
        <v>-9.78882210070742</v>
      </c>
      <c r="F535" s="417" t="n">
        <f aca="false">SQRT(acc_x^2+acc_z^2)</f>
        <v>9.79350235198609</v>
      </c>
      <c r="G535" s="418" t="n">
        <f aca="false">G534+acc_x*pas</f>
        <v>26.1469510147624</v>
      </c>
      <c r="H535" s="419" t="n">
        <f aca="false">H534+acc_z*pas</f>
        <v>-2.81009905659676</v>
      </c>
      <c r="I535" s="417" t="n">
        <f aca="false">SQRT(vit_x^2+vit_z^2)</f>
        <v>26.2975227745175</v>
      </c>
      <c r="J535" s="418" t="n">
        <f aca="false">J534+0.5*(vit_x+G534)*pas*(K534&gt;=0)</f>
        <v>525.078981178431</v>
      </c>
      <c r="K535" s="419" t="n">
        <f aca="false">K534+0.5*(vit_z+H534)*pas</f>
        <v>1467.86877732031</v>
      </c>
      <c r="L535" s="417" t="n">
        <f aca="false">SQRT(pos_x^2+pos_z^2)</f>
        <v>1558.95692176122</v>
      </c>
      <c r="M535" s="418" t="n">
        <f aca="false">IF(AND(L534&gt;L_rampe,G535&gt;0),ATAN2(G535,H535),$M$4)</f>
        <v>-0.107062351724852</v>
      </c>
      <c r="N535" s="417" t="n">
        <f aca="false">DEGREES(Beta)</f>
        <v>-6.13422089857922</v>
      </c>
      <c r="O535" s="401"/>
      <c r="P535" s="420" t="n">
        <f aca="false">MATCH(t-pas/2-T_ini,CdP_t)</f>
        <v>23</v>
      </c>
      <c r="Q535" s="417" t="n">
        <f aca="false">(INDEX(CdP,2,i_P+1)-INDEX(CdP,2,i_P+0))/(INDEX(CdP,1,i_P+1)-INDEX(CdP,1,i_P+0))*(t-pas/2-T_ini-INDEX(CdP,1,i_P+0))+INDEX(CdP,2,i_P+0)</f>
        <v>0</v>
      </c>
      <c r="R535" s="418" t="n">
        <f aca="false">Poussee/(g*ISP)</f>
        <v>0</v>
      </c>
      <c r="S535" s="419" t="n">
        <f aca="false">S534-Débit*pas</f>
        <v>7.37799999999998</v>
      </c>
      <c r="T535" s="417" t="n">
        <f aca="false">m*g</f>
        <v>72.3781799999998</v>
      </c>
      <c r="U535" s="421" t="n">
        <f aca="false">IF(pos_xz&lt;L_rampe,Poids*COS(Beta),0)</f>
        <v>0</v>
      </c>
      <c r="V535" s="418" t="n">
        <f aca="false">Rho_moyen*(20000-Alt_rampe-pos_z)/(20000+Alt_rampe+pos_z)</f>
        <v>1.0574808791344</v>
      </c>
      <c r="W535" s="417" t="n">
        <f aca="false">1/2*Rho*Sref*Cx*vit_xz^2</f>
        <v>2.24873311487908</v>
      </c>
      <c r="X535" s="401"/>
      <c r="Y535" s="422" t="str">
        <f aca="false">IF(AND(pos_z&lt;=0,K534&gt;0),"Impact balistique","") &amp; IF(AND(H536&lt;0,vit_z&gt;=0),"Apogée","") &amp; IF(AND(Poussee=0,Q534&gt;0),"Fin de propulsion","") &amp; IF(AND(L536&gt;L_rampe,pos_xz&lt;=L_rampe),"Sortie de rampe","")</f>
        <v/>
      </c>
      <c r="Z535" s="423" t="str">
        <f aca="false">IF(ABS(t-T_para)&lt;pas/2,"Para","")</f>
        <v/>
      </c>
      <c r="AA535" s="424" t="str">
        <f aca="false">IF(ABS(t-T_satellite)&lt;pas/2,"Satellite","")</f>
        <v/>
      </c>
      <c r="AB535" s="412"/>
      <c r="AC535" s="420" t="e">
        <f aca="false">IF(ABS(t-ROUND(t,0))&lt;0.001,t,NA())</f>
        <v>#N/A</v>
      </c>
      <c r="AD535" s="425" t="e">
        <f aca="false">IF(ABS(t-ROUND(t,0))&lt;0.001,pos_x,NA())</f>
        <v>#N/A</v>
      </c>
      <c r="AE535" s="426" t="e">
        <f aca="false">IF(t&lt;T_para, pos_z, NA())</f>
        <v>#N/A</v>
      </c>
      <c r="AF535" s="412"/>
      <c r="AG535" s="418" t="n">
        <f aca="false">IF(AND(L534&lt;L_rampe,Poussee&lt;Poids*SIN(M534)),0,(-W534+Poussee)/m-Poids*SIN(M534)/m)</f>
        <v>0.381103774897408</v>
      </c>
      <c r="AH535" s="417" t="n">
        <f aca="false">IF(AND(L534&lt;L_rampe,Poussee&lt;Poids*SIN(M534)), g*SIN(M534), (-W534+Poussee)/m)</f>
        <v>-0.303477680361248</v>
      </c>
    </row>
    <row r="536" customFormat="false" ht="12" hidden="false" customHeight="false" outlineLevel="0" collapsed="false">
      <c r="A536" s="416" t="n">
        <f aca="false">IF(B535+0.01&lt;=T_ini+ROUNDUP(Temps_fin_propu,0), 0.01, IF(K535&gt;0, 0.1, 0.0001))</f>
        <v>0.1</v>
      </c>
      <c r="B536" s="417" t="n">
        <f aca="false">B535+pas</f>
        <v>17.1999999999999</v>
      </c>
      <c r="C536" s="401"/>
      <c r="D536" s="418" t="n">
        <f aca="false">IF(AND(L535&lt;L_rampe,Poussee&lt;Poids*SIN(M535)),0,(-W535+Poussee)/m*COS(M535)-U535/m*SIN(M535))</f>
        <v>-0.303043852102143</v>
      </c>
      <c r="E536" s="419" t="n">
        <f aca="false">IF(AND(L535&lt;L_rampe,Poussee&lt;Poids*SIN(M535)),0,(-W535+Poussee)/m*SIN(M535)+U535/m*COS(M535)-Poids/m)</f>
        <v>-9.77743087779455</v>
      </c>
      <c r="F536" s="417" t="n">
        <f aca="false">SQRT(acc_x^2+acc_z^2)</f>
        <v>9.78212605451122</v>
      </c>
      <c r="G536" s="418" t="n">
        <f aca="false">G535+acc_x*pas</f>
        <v>26.1166466295522</v>
      </c>
      <c r="H536" s="419" t="n">
        <f aca="false">H535+acc_z*pas</f>
        <v>-3.78784214437621</v>
      </c>
      <c r="I536" s="417" t="n">
        <f aca="false">SQRT(vit_x^2+vit_z^2)</f>
        <v>26.3899029798067</v>
      </c>
      <c r="J536" s="418" t="n">
        <f aca="false">J535+0.5*(vit_x+G535)*pas*(K535&gt;=0)</f>
        <v>527.692161060646</v>
      </c>
      <c r="K536" s="419" t="n">
        <f aca="false">K535+0.5*(vit_z+H535)*pas</f>
        <v>1467.53888026027</v>
      </c>
      <c r="L536" s="417" t="n">
        <f aca="false">SQRT(pos_x^2+pos_z^2)</f>
        <v>1559.5285768207</v>
      </c>
      <c r="M536" s="418" t="n">
        <f aca="false">IF(AND(L535&gt;L_rampe,G536&gt;0),ATAN2(G536,H536),$M$4)</f>
        <v>-0.144031237096967</v>
      </c>
      <c r="N536" s="417" t="n">
        <f aca="false">DEGREES(Beta)</f>
        <v>-8.25238200370428</v>
      </c>
      <c r="O536" s="401"/>
      <c r="P536" s="420" t="n">
        <f aca="false">MATCH(t-pas/2-T_ini,CdP_t)</f>
        <v>23</v>
      </c>
      <c r="Q536" s="417" t="n">
        <f aca="false">(INDEX(CdP,2,i_P+1)-INDEX(CdP,2,i_P+0))/(INDEX(CdP,1,i_P+1)-INDEX(CdP,1,i_P+0))*(t-pas/2-T_ini-INDEX(CdP,1,i_P+0))+INDEX(CdP,2,i_P+0)</f>
        <v>0</v>
      </c>
      <c r="R536" s="418" t="n">
        <f aca="false">Poussee/(g*ISP)</f>
        <v>0</v>
      </c>
      <c r="S536" s="419" t="n">
        <f aca="false">S535-Débit*pas</f>
        <v>7.37799999999998</v>
      </c>
      <c r="T536" s="417" t="n">
        <f aca="false">m*g</f>
        <v>72.3781799999998</v>
      </c>
      <c r="U536" s="421" t="n">
        <f aca="false">IF(pos_xz&lt;L_rampe,Poids*COS(Beta),0)</f>
        <v>0</v>
      </c>
      <c r="V536" s="418" t="n">
        <f aca="false">Rho_moyen*(20000-Alt_rampe-pos_z)/(20000+Alt_rampe+pos_z)</f>
        <v>1.05751595459116</v>
      </c>
      <c r="W536" s="417" t="n">
        <f aca="false">1/2*Rho*Sref*Cx*vit_xz^2</f>
        <v>2.26463506512369</v>
      </c>
      <c r="X536" s="401"/>
      <c r="Y536" s="422" t="str">
        <f aca="false">IF(AND(pos_z&lt;=0,K535&gt;0),"Impact balistique","") &amp; IF(AND(H537&lt;0,vit_z&gt;=0),"Apogée","") &amp; IF(AND(Poussee=0,Q535&gt;0),"Fin de propulsion","") &amp; IF(AND(L537&gt;L_rampe,pos_xz&lt;=L_rampe),"Sortie de rampe","")</f>
        <v/>
      </c>
      <c r="Z536" s="423" t="str">
        <f aca="false">IF(ABS(t-T_para)&lt;pas/2,"Para","")</f>
        <v/>
      </c>
      <c r="AA536" s="424" t="str">
        <f aca="false">IF(ABS(t-T_satellite)&lt;pas/2,"Satellite","")</f>
        <v/>
      </c>
      <c r="AB536" s="412"/>
      <c r="AC536" s="420" t="e">
        <f aca="false">IF(ABS(t-ROUND(t,0))&lt;0.001,t,NA())</f>
        <v>#N/A</v>
      </c>
      <c r="AD536" s="425" t="e">
        <f aca="false">IF(ABS(t-ROUND(t,0))&lt;0.001,pos_x,NA())</f>
        <v>#N/A</v>
      </c>
      <c r="AE536" s="426" t="e">
        <f aca="false">IF(t&lt;T_para, pos_z, NA())</f>
        <v>#N/A</v>
      </c>
      <c r="AF536" s="412"/>
      <c r="AG536" s="418" t="n">
        <f aca="false">IF(AND(L535&lt;L_rampe,Poussee&lt;Poids*SIN(M535)),0,(-W535+Poussee)/m-Poids*SIN(M535)/m)</f>
        <v>0.743487388414271</v>
      </c>
      <c r="AH536" s="417" t="n">
        <f aca="false">IF(AND(L535&lt;L_rampe,Poussee&lt;Poids*SIN(M535)), g*SIN(M535), (-W535+Poussee)/m)</f>
        <v>-0.304788982770275</v>
      </c>
    </row>
    <row r="537" customFormat="false" ht="12" hidden="false" customHeight="false" outlineLevel="0" collapsed="false">
      <c r="A537" s="416" t="n">
        <f aca="false">IF(B536+0.01&lt;=T_ini+ROUNDUP(Temps_fin_propu,0), 0.01, IF(K536&gt;0, 0.1, 0.0001))</f>
        <v>0.1</v>
      </c>
      <c r="B537" s="417" t="n">
        <f aca="false">B536+pas</f>
        <v>17.2999999999999</v>
      </c>
      <c r="C537" s="401"/>
      <c r="D537" s="418" t="n">
        <f aca="false">IF(AND(L536&lt;L_rampe,Poussee&lt;Poids*SIN(M536)),0,(-W536+Poussee)/m*COS(M536)-U536/m*SIN(M536))</f>
        <v>-0.303766023467658</v>
      </c>
      <c r="E537" s="419" t="n">
        <f aca="false">IF(AND(L536&lt;L_rampe,Poussee&lt;Poids*SIN(M536)),0,(-W536+Poussee)/m*SIN(M536)+U536/m*COS(M536)-Poids/m)</f>
        <v>-9.76594312845592</v>
      </c>
      <c r="F537" s="417" t="n">
        <f aca="false">SQRT(acc_x^2+acc_z^2)</f>
        <v>9.77066625083718</v>
      </c>
      <c r="G537" s="418" t="n">
        <f aca="false">G536+acc_x*pas</f>
        <v>26.0862700272054</v>
      </c>
      <c r="H537" s="419" t="n">
        <f aca="false">H536+acc_z*pas</f>
        <v>-4.7644364572218</v>
      </c>
      <c r="I537" s="417" t="n">
        <f aca="false">SQRT(vit_x^2+vit_z^2)</f>
        <v>26.5177928698295</v>
      </c>
      <c r="J537" s="418" t="n">
        <f aca="false">J536+0.5*(vit_x+G536)*pas*(K536&gt;=0)</f>
        <v>530.302306893484</v>
      </c>
      <c r="K537" s="419" t="n">
        <f aca="false">K536+0.5*(vit_z+H536)*pas</f>
        <v>1467.11126633019</v>
      </c>
      <c r="L537" s="417" t="n">
        <f aca="false">SQRT(pos_x^2+pos_z^2)</f>
        <v>1560.0115398578</v>
      </c>
      <c r="M537" s="418" t="n">
        <f aca="false">IF(AND(L536&gt;L_rampe,G537&gt;0),ATAN2(G537,H537),$M$4)</f>
        <v>-0.180650392141858</v>
      </c>
      <c r="N537" s="417" t="n">
        <f aca="false">DEGREES(Beta)</f>
        <v>-10.3505050371117</v>
      </c>
      <c r="O537" s="401"/>
      <c r="P537" s="420" t="n">
        <f aca="false">MATCH(t-pas/2-T_ini,CdP_t)</f>
        <v>23</v>
      </c>
      <c r="Q537" s="417" t="n">
        <f aca="false">(INDEX(CdP,2,i_P+1)-INDEX(CdP,2,i_P+0))/(INDEX(CdP,1,i_P+1)-INDEX(CdP,1,i_P+0))*(t-pas/2-T_ini-INDEX(CdP,1,i_P+0))+INDEX(CdP,2,i_P+0)</f>
        <v>0</v>
      </c>
      <c r="R537" s="418" t="n">
        <f aca="false">Poussee/(g*ISP)</f>
        <v>0</v>
      </c>
      <c r="S537" s="419" t="n">
        <f aca="false">S536-Débit*pas</f>
        <v>7.37799999999998</v>
      </c>
      <c r="T537" s="417" t="n">
        <f aca="false">m*g</f>
        <v>72.3781799999998</v>
      </c>
      <c r="U537" s="421" t="n">
        <f aca="false">IF(pos_xz&lt;L_rampe,Poids*COS(Beta),0)</f>
        <v>0</v>
      </c>
      <c r="V537" s="418" t="n">
        <f aca="false">Rho_moyen*(20000-Alt_rampe-pos_z)/(20000+Alt_rampe+pos_z)</f>
        <v>1.05756142114721</v>
      </c>
      <c r="W537" s="417" t="n">
        <f aca="false">1/2*Rho*Sref*Cx*vit_xz^2</f>
        <v>2.28673616362089</v>
      </c>
      <c r="X537" s="401"/>
      <c r="Y537" s="422" t="str">
        <f aca="false">IF(AND(pos_z&lt;=0,K536&gt;0),"Impact balistique","") &amp; IF(AND(H538&lt;0,vit_z&gt;=0),"Apogée","") &amp; IF(AND(Poussee=0,Q536&gt;0),"Fin de propulsion","") &amp; IF(AND(L538&gt;L_rampe,pos_xz&lt;=L_rampe),"Sortie de rampe","")</f>
        <v/>
      </c>
      <c r="Z537" s="423" t="str">
        <f aca="false">IF(ABS(t-T_para)&lt;pas/2,"Para","")</f>
        <v/>
      </c>
      <c r="AA537" s="424" t="str">
        <f aca="false">IF(ABS(t-T_satellite)&lt;pas/2,"Satellite","")</f>
        <v/>
      </c>
      <c r="AB537" s="412"/>
      <c r="AC537" s="420" t="e">
        <f aca="false">IF(ABS(t-ROUND(t,0))&lt;0.001,t,NA())</f>
        <v>#N/A</v>
      </c>
      <c r="AD537" s="425" t="e">
        <f aca="false">IF(ABS(t-ROUND(t,0))&lt;0.001,pos_x,NA())</f>
        <v>#N/A</v>
      </c>
      <c r="AE537" s="426" t="e">
        <f aca="false">IF(t&lt;T_para, pos_z, NA())</f>
        <v>#N/A</v>
      </c>
      <c r="AF537" s="412"/>
      <c r="AG537" s="418" t="n">
        <f aca="false">IF(AND(L536&lt;L_rampe,Poussee&lt;Poids*SIN(M536)),0,(-W536+Poussee)/m-Poids*SIN(M536)/m)</f>
        <v>1.10112193632591</v>
      </c>
      <c r="AH537" s="417" t="n">
        <f aca="false">IF(AND(L536&lt;L_rampe,Poussee&lt;Poids*SIN(M536)), g*SIN(M536), (-W536+Poussee)/m)</f>
        <v>-0.306944302673312</v>
      </c>
    </row>
    <row r="538" customFormat="false" ht="12" hidden="false" customHeight="false" outlineLevel="0" collapsed="false">
      <c r="A538" s="416" t="n">
        <f aca="false">IF(B537+0.01&lt;=T_ini+ROUNDUP(Temps_fin_propu,0), 0.01, IF(K537&gt;0, 0.1, 0.0001))</f>
        <v>0.1</v>
      </c>
      <c r="B538" s="417" t="n">
        <f aca="false">B537+pas</f>
        <v>17.3999999999999</v>
      </c>
      <c r="C538" s="401"/>
      <c r="D538" s="418" t="n">
        <f aca="false">IF(AND(L537&lt;L_rampe,Poussee&lt;Poids*SIN(M537)),0,(-W537+Poussee)/m*COS(M537)-U537/m*SIN(M537))</f>
        <v>-0.304896206231433</v>
      </c>
      <c r="E538" s="419" t="n">
        <f aca="false">IF(AND(L537&lt;L_rampe,Poussee&lt;Poids*SIN(M537)),0,(-W537+Poussee)/m*SIN(M537)+U537/m*COS(M537)-Poids/m)</f>
        <v>-9.75431328821167</v>
      </c>
      <c r="F538" s="417" t="n">
        <f aca="false">SQRT(acc_x^2+acc_z^2)</f>
        <v>9.75907728328642</v>
      </c>
      <c r="G538" s="418" t="n">
        <f aca="false">G537+acc_x*pas</f>
        <v>26.0557804065822</v>
      </c>
      <c r="H538" s="419" t="n">
        <f aca="false">H537+acc_z*pas</f>
        <v>-5.73986778604297</v>
      </c>
      <c r="I538" s="417" t="n">
        <f aca="false">SQRT(vit_x^2+vit_z^2)</f>
        <v>26.6805130160064</v>
      </c>
      <c r="J538" s="418" t="n">
        <f aca="false">J537+0.5*(vit_x+G537)*pas*(K537&gt;=0)</f>
        <v>532.909409415174</v>
      </c>
      <c r="K538" s="419" t="n">
        <f aca="false">K537+0.5*(vit_z+H537)*pas</f>
        <v>1466.58605111802</v>
      </c>
      <c r="L538" s="417" t="n">
        <f aca="false">SQRT(pos_x^2+pos_z^2)</f>
        <v>1560.40606381069</v>
      </c>
      <c r="M538" s="418" t="n">
        <f aca="false">IF(AND(L537&gt;L_rampe,G538&gt;0),ATAN2(G538,H538),$M$4)</f>
        <v>-0.216828361316276</v>
      </c>
      <c r="N538" s="417" t="n">
        <f aca="false">DEGREES(Beta)</f>
        <v>-12.4233499821603</v>
      </c>
      <c r="O538" s="401"/>
      <c r="P538" s="420" t="n">
        <f aca="false">MATCH(t-pas/2-T_ini,CdP_t)</f>
        <v>23</v>
      </c>
      <c r="Q538" s="417" t="n">
        <f aca="false">(INDEX(CdP,2,i_P+1)-INDEX(CdP,2,i_P+0))/(INDEX(CdP,1,i_P+1)-INDEX(CdP,1,i_P+0))*(t-pas/2-T_ini-INDEX(CdP,1,i_P+0))+INDEX(CdP,2,i_P+0)</f>
        <v>0</v>
      </c>
      <c r="R538" s="418" t="n">
        <f aca="false">Poussee/(g*ISP)</f>
        <v>0</v>
      </c>
      <c r="S538" s="419" t="n">
        <f aca="false">S537-Débit*pas</f>
        <v>7.37799999999998</v>
      </c>
      <c r="T538" s="417" t="n">
        <f aca="false">m*g</f>
        <v>72.3781799999998</v>
      </c>
      <c r="U538" s="421" t="n">
        <f aca="false">IF(pos_xz&lt;L_rampe,Poids*COS(Beta),0)</f>
        <v>0</v>
      </c>
      <c r="V538" s="418" t="n">
        <f aca="false">Rho_moyen*(20000-Alt_rampe-pos_z)/(20000+Alt_rampe+pos_z)</f>
        <v>1.05761726775357</v>
      </c>
      <c r="W538" s="417" t="n">
        <f aca="false">1/2*Rho*Sref*Cx*vit_xz^2</f>
        <v>2.31500853801284</v>
      </c>
      <c r="X538" s="401"/>
      <c r="Y538" s="422" t="str">
        <f aca="false">IF(AND(pos_z&lt;=0,K537&gt;0),"Impact balistique","") &amp; IF(AND(H539&lt;0,vit_z&gt;=0),"Apogée","") &amp; IF(AND(Poussee=0,Q537&gt;0),"Fin de propulsion","") &amp; IF(AND(L539&gt;L_rampe,pos_xz&lt;=L_rampe),"Sortie de rampe","")</f>
        <v/>
      </c>
      <c r="Z538" s="423" t="str">
        <f aca="false">IF(ABS(t-T_para)&lt;pas/2,"Para","")</f>
        <v/>
      </c>
      <c r="AA538" s="424" t="str">
        <f aca="false">IF(ABS(t-T_satellite)&lt;pas/2,"Satellite","")</f>
        <v/>
      </c>
      <c r="AB538" s="412"/>
      <c r="AC538" s="420" t="e">
        <f aca="false">IF(ABS(t-ROUND(t,0))&lt;0.001,t,NA())</f>
        <v>#N/A</v>
      </c>
      <c r="AD538" s="425" t="e">
        <f aca="false">IF(ABS(t-ROUND(t,0))&lt;0.001,pos_x,NA())</f>
        <v>#N/A</v>
      </c>
      <c r="AE538" s="426" t="e">
        <f aca="false">IF(t&lt;T_para, pos_z, NA())</f>
        <v>#N/A</v>
      </c>
      <c r="AF538" s="412"/>
      <c r="AG538" s="418" t="n">
        <f aca="false">IF(AND(L537&lt;L_rampe,Poussee&lt;Poids*SIN(M537)),0,(-W537+Poussee)/m-Poids*SIN(M537)/m)</f>
        <v>1.45261716420303</v>
      </c>
      <c r="AH538" s="417" t="n">
        <f aca="false">IF(AND(L537&lt;L_rampe,Poussee&lt;Poids*SIN(M537)), g*SIN(M537), (-W537+Poussee)/m)</f>
        <v>-0.309939843266589</v>
      </c>
    </row>
    <row r="539" customFormat="false" ht="12" hidden="false" customHeight="false" outlineLevel="0" collapsed="false">
      <c r="A539" s="416" t="n">
        <f aca="false">IF(B538+0.01&lt;=T_ini+ROUNDUP(Temps_fin_propu,0), 0.01, IF(K538&gt;0, 0.1, 0.0001))</f>
        <v>0.1</v>
      </c>
      <c r="B539" s="417" t="n">
        <f aca="false">B538+pas</f>
        <v>17.4999999999999</v>
      </c>
      <c r="C539" s="401"/>
      <c r="D539" s="418" t="n">
        <f aca="false">IF(AND(L538&lt;L_rampe,Poussee&lt;Poids*SIN(M538)),0,(-W538+Poussee)/m*COS(M538)-U538/m*SIN(M538))</f>
        <v>-0.306424760706551</v>
      </c>
      <c r="E539" s="419" t="n">
        <f aca="false">IF(AND(L538&lt;L_rampe,Poussee&lt;Poids*SIN(M538)),0,(-W538+Poussee)/m*SIN(M538)+U538/m*COS(M538)-Poids/m)</f>
        <v>-9.74249721998804</v>
      </c>
      <c r="F539" s="417" t="n">
        <f aca="false">SQRT(acc_x^2+acc_z^2)</f>
        <v>9.74731492337499</v>
      </c>
      <c r="G539" s="418" t="n">
        <f aca="false">G538+acc_x*pas</f>
        <v>26.0251379305116</v>
      </c>
      <c r="H539" s="419" t="n">
        <f aca="false">H538+acc_z*pas</f>
        <v>-6.71411750804178</v>
      </c>
      <c r="I539" s="417" t="n">
        <f aca="false">SQRT(vit_x^2+vit_z^2)</f>
        <v>26.8772613600037</v>
      </c>
      <c r="J539" s="418" t="n">
        <f aca="false">J538+0.5*(vit_x+G538)*pas*(K538&gt;=0)</f>
        <v>535.513455332028</v>
      </c>
      <c r="K539" s="419" t="n">
        <f aca="false">K538+0.5*(vit_z+H538)*pas</f>
        <v>1465.96335185332</v>
      </c>
      <c r="L539" s="417" t="n">
        <f aca="false">SQRT(pos_x^2+pos_z^2)</f>
        <v>1560.71240458281</v>
      </c>
      <c r="M539" s="418" t="n">
        <f aca="false">IF(AND(L538&gt;L_rampe,G539&gt;0),ATAN2(G539,H539),$M$4)</f>
        <v>-0.252480526482587</v>
      </c>
      <c r="N539" s="417" t="n">
        <f aca="false">DEGREES(Beta)</f>
        <v>-14.4660685766933</v>
      </c>
      <c r="O539" s="401"/>
      <c r="P539" s="420" t="n">
        <f aca="false">MATCH(t-pas/2-T_ini,CdP_t)</f>
        <v>23</v>
      </c>
      <c r="Q539" s="417" t="n">
        <f aca="false">(INDEX(CdP,2,i_P+1)-INDEX(CdP,2,i_P+0))/(INDEX(CdP,1,i_P+1)-INDEX(CdP,1,i_P+0))*(t-pas/2-T_ini-INDEX(CdP,1,i_P+0))+INDEX(CdP,2,i_P+0)</f>
        <v>0</v>
      </c>
      <c r="R539" s="418" t="n">
        <f aca="false">Poussee/(g*ISP)</f>
        <v>0</v>
      </c>
      <c r="S539" s="419" t="n">
        <f aca="false">S538-Débit*pas</f>
        <v>7.37799999999998</v>
      </c>
      <c r="T539" s="417" t="n">
        <f aca="false">m*g</f>
        <v>72.3781799999998</v>
      </c>
      <c r="U539" s="421" t="n">
        <f aca="false">IF(pos_xz&lt;L_rampe,Poids*COS(Beta),0)</f>
        <v>0</v>
      </c>
      <c r="V539" s="418" t="n">
        <f aca="false">Rho_moyen*(20000-Alt_rampe-pos_z)/(20000+Alt_rampe+pos_z)</f>
        <v>1.05768348346777</v>
      </c>
      <c r="W539" s="417" t="n">
        <f aca="false">1/2*Rho*Sref*Cx*vit_xz^2</f>
        <v>2.3494243400396</v>
      </c>
      <c r="X539" s="401"/>
      <c r="Y539" s="422" t="str">
        <f aca="false">IF(AND(pos_z&lt;=0,K538&gt;0),"Impact balistique","") &amp; IF(AND(H540&lt;0,vit_z&gt;=0),"Apogée","") &amp; IF(AND(Poussee=0,Q538&gt;0),"Fin de propulsion","") &amp; IF(AND(L540&gt;L_rampe,pos_xz&lt;=L_rampe),"Sortie de rampe","")</f>
        <v/>
      </c>
      <c r="Z539" s="423" t="str">
        <f aca="false">IF(ABS(t-T_para)&lt;pas/2,"Para","")</f>
        <v/>
      </c>
      <c r="AA539" s="424" t="str">
        <f aca="false">IF(ABS(t-T_satellite)&lt;pas/2,"Satellite","")</f>
        <v/>
      </c>
      <c r="AB539" s="412"/>
      <c r="AC539" s="420" t="e">
        <f aca="false">IF(ABS(t-ROUND(t,0))&lt;0.001,t,NA())</f>
        <v>#N/A</v>
      </c>
      <c r="AD539" s="425" t="e">
        <f aca="false">IF(ABS(t-ROUND(t,0))&lt;0.001,pos_x,NA())</f>
        <v>#N/A</v>
      </c>
      <c r="AE539" s="426" t="e">
        <f aca="false">IF(t&lt;T_para, pos_z, NA())</f>
        <v>#N/A</v>
      </c>
      <c r="AF539" s="412"/>
      <c r="AG539" s="418" t="n">
        <f aca="false">IF(AND(L538&lt;L_rampe,Poussee&lt;Poids*SIN(M538)),0,(-W538+Poussee)/m-Poids*SIN(M538)/m)</f>
        <v>1.79668620478754</v>
      </c>
      <c r="AH539" s="417" t="n">
        <f aca="false">IF(AND(L538&lt;L_rampe,Poussee&lt;Poids*SIN(M538)), g*SIN(M538), (-W538+Poussee)/m)</f>
        <v>-0.313771826784066</v>
      </c>
    </row>
    <row r="540" customFormat="false" ht="12" hidden="false" customHeight="false" outlineLevel="0" collapsed="false">
      <c r="A540" s="416" t="n">
        <f aca="false">IF(B539+0.01&lt;=T_ini+ROUNDUP(Temps_fin_propu,0), 0.01, IF(K539&gt;0, 0.1, 0.0001))</f>
        <v>0.1</v>
      </c>
      <c r="B540" s="417" t="n">
        <f aca="false">B539+pas</f>
        <v>17.5999999999999</v>
      </c>
      <c r="C540" s="401"/>
      <c r="D540" s="418" t="n">
        <f aca="false">IF(AND(L539&lt;L_rampe,Poussee&lt;Poids*SIN(M539)),0,(-W539+Poussee)/m*COS(M539)-U539/m*SIN(M539))</f>
        <v>-0.308340688805451</v>
      </c>
      <c r="E540" s="419" t="n">
        <f aca="false">IF(AND(L539&lt;L_rampe,Poussee&lt;Poids*SIN(M539)),0,(-W539+Poussee)/m*SIN(M539)+U539/m*COS(M539)-Poids/m)</f>
        <v>-9.73045246320393</v>
      </c>
      <c r="F540" s="417" t="n">
        <f aca="false">SQRT(acc_x^2+acc_z^2)</f>
        <v>9.73533662073605</v>
      </c>
      <c r="G540" s="418" t="n">
        <f aca="false">G539+acc_x*pas</f>
        <v>25.994303861631</v>
      </c>
      <c r="H540" s="419" t="n">
        <f aca="false">H539+acc_z*pas</f>
        <v>-7.68716275436217</v>
      </c>
      <c r="I540" s="417" t="n">
        <f aca="false">SQRT(vit_x^2+vit_z^2)</f>
        <v>27.1071264515968</v>
      </c>
      <c r="J540" s="418" t="n">
        <f aca="false">J539+0.5*(vit_x+G539)*pas*(K539&gt;=0)</f>
        <v>538.114427421636</v>
      </c>
      <c r="K540" s="419" t="n">
        <f aca="false">K539+0.5*(vit_z+H539)*pas</f>
        <v>1465.2432878402</v>
      </c>
      <c r="L540" s="417" t="n">
        <f aca="false">SQRT(pos_x^2+pos_z^2)</f>
        <v>1560.93082151647</v>
      </c>
      <c r="M540" s="418" t="n">
        <f aca="false">IF(AND(L539&gt;L_rampe,G540&gt;0),ATAN2(G540,H540),$M$4)</f>
        <v>-0.287530078739946</v>
      </c>
      <c r="N540" s="417" t="n">
        <f aca="false">DEGREES(Beta)</f>
        <v>-16.4742599948631</v>
      </c>
      <c r="O540" s="401"/>
      <c r="P540" s="420" t="n">
        <f aca="false">MATCH(t-pas/2-T_ini,CdP_t)</f>
        <v>23</v>
      </c>
      <c r="Q540" s="417" t="n">
        <f aca="false">(INDEX(CdP,2,i_P+1)-INDEX(CdP,2,i_P+0))/(INDEX(CdP,1,i_P+1)-INDEX(CdP,1,i_P+0))*(t-pas/2-T_ini-INDEX(CdP,1,i_P+0))+INDEX(CdP,2,i_P+0)</f>
        <v>0</v>
      </c>
      <c r="R540" s="418" t="n">
        <f aca="false">Poussee/(g*ISP)</f>
        <v>0</v>
      </c>
      <c r="S540" s="419" t="n">
        <f aca="false">S539-Débit*pas</f>
        <v>7.37799999999998</v>
      </c>
      <c r="T540" s="417" t="n">
        <f aca="false">m*g</f>
        <v>72.3781799999998</v>
      </c>
      <c r="U540" s="421" t="n">
        <f aca="false">IF(pos_xz&lt;L_rampe,Poids*COS(Beta),0)</f>
        <v>0</v>
      </c>
      <c r="V540" s="418" t="n">
        <f aca="false">Rho_moyen*(20000-Alt_rampe-pos_z)/(20000+Alt_rampe+pos_z)</f>
        <v>1.05776005740675</v>
      </c>
      <c r="W540" s="417" t="n">
        <f aca="false">1/2*Rho*Sref*Cx*vit_xz^2</f>
        <v>2.3899556339517</v>
      </c>
      <c r="X540" s="401"/>
      <c r="Y540" s="422" t="str">
        <f aca="false">IF(AND(pos_z&lt;=0,K539&gt;0),"Impact balistique","") &amp; IF(AND(H541&lt;0,vit_z&gt;=0),"Apogée","") &amp; IF(AND(Poussee=0,Q539&gt;0),"Fin de propulsion","") &amp; IF(AND(L541&gt;L_rampe,pos_xz&lt;=L_rampe),"Sortie de rampe","")</f>
        <v/>
      </c>
      <c r="Z540" s="423" t="str">
        <f aca="false">IF(ABS(t-T_para)&lt;pas/2,"Para","")</f>
        <v/>
      </c>
      <c r="AA540" s="424" t="str">
        <f aca="false">IF(ABS(t-T_satellite)&lt;pas/2,"Satellite","")</f>
        <v/>
      </c>
      <c r="AB540" s="412"/>
      <c r="AC540" s="420" t="e">
        <f aca="false">IF(ABS(t-ROUND(t,0))&lt;0.001,t,NA())</f>
        <v>#N/A</v>
      </c>
      <c r="AD540" s="425" t="e">
        <f aca="false">IF(ABS(t-ROUND(t,0))&lt;0.001,pos_x,NA())</f>
        <v>#N/A</v>
      </c>
      <c r="AE540" s="426" t="e">
        <f aca="false">IF(t&lt;T_para, pos_z, NA())</f>
        <v>#N/A</v>
      </c>
      <c r="AF540" s="412"/>
      <c r="AG540" s="418" t="n">
        <f aca="false">IF(AND(L539&lt;L_rampe,Poussee&lt;Poids*SIN(M539)),0,(-W539+Poussee)/m-Poids*SIN(M539)/m)</f>
        <v>2.13216635136397</v>
      </c>
      <c r="AH540" s="417" t="n">
        <f aca="false">IF(AND(L539&lt;L_rampe,Poussee&lt;Poids*SIN(M539)), g*SIN(M539), (-W539+Poussee)/m)</f>
        <v>-0.318436478725889</v>
      </c>
    </row>
    <row r="541" customFormat="false" ht="12" hidden="false" customHeight="false" outlineLevel="0" collapsed="false">
      <c r="A541" s="416" t="n">
        <f aca="false">IF(B540+0.01&lt;=T_ini+ROUNDUP(Temps_fin_propu,0), 0.01, IF(K540&gt;0, 0.1, 0.0001))</f>
        <v>0.1</v>
      </c>
      <c r="B541" s="417" t="n">
        <f aca="false">B540+pas</f>
        <v>17.6999999999999</v>
      </c>
      <c r="C541" s="401"/>
      <c r="D541" s="418" t="n">
        <f aca="false">IF(AND(L540&lt;L_rampe,Poussee&lt;Poids*SIN(M540)),0,(-W540+Poussee)/m*COS(M540)-U540/m*SIN(M540))</f>
        <v>-0.310631788874637</v>
      </c>
      <c r="E541" s="419" t="n">
        <f aca="false">IF(AND(L540&lt;L_rampe,Poussee&lt;Poids*SIN(M540)),0,(-W540+Poussee)/m*SIN(M540)+U540/m*COS(M540)-Poids/m)</f>
        <v>-9.7181384471587</v>
      </c>
      <c r="F541" s="417" t="n">
        <f aca="false">SQRT(acc_x^2+acc_z^2)</f>
        <v>9.72310171634564</v>
      </c>
      <c r="G541" s="418" t="n">
        <f aca="false">G540+acc_x*pas</f>
        <v>25.9632406827436</v>
      </c>
      <c r="H541" s="419" t="n">
        <f aca="false">H540+acc_z*pas</f>
        <v>-8.65897659907804</v>
      </c>
      <c r="I541" s="417" t="n">
        <f aca="false">SQRT(vit_x^2+vit_z^2)</f>
        <v>27.369101967245</v>
      </c>
      <c r="J541" s="418" t="n">
        <f aca="false">J540+0.5*(vit_x+G540)*pas*(K540&gt;=0)</f>
        <v>540.712304648854</v>
      </c>
      <c r="K541" s="419" t="n">
        <f aca="false">K540+0.5*(vit_z+H540)*pas</f>
        <v>1464.42598087253</v>
      </c>
      <c r="L541" s="417" t="n">
        <f aca="false">SQRT(pos_x^2+pos_z^2)</f>
        <v>1561.06157785436</v>
      </c>
      <c r="M541" s="418" t="n">
        <f aca="false">IF(AND(L540&gt;L_rampe,G541&gt;0),ATAN2(G541,H541),$M$4)</f>
        <v>-0.32190872100793</v>
      </c>
      <c r="N541" s="417" t="n">
        <f aca="false">DEGREES(Beta)</f>
        <v>-18.4440111022087</v>
      </c>
      <c r="O541" s="401"/>
      <c r="P541" s="420" t="n">
        <f aca="false">MATCH(t-pas/2-T_ini,CdP_t)</f>
        <v>23</v>
      </c>
      <c r="Q541" s="417" t="n">
        <f aca="false">(INDEX(CdP,2,i_P+1)-INDEX(CdP,2,i_P+0))/(INDEX(CdP,1,i_P+1)-INDEX(CdP,1,i_P+0))*(t-pas/2-T_ini-INDEX(CdP,1,i_P+0))+INDEX(CdP,2,i_P+0)</f>
        <v>0</v>
      </c>
      <c r="R541" s="418" t="n">
        <f aca="false">Poussee/(g*ISP)</f>
        <v>0</v>
      </c>
      <c r="S541" s="419" t="n">
        <f aca="false">S540-Débit*pas</f>
        <v>7.37799999999998</v>
      </c>
      <c r="T541" s="417" t="n">
        <f aca="false">m*g</f>
        <v>72.3781799999998</v>
      </c>
      <c r="U541" s="421" t="n">
        <f aca="false">IF(pos_xz&lt;L_rampe,Poids*COS(Beta),0)</f>
        <v>0</v>
      </c>
      <c r="V541" s="418" t="n">
        <f aca="false">Rho_moyen*(20000-Alt_rampe-pos_z)/(20000+Alt_rampe+pos_z)</f>
        <v>1.05784697870165</v>
      </c>
      <c r="W541" s="417" t="n">
        <f aca="false">1/2*Rho*Sref*Cx*vit_xz^2</f>
        <v>2.43657429023415</v>
      </c>
      <c r="X541" s="401"/>
      <c r="Y541" s="422" t="str">
        <f aca="false">IF(AND(pos_z&lt;=0,K540&gt;0),"Impact balistique","") &amp; IF(AND(H542&lt;0,vit_z&gt;=0),"Apogée","") &amp; IF(AND(Poussee=0,Q540&gt;0),"Fin de propulsion","") &amp; IF(AND(L542&gt;L_rampe,pos_xz&lt;=L_rampe),"Sortie de rampe","")</f>
        <v/>
      </c>
      <c r="Z541" s="423" t="str">
        <f aca="false">IF(ABS(t-T_para)&lt;pas/2,"Para","")</f>
        <v/>
      </c>
      <c r="AA541" s="424" t="str">
        <f aca="false">IF(ABS(t-T_satellite)&lt;pas/2,"Satellite","")</f>
        <v/>
      </c>
      <c r="AB541" s="412"/>
      <c r="AC541" s="420" t="e">
        <f aca="false">IF(ABS(t-ROUND(t,0))&lt;0.001,t,NA())</f>
        <v>#N/A</v>
      </c>
      <c r="AD541" s="425" t="e">
        <f aca="false">IF(ABS(t-ROUND(t,0))&lt;0.001,pos_x,NA())</f>
        <v>#N/A</v>
      </c>
      <c r="AE541" s="426" t="e">
        <f aca="false">IF(t&lt;T_para, pos_z, NA())</f>
        <v>#N/A</v>
      </c>
      <c r="AF541" s="412"/>
      <c r="AG541" s="418" t="n">
        <f aca="false">IF(AND(L540&lt;L_rampe,Poussee&lt;Poids*SIN(M540)),0,(-W540+Poussee)/m-Poids*SIN(M540)/m)</f>
        <v>2.45803460291598</v>
      </c>
      <c r="AH541" s="417" t="n">
        <f aca="false">IF(AND(L540&lt;L_rampe,Poussee&lt;Poids*SIN(M540)), g*SIN(M540), (-W540+Poussee)/m)</f>
        <v>-0.323930012734035</v>
      </c>
    </row>
    <row r="542" customFormat="false" ht="12" hidden="false" customHeight="false" outlineLevel="0" collapsed="false">
      <c r="A542" s="416" t="n">
        <f aca="false">IF(B541+0.01&lt;=T_ini+ROUNDUP(Temps_fin_propu,0), 0.01, IF(K541&gt;0, 0.1, 0.0001))</f>
        <v>0.1</v>
      </c>
      <c r="B542" s="417" t="n">
        <f aca="false">B541+pas</f>
        <v>17.7999999999999</v>
      </c>
      <c r="C542" s="401"/>
      <c r="D542" s="418" t="n">
        <f aca="false">IF(AND(L541&lt;L_rampe,Poussee&lt;Poids*SIN(M541)),0,(-W541+Poussee)/m*COS(M541)-U541/m*SIN(M541))</f>
        <v>-0.3132848245255</v>
      </c>
      <c r="E542" s="419" t="n">
        <f aca="false">IF(AND(L541&lt;L_rampe,Poussee&lt;Poids*SIN(M541)),0,(-W541+Poussee)/m*SIN(M541)+U541/m*COS(M541)-Poids/m)</f>
        <v>-9.70551666536699</v>
      </c>
      <c r="F542" s="417" t="n">
        <f aca="false">SQRT(acc_x^2+acc_z^2)</f>
        <v>9.71057161669664</v>
      </c>
      <c r="G542" s="418" t="n">
        <f aca="false">G541+acc_x*pas</f>
        <v>25.931912200291</v>
      </c>
      <c r="H542" s="419" t="n">
        <f aca="false">H541+acc_z*pas</f>
        <v>-9.62952826561474</v>
      </c>
      <c r="I542" s="417" t="n">
        <f aca="false">SQRT(vit_x^2+vit_z^2)</f>
        <v>27.6621019624662</v>
      </c>
      <c r="J542" s="418" t="n">
        <f aca="false">J541+0.5*(vit_x+G541)*pas*(K541&gt;=0)</f>
        <v>543.307062293006</v>
      </c>
      <c r="K542" s="419" t="n">
        <f aca="false">K541+0.5*(vit_z+H541)*pas</f>
        <v>1463.51155562929</v>
      </c>
      <c r="L542" s="417" t="n">
        <f aca="false">SQRT(pos_x^2+pos_z^2)</f>
        <v>1561.10494118683</v>
      </c>
      <c r="M542" s="418" t="n">
        <f aca="false">IF(AND(L541&gt;L_rampe,G542&gt;0),ATAN2(G542,H542),$M$4)</f>
        <v>-0.355557099207317</v>
      </c>
      <c r="N542" s="417" t="n">
        <f aca="false">DEGREES(Beta)</f>
        <v>-20.3719211604936</v>
      </c>
      <c r="O542" s="401"/>
      <c r="P542" s="420" t="n">
        <f aca="false">MATCH(t-pas/2-T_ini,CdP_t)</f>
        <v>23</v>
      </c>
      <c r="Q542" s="417" t="n">
        <f aca="false">(INDEX(CdP,2,i_P+1)-INDEX(CdP,2,i_P+0))/(INDEX(CdP,1,i_P+1)-INDEX(CdP,1,i_P+0))*(t-pas/2-T_ini-INDEX(CdP,1,i_P+0))+INDEX(CdP,2,i_P+0)</f>
        <v>0</v>
      </c>
      <c r="R542" s="418" t="n">
        <f aca="false">Poussee/(g*ISP)</f>
        <v>0</v>
      </c>
      <c r="S542" s="419" t="n">
        <f aca="false">S541-Débit*pas</f>
        <v>7.37799999999998</v>
      </c>
      <c r="T542" s="417" t="n">
        <f aca="false">m*g</f>
        <v>72.3781799999998</v>
      </c>
      <c r="U542" s="421" t="n">
        <f aca="false">IF(pos_xz&lt;L_rampe,Poids*COS(Beta),0)</f>
        <v>0</v>
      </c>
      <c r="V542" s="418" t="n">
        <f aca="false">Rho_moyen*(20000-Alt_rampe-pos_z)/(20000+Alt_rampe+pos_z)</f>
        <v>1.05794423645457</v>
      </c>
      <c r="W542" s="417" t="n">
        <f aca="false">1/2*Rho*Sref*Cx*vit_xz^2</f>
        <v>2.48925188508408</v>
      </c>
      <c r="X542" s="401"/>
      <c r="Y542" s="422" t="str">
        <f aca="false">IF(AND(pos_z&lt;=0,K541&gt;0),"Impact balistique","") &amp; IF(AND(H543&lt;0,vit_z&gt;=0),"Apogée","") &amp; IF(AND(Poussee=0,Q541&gt;0),"Fin de propulsion","") &amp; IF(AND(L543&gt;L_rampe,pos_xz&lt;=L_rampe),"Sortie de rampe","")</f>
        <v/>
      </c>
      <c r="Z542" s="423" t="str">
        <f aca="false">IF(ABS(t-T_para)&lt;pas/2,"Para","")</f>
        <v/>
      </c>
      <c r="AA542" s="424" t="str">
        <f aca="false">IF(ABS(t-T_satellite)&lt;pas/2,"Satellite","")</f>
        <v/>
      </c>
      <c r="AB542" s="412"/>
      <c r="AC542" s="420" t="e">
        <f aca="false">IF(ABS(t-ROUND(t,0))&lt;0.001,t,NA())</f>
        <v>#N/A</v>
      </c>
      <c r="AD542" s="425" t="e">
        <f aca="false">IF(ABS(t-ROUND(t,0))&lt;0.001,pos_x,NA())</f>
        <v>#N/A</v>
      </c>
      <c r="AE542" s="426" t="e">
        <f aca="false">IF(t&lt;T_para, pos_z, NA())</f>
        <v>#N/A</v>
      </c>
      <c r="AF542" s="412"/>
      <c r="AG542" s="418" t="n">
        <f aca="false">IF(AND(L541&lt;L_rampe,Poussee&lt;Poids*SIN(M541)),0,(-W541+Poussee)/m-Poids*SIN(M541)/m)</f>
        <v>2.77341772034798</v>
      </c>
      <c r="AH542" s="417" t="n">
        <f aca="false">IF(AND(L541&lt;L_rampe,Poussee&lt;Poids*SIN(M541)), g*SIN(M541), (-W541+Poussee)/m)</f>
        <v>-0.330248616187877</v>
      </c>
    </row>
    <row r="543" customFormat="false" ht="12" hidden="false" customHeight="false" outlineLevel="0" collapsed="false">
      <c r="A543" s="416" t="n">
        <f aca="false">IF(B542+0.01&lt;=T_ini+ROUNDUP(Temps_fin_propu,0), 0.01, IF(K542&gt;0, 0.1, 0.0001))</f>
        <v>0.1</v>
      </c>
      <c r="B543" s="417" t="n">
        <f aca="false">B542+pas</f>
        <v>17.8999999999999</v>
      </c>
      <c r="C543" s="401"/>
      <c r="D543" s="418" t="n">
        <f aca="false">IF(AND(L542&lt;L_rampe,Poussee&lt;Poids*SIN(M542)),0,(-W542+Poussee)/m*COS(M542)-U542/m*SIN(M542))</f>
        <v>-0.316285701160611</v>
      </c>
      <c r="E543" s="419" t="n">
        <f aca="false">IF(AND(L542&lt;L_rampe,Poussee&lt;Poids*SIN(M542)),0,(-W542+Poussee)/m*SIN(M542)+U542/m*COS(M542)-Poids/m)</f>
        <v>-9.69255080937295</v>
      </c>
      <c r="F543" s="417" t="n">
        <f aca="false">SQRT(acc_x^2+acc_z^2)</f>
        <v>9.69770992745374</v>
      </c>
      <c r="G543" s="418" t="n">
        <f aca="false">G542+acc_x*pas</f>
        <v>25.900283630175</v>
      </c>
      <c r="H543" s="419" t="n">
        <f aca="false">H542+acc_z*pas</f>
        <v>-10.598783346552</v>
      </c>
      <c r="I543" s="417" t="n">
        <f aca="false">SQRT(vit_x^2+vit_z^2)</f>
        <v>27.984976336432</v>
      </c>
      <c r="J543" s="418" t="n">
        <f aca="false">J542+0.5*(vit_x+G542)*pas*(K542&gt;=0)</f>
        <v>545.898672084529</v>
      </c>
      <c r="K543" s="419" t="n">
        <f aca="false">K542+0.5*(vit_z+H542)*pas</f>
        <v>1462.50014004868</v>
      </c>
      <c r="L543" s="417" t="n">
        <f aca="false">SQRT(pos_x^2+pos_z^2)</f>
        <v>1561.06118388296</v>
      </c>
      <c r="M543" s="418" t="n">
        <f aca="false">IF(AND(L542&gt;L_rampe,G543&gt;0),ATAN2(G543,H543),$M$4)</f>
        <v>-0.388424974114696</v>
      </c>
      <c r="N543" s="417" t="n">
        <f aca="false">DEGREES(Beta)</f>
        <v>-22.2551116742503</v>
      </c>
      <c r="O543" s="401"/>
      <c r="P543" s="420" t="n">
        <f aca="false">MATCH(t-pas/2-T_ini,CdP_t)</f>
        <v>23</v>
      </c>
      <c r="Q543" s="417" t="n">
        <f aca="false">(INDEX(CdP,2,i_P+1)-INDEX(CdP,2,i_P+0))/(INDEX(CdP,1,i_P+1)-INDEX(CdP,1,i_P+0))*(t-pas/2-T_ini-INDEX(CdP,1,i_P+0))+INDEX(CdP,2,i_P+0)</f>
        <v>0</v>
      </c>
      <c r="R543" s="418" t="n">
        <f aca="false">Poussee/(g*ISP)</f>
        <v>0</v>
      </c>
      <c r="S543" s="419" t="n">
        <f aca="false">S542-Débit*pas</f>
        <v>7.37799999999998</v>
      </c>
      <c r="T543" s="417" t="n">
        <f aca="false">m*g</f>
        <v>72.3781799999998</v>
      </c>
      <c r="U543" s="421" t="n">
        <f aca="false">IF(pos_xz&lt;L_rampe,Poids*COS(Beta),0)</f>
        <v>0</v>
      </c>
      <c r="V543" s="418" t="n">
        <f aca="false">Rho_moyen*(20000-Alt_rampe-pos_z)/(20000+Alt_rampe+pos_z)</f>
        <v>1.05805181969769</v>
      </c>
      <c r="W543" s="417" t="n">
        <f aca="false">1/2*Rho*Sref*Cx*vit_xz^2</f>
        <v>2.54795960598417</v>
      </c>
      <c r="X543" s="401"/>
      <c r="Y543" s="422" t="str">
        <f aca="false">IF(AND(pos_z&lt;=0,K542&gt;0),"Impact balistique","") &amp; IF(AND(H544&lt;0,vit_z&gt;=0),"Apogée","") &amp; IF(AND(Poussee=0,Q542&gt;0),"Fin de propulsion","") &amp; IF(AND(L544&gt;L_rampe,pos_xz&lt;=L_rampe),"Sortie de rampe","")</f>
        <v/>
      </c>
      <c r="Z543" s="423" t="str">
        <f aca="false">IF(ABS(t-T_para)&lt;pas/2,"Para","")</f>
        <v/>
      </c>
      <c r="AA543" s="424" t="str">
        <f aca="false">IF(ABS(t-T_satellite)&lt;pas/2,"Satellite","")</f>
        <v/>
      </c>
      <c r="AB543" s="412"/>
      <c r="AC543" s="420" t="e">
        <f aca="false">IF(ABS(t-ROUND(t,0))&lt;0.001,t,NA())</f>
        <v>#N/A</v>
      </c>
      <c r="AD543" s="425" t="e">
        <f aca="false">IF(ABS(t-ROUND(t,0))&lt;0.001,pos_x,NA())</f>
        <v>#N/A</v>
      </c>
      <c r="AE543" s="426" t="e">
        <f aca="false">IF(t&lt;T_para, pos_z, NA())</f>
        <v>#N/A</v>
      </c>
      <c r="AF543" s="412"/>
      <c r="AG543" s="418" t="n">
        <f aca="false">IF(AND(L542&lt;L_rampe,Poussee&lt;Poids*SIN(M542)),0,(-W542+Poussee)/m-Poids*SIN(M542)/m)</f>
        <v>3.0775968893316</v>
      </c>
      <c r="AH543" s="417" t="n">
        <f aca="false">IF(AND(L542&lt;L_rampe,Poussee&lt;Poids*SIN(M542)), g*SIN(M542), (-W542+Poussee)/m)</f>
        <v>-0.337388436579572</v>
      </c>
    </row>
    <row r="544" customFormat="false" ht="12" hidden="false" customHeight="false" outlineLevel="0" collapsed="false">
      <c r="A544" s="416" t="n">
        <f aca="false">IF(B543+0.01&lt;=T_ini+ROUNDUP(Temps_fin_propu,0), 0.01, IF(K543&gt;0, 0.1, 0.0001))</f>
        <v>0.1</v>
      </c>
      <c r="B544" s="417" t="n">
        <f aca="false">B543+pas</f>
        <v>17.9999999999999</v>
      </c>
      <c r="C544" s="401"/>
      <c r="D544" s="418" t="n">
        <f aca="false">IF(AND(L543&lt;L_rampe,Poussee&lt;Poids*SIN(M543)),0,(-W543+Poussee)/m*COS(M543)-U543/m*SIN(M543))</f>
        <v>-0.319619644220153</v>
      </c>
      <c r="E544" s="419" t="n">
        <f aca="false">IF(AND(L543&lt;L_rampe,Poussee&lt;Poids*SIN(M543)),0,(-W543+Poussee)/m*SIN(M543)+U543/m*COS(M543)-Poids/m)</f>
        <v>-9.67920686233549</v>
      </c>
      <c r="F544" s="417" t="n">
        <f aca="false">SQRT(acc_x^2+acc_z^2)</f>
        <v>9.68448254688157</v>
      </c>
      <c r="G544" s="418" t="n">
        <f aca="false">G543+acc_x*pas</f>
        <v>25.8683216657529</v>
      </c>
      <c r="H544" s="419" t="n">
        <f aca="false">H543+acc_z*pas</f>
        <v>-11.5667040327856</v>
      </c>
      <c r="I544" s="417" t="n">
        <f aca="false">SQRT(vit_x^2+vit_z^2)</f>
        <v>28.3365260394587</v>
      </c>
      <c r="J544" s="418" t="n">
        <f aca="false">J543+0.5*(vit_x+G543)*pas*(K543&gt;=0)</f>
        <v>548.487102349326</v>
      </c>
      <c r="K544" s="419" t="n">
        <f aca="false">K543+0.5*(vit_z+H543)*pas</f>
        <v>1461.39186567972</v>
      </c>
      <c r="L544" s="417" t="n">
        <f aca="false">SQRT(pos_x^2+pos_z^2)</f>
        <v>1560.93058350408</v>
      </c>
      <c r="M544" s="418" t="n">
        <f aca="false">IF(AND(L543&gt;L_rampe,G544&gt;0),ATAN2(G544,H544),$M$4)</f>
        <v>-0.420471157486261</v>
      </c>
      <c r="N544" s="417" t="n">
        <f aca="false">DEGREES(Beta)</f>
        <v>-24.0912227309433</v>
      </c>
      <c r="O544" s="401"/>
      <c r="P544" s="420" t="n">
        <f aca="false">MATCH(t-pas/2-T_ini,CdP_t)</f>
        <v>23</v>
      </c>
      <c r="Q544" s="417" t="n">
        <f aca="false">(INDEX(CdP,2,i_P+1)-INDEX(CdP,2,i_P+0))/(INDEX(CdP,1,i_P+1)-INDEX(CdP,1,i_P+0))*(t-pas/2-T_ini-INDEX(CdP,1,i_P+0))+INDEX(CdP,2,i_P+0)</f>
        <v>0</v>
      </c>
      <c r="R544" s="418" t="n">
        <f aca="false">Poussee/(g*ISP)</f>
        <v>0</v>
      </c>
      <c r="S544" s="419" t="n">
        <f aca="false">S543-Débit*pas</f>
        <v>7.37799999999998</v>
      </c>
      <c r="T544" s="417" t="n">
        <f aca="false">m*g</f>
        <v>72.3781799999998</v>
      </c>
      <c r="U544" s="421" t="n">
        <f aca="false">IF(pos_xz&lt;L_rampe,Poids*COS(Beta),0)</f>
        <v>0</v>
      </c>
      <c r="V544" s="418" t="n">
        <f aca="false">Rho_moyen*(20000-Alt_rampe-pos_z)/(20000+Alt_rampe+pos_z)</f>
        <v>1.05816971735459</v>
      </c>
      <c r="W544" s="417" t="n">
        <f aca="false">1/2*Rho*Sref*Cx*vit_xz^2</f>
        <v>2.6126681636134</v>
      </c>
      <c r="X544" s="401"/>
      <c r="Y544" s="422" t="str">
        <f aca="false">IF(AND(pos_z&lt;=0,K543&gt;0),"Impact balistique","") &amp; IF(AND(H545&lt;0,vit_z&gt;=0),"Apogée","") &amp; IF(AND(Poussee=0,Q543&gt;0),"Fin de propulsion","") &amp; IF(AND(L545&gt;L_rampe,pos_xz&lt;=L_rampe),"Sortie de rampe","")</f>
        <v/>
      </c>
      <c r="Z544" s="423" t="str">
        <f aca="false">IF(ABS(t-T_para)&lt;pas/2,"Para","")</f>
        <v/>
      </c>
      <c r="AA544" s="424" t="str">
        <f aca="false">IF(ABS(t-T_satellite)&lt;pas/2,"Satellite","")</f>
        <v/>
      </c>
      <c r="AB544" s="412"/>
      <c r="AC544" s="420" t="n">
        <f aca="false">IF(ABS(t-ROUND(t,0))&lt;0.001,t,NA())</f>
        <v>17.9999999999999</v>
      </c>
      <c r="AD544" s="425" t="n">
        <f aca="false">IF(ABS(t-ROUND(t,0))&lt;0.001,pos_x,NA())</f>
        <v>548.487102349326</v>
      </c>
      <c r="AE544" s="426" t="e">
        <f aca="false">IF(t&lt;T_para, pos_z, NA())</f>
        <v>#N/A</v>
      </c>
      <c r="AF544" s="412"/>
      <c r="AG544" s="418" t="n">
        <f aca="false">IF(AND(L543&lt;L_rampe,Poussee&lt;Poids*SIN(M543)),0,(-W543+Poussee)/m-Poids*SIN(M543)/m)</f>
        <v>3.37000738994729</v>
      </c>
      <c r="AH544" s="417" t="n">
        <f aca="false">IF(AND(L543&lt;L_rampe,Poussee&lt;Poids*SIN(M543)), g*SIN(M543), (-W543+Poussee)/m)</f>
        <v>-0.345345568715665</v>
      </c>
    </row>
    <row r="545" customFormat="false" ht="12" hidden="false" customHeight="false" outlineLevel="0" collapsed="false">
      <c r="A545" s="416" t="n">
        <f aca="false">IF(B544+0.01&lt;=T_ini+ROUNDUP(Temps_fin_propu,0), 0.01, IF(K544&gt;0, 0.1, 0.0001))</f>
        <v>0.1</v>
      </c>
      <c r="B545" s="417" t="n">
        <f aca="false">B544+pas</f>
        <v>18.0999999999999</v>
      </c>
      <c r="C545" s="401"/>
      <c r="D545" s="418" t="n">
        <f aca="false">IF(AND(L544&lt;L_rampe,Poussee&lt;Poids*SIN(M544)),0,(-W544+Poussee)/m*COS(M544)-U544/m*SIN(M544))</f>
        <v>-0.323271373802828</v>
      </c>
      <c r="E545" s="419" t="n">
        <f aca="false">IF(AND(L544&lt;L_rampe,Poussee&lt;Poids*SIN(M544)),0,(-W544+Poussee)/m*SIN(M544)+U544/m*COS(M544)-Poids/m)</f>
        <v>-9.66545315419517</v>
      </c>
      <c r="F545" s="417" t="n">
        <f aca="false">SQRT(acc_x^2+acc_z^2)</f>
        <v>9.67085772085712</v>
      </c>
      <c r="G545" s="418" t="n">
        <f aca="false">G544+acc_x*pas</f>
        <v>25.8359945283727</v>
      </c>
      <c r="H545" s="419" t="n">
        <f aca="false">H544+acc_z*pas</f>
        <v>-12.5332493482051</v>
      </c>
      <c r="I545" s="417" t="n">
        <f aca="false">SQRT(vit_x^2+vit_z^2)</f>
        <v>28.7155176253953</v>
      </c>
      <c r="J545" s="418" t="n">
        <f aca="false">J544+0.5*(vit_x+G544)*pas*(K544&gt;=0)</f>
        <v>551.072318159032</v>
      </c>
      <c r="K545" s="419" t="n">
        <f aca="false">K544+0.5*(vit_z+H544)*pas</f>
        <v>1460.18686801067</v>
      </c>
      <c r="L545" s="417" t="n">
        <f aca="false">SQRT(pos_x^2+pos_z^2)</f>
        <v>1560.7134231985</v>
      </c>
      <c r="M545" s="418" t="n">
        <f aca="false">IF(AND(L544&gt;L_rampe,G545&gt;0),ATAN2(G545,H545),$M$4)</f>
        <v>-0.451663244311675</v>
      </c>
      <c r="N545" s="417" t="n">
        <f aca="false">DEGREES(Beta)</f>
        <v>-25.8783976602452</v>
      </c>
      <c r="O545" s="401"/>
      <c r="P545" s="420" t="n">
        <f aca="false">MATCH(t-pas/2-T_ini,CdP_t)</f>
        <v>23</v>
      </c>
      <c r="Q545" s="417" t="n">
        <f aca="false">(INDEX(CdP,2,i_P+1)-INDEX(CdP,2,i_P+0))/(INDEX(CdP,1,i_P+1)-INDEX(CdP,1,i_P+0))*(t-pas/2-T_ini-INDEX(CdP,1,i_P+0))+INDEX(CdP,2,i_P+0)</f>
        <v>0</v>
      </c>
      <c r="R545" s="418" t="n">
        <f aca="false">Poussee/(g*ISP)</f>
        <v>0</v>
      </c>
      <c r="S545" s="419" t="n">
        <f aca="false">S544-Débit*pas</f>
        <v>7.37799999999998</v>
      </c>
      <c r="T545" s="417" t="n">
        <f aca="false">m*g</f>
        <v>72.3781799999998</v>
      </c>
      <c r="U545" s="421" t="n">
        <f aca="false">IF(pos_xz&lt;L_rampe,Poids*COS(Beta),0)</f>
        <v>0</v>
      </c>
      <c r="V545" s="418" t="n">
        <f aca="false">Rho_moyen*(20000-Alt_rampe-pos_z)/(20000+Alt_rampe+pos_z)</f>
        <v>1.05829791820411</v>
      </c>
      <c r="W545" s="417" t="n">
        <f aca="false">1/2*Rho*Sref*Cx*vit_xz^2</f>
        <v>2.68334771023894</v>
      </c>
      <c r="X545" s="401"/>
      <c r="Y545" s="422" t="str">
        <f aca="false">IF(AND(pos_z&lt;=0,K544&gt;0),"Impact balistique","") &amp; IF(AND(H546&lt;0,vit_z&gt;=0),"Apogée","") &amp; IF(AND(Poussee=0,Q544&gt;0),"Fin de propulsion","") &amp; IF(AND(L546&gt;L_rampe,pos_xz&lt;=L_rampe),"Sortie de rampe","")</f>
        <v/>
      </c>
      <c r="Z545" s="423" t="str">
        <f aca="false">IF(ABS(t-T_para)&lt;pas/2,"Para","")</f>
        <v/>
      </c>
      <c r="AA545" s="424" t="str">
        <f aca="false">IF(ABS(t-T_satellite)&lt;pas/2,"Satellite","")</f>
        <v/>
      </c>
      <c r="AB545" s="412"/>
      <c r="AC545" s="420" t="e">
        <f aca="false">IF(ABS(t-ROUND(t,0))&lt;0.001,t,NA())</f>
        <v>#N/A</v>
      </c>
      <c r="AD545" s="425" t="e">
        <f aca="false">IF(ABS(t-ROUND(t,0))&lt;0.001,pos_x,NA())</f>
        <v>#N/A</v>
      </c>
      <c r="AE545" s="426" t="e">
        <f aca="false">IF(t&lt;T_para, pos_z, NA())</f>
        <v>#N/A</v>
      </c>
      <c r="AF545" s="412"/>
      <c r="AG545" s="418" t="n">
        <f aca="false">IF(AND(L544&lt;L_rampe,Poussee&lt;Poids*SIN(M544)),0,(-W544+Poussee)/m-Poids*SIN(M544)/m)</f>
        <v>3.65023390483486</v>
      </c>
      <c r="AH545" s="417" t="n">
        <f aca="false">IF(AND(L544&lt;L_rampe,Poussee&lt;Poids*SIN(M544)), g*SIN(M544), (-W544+Poussee)/m)</f>
        <v>-0.354116042777637</v>
      </c>
    </row>
    <row r="546" customFormat="false" ht="12" hidden="false" customHeight="false" outlineLevel="0" collapsed="false">
      <c r="A546" s="416" t="n">
        <f aca="false">IF(B545+0.01&lt;=T_ini+ROUNDUP(Temps_fin_propu,0), 0.01, IF(K545&gt;0, 0.1, 0.0001))</f>
        <v>0.1</v>
      </c>
      <c r="B546" s="417" t="n">
        <f aca="false">B545+pas</f>
        <v>18.1999999999999</v>
      </c>
      <c r="C546" s="401"/>
      <c r="D546" s="418" t="n">
        <f aca="false">IF(AND(L545&lt;L_rampe,Poussee&lt;Poids*SIN(M545)),0,(-W545+Poussee)/m*COS(M545)-U545/m*SIN(M545))</f>
        <v>-0.327225271157598</v>
      </c>
      <c r="E546" s="419" t="n">
        <f aca="false">IF(AND(L545&lt;L_rampe,Poussee&lt;Poids*SIN(M545)),0,(-W545+Poussee)/m*SIN(M545)+U545/m*COS(M545)-Poids/m)</f>
        <v>-9.65126038144387</v>
      </c>
      <c r="F546" s="417" t="n">
        <f aca="false">SQRT(acc_x^2+acc_z^2)</f>
        <v>9.65680606248837</v>
      </c>
      <c r="G546" s="418" t="n">
        <f aca="false">G545+acc_x*pas</f>
        <v>25.8032720012569</v>
      </c>
      <c r="H546" s="419" t="n">
        <f aca="false">H545+acc_z*pas</f>
        <v>-13.4983753863495</v>
      </c>
      <c r="I546" s="417" t="n">
        <f aca="false">SQRT(vit_x^2+vit_z^2)</f>
        <v>29.1206968330371</v>
      </c>
      <c r="J546" s="418" t="n">
        <f aca="false">J545+0.5*(vit_x+G545)*pas*(K545&gt;=0)</f>
        <v>553.654281485514</v>
      </c>
      <c r="K546" s="419" t="n">
        <f aca="false">K545+0.5*(vit_z+H545)*pas</f>
        <v>1458.88528677394</v>
      </c>
      <c r="L546" s="417" t="n">
        <f aca="false">SQRT(pos_x^2+pos_z^2)</f>
        <v>1560.40999207667</v>
      </c>
      <c r="M546" s="418" t="n">
        <f aca="false">IF(AND(L545&gt;L_rampe,G546&gt;0),ATAN2(G546,H546),$M$4)</f>
        <v>-0.48197717796011</v>
      </c>
      <c r="N546" s="417" t="n">
        <f aca="false">DEGREES(Beta)</f>
        <v>-27.6152581187401</v>
      </c>
      <c r="O546" s="401"/>
      <c r="P546" s="420" t="n">
        <f aca="false">MATCH(t-pas/2-T_ini,CdP_t)</f>
        <v>23</v>
      </c>
      <c r="Q546" s="417" t="n">
        <f aca="false">(INDEX(CdP,2,i_P+1)-INDEX(CdP,2,i_P+0))/(INDEX(CdP,1,i_P+1)-INDEX(CdP,1,i_P+0))*(t-pas/2-T_ini-INDEX(CdP,1,i_P+0))+INDEX(CdP,2,i_P+0)</f>
        <v>0</v>
      </c>
      <c r="R546" s="418" t="n">
        <f aca="false">Poussee/(g*ISP)</f>
        <v>0</v>
      </c>
      <c r="S546" s="419" t="n">
        <f aca="false">S545-Débit*pas</f>
        <v>7.37799999999998</v>
      </c>
      <c r="T546" s="417" t="n">
        <f aca="false">m*g</f>
        <v>72.3781799999998</v>
      </c>
      <c r="U546" s="421" t="n">
        <f aca="false">IF(pos_xz&lt;L_rampe,Poids*COS(Beta),0)</f>
        <v>0</v>
      </c>
      <c r="V546" s="418" t="n">
        <f aca="false">Rho_moyen*(20000-Alt_rampe-pos_z)/(20000+Alt_rampe+pos_z)</f>
        <v>1.0584364108466</v>
      </c>
      <c r="W546" s="417" t="n">
        <f aca="false">1/2*Rho*Sref*Cx*vit_xz^2</f>
        <v>2.75996776464214</v>
      </c>
      <c r="X546" s="401"/>
      <c r="Y546" s="422" t="str">
        <f aca="false">IF(AND(pos_z&lt;=0,K545&gt;0),"Impact balistique","") &amp; IF(AND(H547&lt;0,vit_z&gt;=0),"Apogée","") &amp; IF(AND(Poussee=0,Q545&gt;0),"Fin de propulsion","") &amp; IF(AND(L547&gt;L_rampe,pos_xz&lt;=L_rampe),"Sortie de rampe","")</f>
        <v/>
      </c>
      <c r="Z546" s="423" t="str">
        <f aca="false">IF(ABS(t-T_para)&lt;pas/2,"Para","")</f>
        <v/>
      </c>
      <c r="AA546" s="424" t="str">
        <f aca="false">IF(ABS(t-T_satellite)&lt;pas/2,"Satellite","")</f>
        <v/>
      </c>
      <c r="AB546" s="412"/>
      <c r="AC546" s="420" t="e">
        <f aca="false">IF(ABS(t-ROUND(t,0))&lt;0.001,t,NA())</f>
        <v>#N/A</v>
      </c>
      <c r="AD546" s="425" t="e">
        <f aca="false">IF(ABS(t-ROUND(t,0))&lt;0.001,pos_x,NA())</f>
        <v>#N/A</v>
      </c>
      <c r="AE546" s="426" t="e">
        <f aca="false">IF(t&lt;T_para, pos_z, NA())</f>
        <v>#N/A</v>
      </c>
      <c r="AF546" s="412"/>
      <c r="AG546" s="418" t="n">
        <f aca="false">IF(AND(L545&lt;L_rampe,Poussee&lt;Poids*SIN(M545)),0,(-W545+Poussee)/m-Poids*SIN(M545)/m)</f>
        <v>3.91800224664651</v>
      </c>
      <c r="AH546" s="417" t="n">
        <f aca="false">IF(AND(L545&lt;L_rampe,Poussee&lt;Poids*SIN(M545)), g*SIN(M545), (-W545+Poussee)/m)</f>
        <v>-0.363695813260903</v>
      </c>
    </row>
    <row r="547" customFormat="false" ht="12" hidden="false" customHeight="false" outlineLevel="0" collapsed="false">
      <c r="A547" s="416" t="n">
        <f aca="false">IF(B546+0.01&lt;=T_ini+ROUNDUP(Temps_fin_propu,0), 0.01, IF(K546&gt;0, 0.1, 0.0001))</f>
        <v>0.1</v>
      </c>
      <c r="B547" s="417" t="n">
        <f aca="false">B546+pas</f>
        <v>18.2999999999999</v>
      </c>
      <c r="C547" s="401"/>
      <c r="D547" s="418" t="n">
        <f aca="false">IF(AND(L546&lt;L_rampe,Poussee&lt;Poids*SIN(M546)),0,(-W546+Poussee)/m*COS(M546)-U546/m*SIN(M546))</f>
        <v>-0.331465533501751</v>
      </c>
      <c r="E547" s="419" t="n">
        <f aca="false">IF(AND(L546&lt;L_rampe,Poussee&lt;Poids*SIN(M546)),0,(-W546+Poussee)/m*SIN(M546)+U546/m*COS(M546)-Poids/m)</f>
        <v>-9.63660159538584</v>
      </c>
      <c r="F547" s="417" t="n">
        <f aca="false">SQRT(acc_x^2+acc_z^2)</f>
        <v>9.64230054022858</v>
      </c>
      <c r="G547" s="418" t="n">
        <f aca="false">G546+acc_x*pas</f>
        <v>25.7701254479067</v>
      </c>
      <c r="H547" s="419" t="n">
        <f aca="false">H546+acc_z*pas</f>
        <v>-14.4620355458881</v>
      </c>
      <c r="I547" s="417" t="n">
        <f aca="false">SQRT(vit_x^2+vit_z^2)</f>
        <v>29.550800965987</v>
      </c>
      <c r="J547" s="418" t="n">
        <f aca="false">J546+0.5*(vit_x+G546)*pas*(K546&gt;=0)</f>
        <v>556.232951357972</v>
      </c>
      <c r="K547" s="419" t="n">
        <f aca="false">K546+0.5*(vit_z+H546)*pas</f>
        <v>1457.48726622733</v>
      </c>
      <c r="L547" s="417" t="n">
        <f aca="false">SQRT(pos_x^2+pos_z^2)</f>
        <v>1560.02058556649</v>
      </c>
      <c r="M547" s="418" t="n">
        <f aca="false">IF(AND(L546&gt;L_rampe,G547&gt;0),ATAN2(G547,H547),$M$4)</f>
        <v>-0.511396686760928</v>
      </c>
      <c r="N547" s="417" t="n">
        <f aca="false">DEGREES(Beta)</f>
        <v>-29.300871808375</v>
      </c>
      <c r="O547" s="401"/>
      <c r="P547" s="420" t="n">
        <f aca="false">MATCH(t-pas/2-T_ini,CdP_t)</f>
        <v>23</v>
      </c>
      <c r="Q547" s="417" t="n">
        <f aca="false">(INDEX(CdP,2,i_P+1)-INDEX(CdP,2,i_P+0))/(INDEX(CdP,1,i_P+1)-INDEX(CdP,1,i_P+0))*(t-pas/2-T_ini-INDEX(CdP,1,i_P+0))+INDEX(CdP,2,i_P+0)</f>
        <v>0</v>
      </c>
      <c r="R547" s="418" t="n">
        <f aca="false">Poussee/(g*ISP)</f>
        <v>0</v>
      </c>
      <c r="S547" s="419" t="n">
        <f aca="false">S546-Débit*pas</f>
        <v>7.37799999999998</v>
      </c>
      <c r="T547" s="417" t="n">
        <f aca="false">m*g</f>
        <v>72.3781799999998</v>
      </c>
      <c r="U547" s="421" t="n">
        <f aca="false">IF(pos_xz&lt;L_rampe,Poids*COS(Beta),0)</f>
        <v>0</v>
      </c>
      <c r="V547" s="418" t="n">
        <f aca="false">Rho_moyen*(20000-Alt_rampe-pos_z)/(20000+Alt_rampe+pos_z)</f>
        <v>1.05858518367259</v>
      </c>
      <c r="W547" s="417" t="n">
        <f aca="false">1/2*Rho*Sref*Cx*vit_xz^2</f>
        <v>2.84249714354924</v>
      </c>
      <c r="X547" s="401"/>
      <c r="Y547" s="422" t="str">
        <f aca="false">IF(AND(pos_z&lt;=0,K546&gt;0),"Impact balistique","") &amp; IF(AND(H548&lt;0,vit_z&gt;=0),"Apogée","") &amp; IF(AND(Poussee=0,Q546&gt;0),"Fin de propulsion","") &amp; IF(AND(L548&gt;L_rampe,pos_xz&lt;=L_rampe),"Sortie de rampe","")</f>
        <v/>
      </c>
      <c r="Z547" s="423" t="str">
        <f aca="false">IF(ABS(t-T_para)&lt;pas/2,"Para","")</f>
        <v/>
      </c>
      <c r="AA547" s="424" t="str">
        <f aca="false">IF(ABS(t-T_satellite)&lt;pas/2,"Satellite","")</f>
        <v/>
      </c>
      <c r="AB547" s="412"/>
      <c r="AC547" s="420" t="e">
        <f aca="false">IF(ABS(t-ROUND(t,0))&lt;0.001,t,NA())</f>
        <v>#N/A</v>
      </c>
      <c r="AD547" s="425" t="e">
        <f aca="false">IF(ABS(t-ROUND(t,0))&lt;0.001,pos_x,NA())</f>
        <v>#N/A</v>
      </c>
      <c r="AE547" s="426" t="e">
        <f aca="false">IF(t&lt;T_para, pos_z, NA())</f>
        <v>#N/A</v>
      </c>
      <c r="AF547" s="412"/>
      <c r="AG547" s="418" t="n">
        <f aca="false">IF(AND(L546&lt;L_rampe,Poussee&lt;Poids*SIN(M546)),0,(-W546+Poussee)/m-Poids*SIN(M546)/m)</f>
        <v>4.17316835376535</v>
      </c>
      <c r="AH547" s="417" t="n">
        <f aca="false">IF(AND(L546&lt;L_rampe,Poussee&lt;Poids*SIN(M546)), g*SIN(M546), (-W546+Poussee)/m)</f>
        <v>-0.374080748799423</v>
      </c>
    </row>
    <row r="548" customFormat="false" ht="12" hidden="false" customHeight="false" outlineLevel="0" collapsed="false">
      <c r="A548" s="416" t="n">
        <f aca="false">IF(B547+0.01&lt;=T_ini+ROUNDUP(Temps_fin_propu,0), 0.01, IF(K547&gt;0, 0.1, 0.0001))</f>
        <v>0.1</v>
      </c>
      <c r="B548" s="417" t="n">
        <f aca="false">B547+pas</f>
        <v>18.4</v>
      </c>
      <c r="C548" s="401"/>
      <c r="D548" s="418" t="n">
        <f aca="false">IF(AND(L547&lt;L_rampe,Poussee&lt;Poids*SIN(M547)),0,(-W547+Poussee)/m*COS(M547)-U547/m*SIN(M547))</f>
        <v>-0.335976314609173</v>
      </c>
      <c r="E548" s="419" t="n">
        <f aca="false">IF(AND(L547&lt;L_rampe,Poussee&lt;Poids*SIN(M547)),0,(-W547+Poussee)/m*SIN(M547)+U547/m*COS(M547)-Poids/m)</f>
        <v>-9.62145216330916</v>
      </c>
      <c r="F548" s="417" t="n">
        <f aca="false">SQRT(acc_x^2+acc_z^2)</f>
        <v>9.62731643890575</v>
      </c>
      <c r="G548" s="418" t="n">
        <f aca="false">G547+acc_x*pas</f>
        <v>25.7365278164458</v>
      </c>
      <c r="H548" s="419" t="n">
        <f aca="false">H547+acc_z*pas</f>
        <v>-15.424180762219</v>
      </c>
      <c r="I548" s="417" t="n">
        <f aca="false">SQRT(vit_x^2+vit_z^2)</f>
        <v>30.0045699224684</v>
      </c>
      <c r="J548" s="418" t="n">
        <f aca="false">J547+0.5*(vit_x+G547)*pas*(K547&gt;=0)</f>
        <v>558.808284021189</v>
      </c>
      <c r="K548" s="419" t="n">
        <f aca="false">K547+0.5*(vit_z+H547)*pas</f>
        <v>1455.99295541192</v>
      </c>
      <c r="L548" s="417" t="n">
        <f aca="false">SQRT(pos_x^2+pos_z^2)</f>
        <v>1559.54550574834</v>
      </c>
      <c r="M548" s="418" t="n">
        <f aca="false">IF(AND(L547&gt;L_rampe,G548&gt;0),ATAN2(G548,H548),$M$4)</f>
        <v>-0.539912629711197</v>
      </c>
      <c r="N548" s="417" t="n">
        <f aca="false">DEGREES(Beta)</f>
        <v>-30.9347149882612</v>
      </c>
      <c r="O548" s="401"/>
      <c r="P548" s="420" t="n">
        <f aca="false">MATCH(t-pas/2-T_ini,CdP_t)</f>
        <v>23</v>
      </c>
      <c r="Q548" s="417" t="n">
        <f aca="false">(INDEX(CdP,2,i_P+1)-INDEX(CdP,2,i_P+0))/(INDEX(CdP,1,i_P+1)-INDEX(CdP,1,i_P+0))*(t-pas/2-T_ini-INDEX(CdP,1,i_P+0))+INDEX(CdP,2,i_P+0)</f>
        <v>0</v>
      </c>
      <c r="R548" s="418" t="n">
        <f aca="false">Poussee/(g*ISP)</f>
        <v>0</v>
      </c>
      <c r="S548" s="419" t="n">
        <f aca="false">S547-Débit*pas</f>
        <v>7.37799999999998</v>
      </c>
      <c r="T548" s="417" t="n">
        <f aca="false">m*g</f>
        <v>72.3781799999998</v>
      </c>
      <c r="U548" s="421" t="n">
        <f aca="false">IF(pos_xz&lt;L_rampe,Poids*COS(Beta),0)</f>
        <v>0</v>
      </c>
      <c r="V548" s="418" t="n">
        <f aca="false">Rho_moyen*(20000-Alt_rampe-pos_z)/(20000+Alt_rampe+pos_z)</f>
        <v>1.05874422483396</v>
      </c>
      <c r="W548" s="417" t="n">
        <f aca="false">1/2*Rho*Sref*Cx*vit_xz^2</f>
        <v>2.9309038994664</v>
      </c>
      <c r="X548" s="401"/>
      <c r="Y548" s="422" t="str">
        <f aca="false">IF(AND(pos_z&lt;=0,K547&gt;0),"Impact balistique","") &amp; IF(AND(H549&lt;0,vit_z&gt;=0),"Apogée","") &amp; IF(AND(Poussee=0,Q547&gt;0),"Fin de propulsion","") &amp; IF(AND(L549&gt;L_rampe,pos_xz&lt;=L_rampe),"Sortie de rampe","")</f>
        <v/>
      </c>
      <c r="Z548" s="423" t="str">
        <f aca="false">IF(ABS(t-T_para)&lt;pas/2,"Para","")</f>
        <v/>
      </c>
      <c r="AA548" s="424" t="str">
        <f aca="false">IF(ABS(t-T_satellite)&lt;pas/2,"Satellite","")</f>
        <v/>
      </c>
      <c r="AB548" s="412"/>
      <c r="AC548" s="420" t="e">
        <f aca="false">IF(ABS(t-ROUND(t,0))&lt;0.001,t,NA())</f>
        <v>#N/A</v>
      </c>
      <c r="AD548" s="425" t="e">
        <f aca="false">IF(ABS(t-ROUND(t,0))&lt;0.001,pos_x,NA())</f>
        <v>#N/A</v>
      </c>
      <c r="AE548" s="426" t="e">
        <f aca="false">IF(t&lt;T_para, pos_z, NA())</f>
        <v>#N/A</v>
      </c>
      <c r="AF548" s="412"/>
      <c r="AG548" s="418" t="n">
        <f aca="false">IF(AND(L547&lt;L_rampe,Poussee&lt;Poids*SIN(M547)),0,(-W547+Poussee)/m-Poids*SIN(M547)/m)</f>
        <v>4.41570540047379</v>
      </c>
      <c r="AH548" s="417" t="n">
        <f aca="false">IF(AND(L547&lt;L_rampe,Poussee&lt;Poids*SIN(M547)), g*SIN(M547), (-W547+Poussee)/m)</f>
        <v>-0.38526662287195</v>
      </c>
    </row>
    <row r="549" customFormat="false" ht="12" hidden="false" customHeight="false" outlineLevel="0" collapsed="false">
      <c r="A549" s="416" t="n">
        <f aca="false">IF(B548+0.01&lt;=T_ini+ROUNDUP(Temps_fin_propu,0), 0.01, IF(K548&gt;0, 0.1, 0.0001))</f>
        <v>0.1</v>
      </c>
      <c r="B549" s="417" t="n">
        <f aca="false">B548+pas</f>
        <v>18.5</v>
      </c>
      <c r="C549" s="401"/>
      <c r="D549" s="418" t="n">
        <f aca="false">IF(AND(L548&lt;L_rampe,Poussee&lt;Poids*SIN(M548)),0,(-W548+Poussee)/m*COS(M548)-U548/m*SIN(M548))</f>
        <v>-0.340741849558045</v>
      </c>
      <c r="E549" s="419" t="n">
        <f aca="false">IF(AND(L548&lt;L_rampe,Poussee&lt;Poids*SIN(M548)),0,(-W548+Poussee)/m*SIN(M548)+U548/m*COS(M548)-Poids/m)</f>
        <v>-9.60578970720838</v>
      </c>
      <c r="F549" s="417" t="n">
        <f aca="false">SQRT(acc_x^2+acc_z^2)</f>
        <v>9.61183129830891</v>
      </c>
      <c r="G549" s="418" t="n">
        <f aca="false">G548+acc_x*pas</f>
        <v>25.70245363149</v>
      </c>
      <c r="H549" s="419" t="n">
        <f aca="false">H548+acc_z*pas</f>
        <v>-16.3847597329398</v>
      </c>
      <c r="I549" s="417" t="n">
        <f aca="false">SQRT(vit_x^2+vit_z^2)</f>
        <v>30.4807558007517</v>
      </c>
      <c r="J549" s="418" t="n">
        <f aca="false">J548+0.5*(vit_x+G548)*pas*(K548&gt;=0)</f>
        <v>561.380233093586</v>
      </c>
      <c r="K549" s="419" t="n">
        <f aca="false">K548+0.5*(vit_z+H548)*pas</f>
        <v>1454.40250838716</v>
      </c>
      <c r="L549" s="417" t="n">
        <f aca="false">SQRT(pos_x^2+pos_z^2)</f>
        <v>1558.98506167028</v>
      </c>
      <c r="M549" s="418" t="n">
        <f aca="false">IF(AND(L548&gt;L_rampe,G549&gt;0),ATAN2(G549,H549),$M$4)</f>
        <v>-0.567522286144872</v>
      </c>
      <c r="N549" s="417" t="n">
        <f aca="false">DEGREES(Beta)</f>
        <v>-32.516631775717</v>
      </c>
      <c r="O549" s="401"/>
      <c r="P549" s="420" t="n">
        <f aca="false">MATCH(t-pas/2-T_ini,CdP_t)</f>
        <v>23</v>
      </c>
      <c r="Q549" s="417" t="n">
        <f aca="false">(INDEX(CdP,2,i_P+1)-INDEX(CdP,2,i_P+0))/(INDEX(CdP,1,i_P+1)-INDEX(CdP,1,i_P+0))*(t-pas/2-T_ini-INDEX(CdP,1,i_P+0))+INDEX(CdP,2,i_P+0)</f>
        <v>0</v>
      </c>
      <c r="R549" s="418" t="n">
        <f aca="false">Poussee/(g*ISP)</f>
        <v>0</v>
      </c>
      <c r="S549" s="419" t="n">
        <f aca="false">S548-Débit*pas</f>
        <v>7.37799999999998</v>
      </c>
      <c r="T549" s="417" t="n">
        <f aca="false">m*g</f>
        <v>72.3781799999998</v>
      </c>
      <c r="U549" s="421" t="n">
        <f aca="false">IF(pos_xz&lt;L_rampe,Poids*COS(Beta),0)</f>
        <v>0</v>
      </c>
      <c r="V549" s="418" t="n">
        <f aca="false">Rho_moyen*(20000-Alt_rampe-pos_z)/(20000+Alt_rampe+pos_z)</f>
        <v>1.05891352221738</v>
      </c>
      <c r="W549" s="417" t="n">
        <f aca="false">1/2*Rho*Sref*Cx*vit_xz^2</f>
        <v>3.02515526475848</v>
      </c>
      <c r="X549" s="401"/>
      <c r="Y549" s="422" t="str">
        <f aca="false">IF(AND(pos_z&lt;=0,K548&gt;0),"Impact balistique","") &amp; IF(AND(H550&lt;0,vit_z&gt;=0),"Apogée","") &amp; IF(AND(Poussee=0,Q548&gt;0),"Fin de propulsion","") &amp; IF(AND(L550&gt;L_rampe,pos_xz&lt;=L_rampe),"Sortie de rampe","")</f>
        <v/>
      </c>
      <c r="Z549" s="423" t="str">
        <f aca="false">IF(ABS(t-T_para)&lt;pas/2,"Para","")</f>
        <v/>
      </c>
      <c r="AA549" s="424" t="str">
        <f aca="false">IF(ABS(t-T_satellite)&lt;pas/2,"Satellite","")</f>
        <v/>
      </c>
      <c r="AB549" s="412"/>
      <c r="AC549" s="420" t="e">
        <f aca="false">IF(ABS(t-ROUND(t,0))&lt;0.001,t,NA())</f>
        <v>#N/A</v>
      </c>
      <c r="AD549" s="425" t="e">
        <f aca="false">IF(ABS(t-ROUND(t,0))&lt;0.001,pos_x,NA())</f>
        <v>#N/A</v>
      </c>
      <c r="AE549" s="426" t="e">
        <f aca="false">IF(t&lt;T_para, pos_z, NA())</f>
        <v>#N/A</v>
      </c>
      <c r="AF549" s="412"/>
      <c r="AG549" s="418" t="n">
        <f aca="false">IF(AND(L548&lt;L_rampe,Poussee&lt;Poids*SIN(M548)),0,(-W548+Poussee)/m-Poids*SIN(M548)/m)</f>
        <v>4.64568980920755</v>
      </c>
      <c r="AH549" s="417" t="n">
        <f aca="false">IF(AND(L548&lt;L_rampe,Poussee&lt;Poids*SIN(M548)), g*SIN(M548), (-W548+Poussee)/m)</f>
        <v>-0.397249105376309</v>
      </c>
    </row>
    <row r="550" customFormat="false" ht="12" hidden="false" customHeight="false" outlineLevel="0" collapsed="false">
      <c r="A550" s="416" t="n">
        <f aca="false">IF(B549+0.01&lt;=T_ini+ROUNDUP(Temps_fin_propu,0), 0.01, IF(K549&gt;0, 0.1, 0.0001))</f>
        <v>0.1</v>
      </c>
      <c r="B550" s="417" t="n">
        <f aca="false">B549+pas</f>
        <v>18.6</v>
      </c>
      <c r="C550" s="401"/>
      <c r="D550" s="418" t="n">
        <f aca="false">IF(AND(L549&lt;L_rampe,Poussee&lt;Poids*SIN(M549)),0,(-W549+Poussee)/m*COS(M549)-U549/m*SIN(M549))</f>
        <v>-0.345746562876262</v>
      </c>
      <c r="E550" s="419" t="n">
        <f aca="false">IF(AND(L549&lt;L_rampe,Poussee&lt;Poids*SIN(M549)),0,(-W549+Poussee)/m*SIN(M549)+U549/m*COS(M549)-Poids/m)</f>
        <v>-9.58959402466243</v>
      </c>
      <c r="F550" s="417" t="n">
        <f aca="false">SQRT(acc_x^2+acc_z^2)</f>
        <v>9.59582483393596</v>
      </c>
      <c r="G550" s="418" t="n">
        <f aca="false">G549+acc_x*pas</f>
        <v>25.6678789752024</v>
      </c>
      <c r="H550" s="419" t="n">
        <f aca="false">H549+acc_z*pas</f>
        <v>-17.3437191354061</v>
      </c>
      <c r="I550" s="417" t="n">
        <f aca="false">SQRT(vit_x^2+vit_z^2)</f>
        <v>30.9781310690863</v>
      </c>
      <c r="J550" s="418" t="n">
        <f aca="false">J549+0.5*(vit_x+G549)*pas*(K549&gt;=0)</f>
        <v>563.948749723921</v>
      </c>
      <c r="K550" s="419" t="n">
        <f aca="false">K549+0.5*(vit_z+H549)*pas</f>
        <v>1452.71608444375</v>
      </c>
      <c r="L550" s="417" t="n">
        <f aca="false">SQRT(pos_x^2+pos_z^2)</f>
        <v>1558.33956964352</v>
      </c>
      <c r="M550" s="418" t="n">
        <f aca="false">IF(AND(L549&gt;L_rampe,G550&gt;0),ATAN2(G550,H550),$M$4)</f>
        <v>-0.594228619988414</v>
      </c>
      <c r="N550" s="417" t="n">
        <f aca="false">DEGREES(Beta)</f>
        <v>-34.0467919912194</v>
      </c>
      <c r="O550" s="401"/>
      <c r="P550" s="420" t="n">
        <f aca="false">MATCH(t-pas/2-T_ini,CdP_t)</f>
        <v>23</v>
      </c>
      <c r="Q550" s="417" t="n">
        <f aca="false">(INDEX(CdP,2,i_P+1)-INDEX(CdP,2,i_P+0))/(INDEX(CdP,1,i_P+1)-INDEX(CdP,1,i_P+0))*(t-pas/2-T_ini-INDEX(CdP,1,i_P+0))+INDEX(CdP,2,i_P+0)</f>
        <v>0</v>
      </c>
      <c r="R550" s="418" t="n">
        <f aca="false">Poussee/(g*ISP)</f>
        <v>0</v>
      </c>
      <c r="S550" s="419" t="n">
        <f aca="false">S549-Débit*pas</f>
        <v>7.37799999999998</v>
      </c>
      <c r="T550" s="417" t="n">
        <f aca="false">m*g</f>
        <v>72.3781799999998</v>
      </c>
      <c r="U550" s="421" t="n">
        <f aca="false">IF(pos_xz&lt;L_rampe,Poids*COS(Beta),0)</f>
        <v>0</v>
      </c>
      <c r="V550" s="418" t="n">
        <f aca="false">Rho_moyen*(20000-Alt_rampe-pos_z)/(20000+Alt_rampe+pos_z)</f>
        <v>1.05909306342016</v>
      </c>
      <c r="W550" s="417" t="n">
        <f aca="false">1/2*Rho*Sref*Cx*vit_xz^2</f>
        <v>3.12521760176302</v>
      </c>
      <c r="X550" s="401"/>
      <c r="Y550" s="422" t="str">
        <f aca="false">IF(AND(pos_z&lt;=0,K549&gt;0),"Impact balistique","") &amp; IF(AND(H551&lt;0,vit_z&gt;=0),"Apogée","") &amp; IF(AND(Poussee=0,Q549&gt;0),"Fin de propulsion","") &amp; IF(AND(L551&gt;L_rampe,pos_xz&lt;=L_rampe),"Sortie de rampe","")</f>
        <v/>
      </c>
      <c r="Z550" s="423" t="str">
        <f aca="false">IF(ABS(t-T_para)&lt;pas/2,"Para","")</f>
        <v/>
      </c>
      <c r="AA550" s="424" t="str">
        <f aca="false">IF(ABS(t-T_satellite)&lt;pas/2,"Satellite","")</f>
        <v/>
      </c>
      <c r="AB550" s="412"/>
      <c r="AC550" s="420" t="e">
        <f aca="false">IF(ABS(t-ROUND(t,0))&lt;0.001,t,NA())</f>
        <v>#N/A</v>
      </c>
      <c r="AD550" s="425" t="e">
        <f aca="false">IF(ABS(t-ROUND(t,0))&lt;0.001,pos_x,NA())</f>
        <v>#N/A</v>
      </c>
      <c r="AE550" s="426" t="e">
        <f aca="false">IF(t&lt;T_para, pos_z, NA())</f>
        <v>#N/A</v>
      </c>
      <c r="AF550" s="412"/>
      <c r="AG550" s="418" t="n">
        <f aca="false">IF(AND(L549&lt;L_rampe,Poussee&lt;Poids*SIN(M549)),0,(-W549+Poussee)/m-Poids*SIN(M549)/m)</f>
        <v>4.86328685544927</v>
      </c>
      <c r="AH550" s="417" t="n">
        <f aca="false">IF(AND(L549&lt;L_rampe,Poussee&lt;Poids*SIN(M549)), g*SIN(M549), (-W549+Poussee)/m)</f>
        <v>-0.410023755049944</v>
      </c>
    </row>
    <row r="551" customFormat="false" ht="12" hidden="false" customHeight="false" outlineLevel="0" collapsed="false">
      <c r="A551" s="416" t="n">
        <f aca="false">IF(B550+0.01&lt;=T_ini+ROUNDUP(Temps_fin_propu,0), 0.01, IF(K550&gt;0, 0.1, 0.0001))</f>
        <v>0.1</v>
      </c>
      <c r="B551" s="417" t="n">
        <f aca="false">B550+pas</f>
        <v>18.7</v>
      </c>
      <c r="C551" s="401"/>
      <c r="D551" s="418" t="n">
        <f aca="false">IF(AND(L550&lt;L_rampe,Poussee&lt;Poids*SIN(M550)),0,(-W550+Poussee)/m*COS(M550)-U550/m*SIN(M550))</f>
        <v>-0.350975160042475</v>
      </c>
      <c r="E551" s="419" t="n">
        <f aca="false">IF(AND(L550&lt;L_rampe,Poussee&lt;Poids*SIN(M550)),0,(-W550+Poussee)/m*SIN(M550)+U550/m*COS(M550)-Poids/m)</f>
        <v>-9.57284699623363</v>
      </c>
      <c r="F551" s="417" t="n">
        <f aca="false">SQRT(acc_x^2+acc_z^2)</f>
        <v>9.57927884426934</v>
      </c>
      <c r="G551" s="418" t="n">
        <f aca="false">G550+acc_x*pas</f>
        <v>25.6327814591981</v>
      </c>
      <c r="H551" s="419" t="n">
        <f aca="false">H550+acc_z*pas</f>
        <v>-18.3010038350294</v>
      </c>
      <c r="I551" s="417" t="n">
        <f aca="false">SQRT(vit_x^2+vit_z^2)</f>
        <v>31.4954953398859</v>
      </c>
      <c r="J551" s="418" t="n">
        <f aca="false">J550+0.5*(vit_x+G550)*pas*(K550&gt;=0)</f>
        <v>566.513782745641</v>
      </c>
      <c r="K551" s="419" t="n">
        <f aca="false">K550+0.5*(vit_z+H550)*pas</f>
        <v>1450.93384829522</v>
      </c>
      <c r="L551" s="417" t="n">
        <f aca="false">SQRT(pos_x^2+pos_z^2)</f>
        <v>1557.6093535189</v>
      </c>
      <c r="M551" s="418" t="n">
        <f aca="false">IF(AND(L550&gt;L_rampe,G551&gt;0),ATAN2(G551,H551),$M$4)</f>
        <v>-0.620039544273011</v>
      </c>
      <c r="N551" s="417" t="n">
        <f aca="false">DEGREES(Beta)</f>
        <v>-35.5256490180585</v>
      </c>
      <c r="O551" s="401"/>
      <c r="P551" s="420" t="n">
        <f aca="false">MATCH(t-pas/2-T_ini,CdP_t)</f>
        <v>23</v>
      </c>
      <c r="Q551" s="417" t="n">
        <f aca="false">(INDEX(CdP,2,i_P+1)-INDEX(CdP,2,i_P+0))/(INDEX(CdP,1,i_P+1)-INDEX(CdP,1,i_P+0))*(t-pas/2-T_ini-INDEX(CdP,1,i_P+0))+INDEX(CdP,2,i_P+0)</f>
        <v>0</v>
      </c>
      <c r="R551" s="418" t="n">
        <f aca="false">Poussee/(g*ISP)</f>
        <v>0</v>
      </c>
      <c r="S551" s="419" t="n">
        <f aca="false">S550-Débit*pas</f>
        <v>7.37799999999998</v>
      </c>
      <c r="T551" s="417" t="n">
        <f aca="false">m*g</f>
        <v>72.3781799999998</v>
      </c>
      <c r="U551" s="421" t="n">
        <f aca="false">IF(pos_xz&lt;L_rampe,Poids*COS(Beta),0)</f>
        <v>0</v>
      </c>
      <c r="V551" s="418" t="n">
        <f aca="false">Rho_moyen*(20000-Alt_rampe-pos_z)/(20000+Alt_rampe+pos_z)</f>
        <v>1.05928283572811</v>
      </c>
      <c r="W551" s="417" t="n">
        <f aca="false">1/2*Rho*Sref*Cx*vit_xz^2</f>
        <v>3.23105635869377</v>
      </c>
      <c r="X551" s="401"/>
      <c r="Y551" s="422" t="str">
        <f aca="false">IF(AND(pos_z&lt;=0,K550&gt;0),"Impact balistique","") &amp; IF(AND(H552&lt;0,vit_z&gt;=0),"Apogée","") &amp; IF(AND(Poussee=0,Q550&gt;0),"Fin de propulsion","") &amp; IF(AND(L552&gt;L_rampe,pos_xz&lt;=L_rampe),"Sortie de rampe","")</f>
        <v/>
      </c>
      <c r="Z551" s="423" t="str">
        <f aca="false">IF(ABS(t-T_para)&lt;pas/2,"Para","")</f>
        <v/>
      </c>
      <c r="AA551" s="424" t="str">
        <f aca="false">IF(ABS(t-T_satellite)&lt;pas/2,"Satellite","")</f>
        <v/>
      </c>
      <c r="AB551" s="412"/>
      <c r="AC551" s="420" t="e">
        <f aca="false">IF(ABS(t-ROUND(t,0))&lt;0.001,t,NA())</f>
        <v>#N/A</v>
      </c>
      <c r="AD551" s="425" t="e">
        <f aca="false">IF(ABS(t-ROUND(t,0))&lt;0.001,pos_x,NA())</f>
        <v>#N/A</v>
      </c>
      <c r="AE551" s="426" t="e">
        <f aca="false">IF(t&lt;T_para, pos_z, NA())</f>
        <v>#N/A</v>
      </c>
      <c r="AF551" s="412"/>
      <c r="AG551" s="418" t="n">
        <f aca="false">IF(AND(L550&lt;L_rampe,Poussee&lt;Poids*SIN(M550)),0,(-W550+Poussee)/m-Poids*SIN(M550)/m)</f>
        <v>5.06873643692188</v>
      </c>
      <c r="AH551" s="417" t="n">
        <f aca="false">IF(AND(L550&lt;L_rampe,Poussee&lt;Poids*SIN(M550)), g*SIN(M550), (-W550+Poussee)/m)</f>
        <v>-0.423586012708461</v>
      </c>
    </row>
    <row r="552" customFormat="false" ht="12" hidden="false" customHeight="false" outlineLevel="0" collapsed="false">
      <c r="A552" s="416" t="n">
        <f aca="false">IF(B551+0.01&lt;=T_ini+ROUNDUP(Temps_fin_propu,0), 0.01, IF(K551&gt;0, 0.1, 0.0001))</f>
        <v>0.1</v>
      </c>
      <c r="B552" s="417" t="n">
        <f aca="false">B551+pas</f>
        <v>18.8</v>
      </c>
      <c r="C552" s="401"/>
      <c r="D552" s="418" t="n">
        <f aca="false">IF(AND(L551&lt;L_rampe,Poussee&lt;Poids*SIN(M551)),0,(-W551+Poussee)/m*COS(M551)-U551/m*SIN(M551))</f>
        <v>-0.356412702875535</v>
      </c>
      <c r="E552" s="419" t="n">
        <f aca="false">IF(AND(L551&lt;L_rampe,Poussee&lt;Poids*SIN(M551)),0,(-W551+Poussee)/m*SIN(M551)+U551/m*COS(M551)-Poids/m)</f>
        <v>-9.55553248337247</v>
      </c>
      <c r="F552" s="417" t="n">
        <f aca="false">SQRT(acc_x^2+acc_z^2)</f>
        <v>9.56217710856464</v>
      </c>
      <c r="G552" s="418" t="n">
        <f aca="false">G551+acc_x*pas</f>
        <v>25.5971401889106</v>
      </c>
      <c r="H552" s="419" t="n">
        <f aca="false">H551+acc_z*pas</f>
        <v>-19.2565570833667</v>
      </c>
      <c r="I552" s="417" t="n">
        <f aca="false">SQRT(vit_x^2+vit_z^2)</f>
        <v>32.0316808262648</v>
      </c>
      <c r="J552" s="418" t="n">
        <f aca="false">J551+0.5*(vit_x+G551)*pas*(K551&gt;=0)</f>
        <v>569.075278828046</v>
      </c>
      <c r="K552" s="419" t="n">
        <f aca="false">K551+0.5*(vit_z+H551)*pas</f>
        <v>1449.0559702493</v>
      </c>
      <c r="L552" s="417" t="n">
        <f aca="false">SQRT(pos_x^2+pos_z^2)</f>
        <v>1556.794744945</v>
      </c>
      <c r="M552" s="418" t="n">
        <f aca="false">IF(AND(L551&gt;L_rampe,G552&gt;0),ATAN2(G552,H552),$M$4)</f>
        <v>-0.64496720638664</v>
      </c>
      <c r="N552" s="417" t="n">
        <f aca="false">DEGREES(Beta)</f>
        <v>-36.9538988502976</v>
      </c>
      <c r="O552" s="401"/>
      <c r="P552" s="420" t="n">
        <f aca="false">MATCH(t-pas/2-T_ini,CdP_t)</f>
        <v>23</v>
      </c>
      <c r="Q552" s="417" t="n">
        <f aca="false">(INDEX(CdP,2,i_P+1)-INDEX(CdP,2,i_P+0))/(INDEX(CdP,1,i_P+1)-INDEX(CdP,1,i_P+0))*(t-pas/2-T_ini-INDEX(CdP,1,i_P+0))+INDEX(CdP,2,i_P+0)</f>
        <v>0</v>
      </c>
      <c r="R552" s="418" t="n">
        <f aca="false">Poussee/(g*ISP)</f>
        <v>0</v>
      </c>
      <c r="S552" s="419" t="n">
        <f aca="false">S551-Débit*pas</f>
        <v>7.37799999999998</v>
      </c>
      <c r="T552" s="417" t="n">
        <f aca="false">m*g</f>
        <v>72.3781799999998</v>
      </c>
      <c r="U552" s="421" t="n">
        <f aca="false">IF(pos_xz&lt;L_rampe,Poids*COS(Beta),0)</f>
        <v>0</v>
      </c>
      <c r="V552" s="418" t="n">
        <f aca="false">Rho_moyen*(20000-Alt_rampe-pos_z)/(20000+Alt_rampe+pos_z)</f>
        <v>1.0594828260957</v>
      </c>
      <c r="W552" s="417" t="n">
        <f aca="false">1/2*Rho*Sref*Cx*vit_xz^2</f>
        <v>3.34263603106147</v>
      </c>
      <c r="X552" s="401"/>
      <c r="Y552" s="422" t="str">
        <f aca="false">IF(AND(pos_z&lt;=0,K551&gt;0),"Impact balistique","") &amp; IF(AND(H553&lt;0,vit_z&gt;=0),"Apogée","") &amp; IF(AND(Poussee=0,Q551&gt;0),"Fin de propulsion","") &amp; IF(AND(L553&gt;L_rampe,pos_xz&lt;=L_rampe),"Sortie de rampe","")</f>
        <v/>
      </c>
      <c r="Z552" s="423" t="str">
        <f aca="false">IF(ABS(t-T_para)&lt;pas/2,"Para","")</f>
        <v/>
      </c>
      <c r="AA552" s="424" t="str">
        <f aca="false">IF(ABS(t-T_satellite)&lt;pas/2,"Satellite","")</f>
        <v/>
      </c>
      <c r="AB552" s="412"/>
      <c r="AC552" s="420" t="e">
        <f aca="false">IF(ABS(t-ROUND(t,0))&lt;0.001,t,NA())</f>
        <v>#N/A</v>
      </c>
      <c r="AD552" s="425" t="e">
        <f aca="false">IF(ABS(t-ROUND(t,0))&lt;0.001,pos_x,NA())</f>
        <v>#N/A</v>
      </c>
      <c r="AE552" s="426" t="e">
        <f aca="false">IF(t&lt;T_para, pos_z, NA())</f>
        <v>#N/A</v>
      </c>
      <c r="AF552" s="412"/>
      <c r="AG552" s="418" t="n">
        <f aca="false">IF(AND(L551&lt;L_rampe,Poussee&lt;Poids*SIN(M551)),0,(-W551+Poussee)/m-Poids*SIN(M551)/m)</f>
        <v>5.26233945246018</v>
      </c>
      <c r="AH552" s="417" t="n">
        <f aca="false">IF(AND(L551&lt;L_rampe,Poussee&lt;Poids*SIN(M551)), g*SIN(M551), (-W551+Poussee)/m)</f>
        <v>-0.437931195268877</v>
      </c>
    </row>
    <row r="553" customFormat="false" ht="12" hidden="false" customHeight="false" outlineLevel="0" collapsed="false">
      <c r="A553" s="416" t="n">
        <f aca="false">IF(B552+0.01&lt;=T_ini+ROUNDUP(Temps_fin_propu,0), 0.01, IF(K552&gt;0, 0.1, 0.0001))</f>
        <v>0.1</v>
      </c>
      <c r="B553" s="417" t="n">
        <f aca="false">B552+pas</f>
        <v>18.9</v>
      </c>
      <c r="C553" s="401"/>
      <c r="D553" s="418" t="n">
        <f aca="false">IF(AND(L552&lt;L_rampe,Poussee&lt;Poids*SIN(M552)),0,(-W552+Poussee)/m*COS(M552)-U552/m*SIN(M552))</f>
        <v>-0.362044669774679</v>
      </c>
      <c r="E553" s="419" t="n">
        <f aca="false">IF(AND(L552&lt;L_rampe,Poussee&lt;Poids*SIN(M552)),0,(-W552+Poussee)/m*SIN(M552)+U552/m*COS(M552)-Poids/m)</f>
        <v>-9.53763622034367</v>
      </c>
      <c r="F553" s="417" t="n">
        <f aca="false">SQRT(acc_x^2+acc_z^2)</f>
        <v>9.54450527866812</v>
      </c>
      <c r="G553" s="418" t="n">
        <f aca="false">G552+acc_x*pas</f>
        <v>25.5609357219331</v>
      </c>
      <c r="H553" s="419" t="n">
        <f aca="false">H552+acc_z*pas</f>
        <v>-20.210320705401</v>
      </c>
      <c r="I553" s="417" t="n">
        <f aca="false">SQRT(vit_x^2+vit_z^2)</f>
        <v>32.5855565856402</v>
      </c>
      <c r="J553" s="418" t="n">
        <f aca="false">J552+0.5*(vit_x+G552)*pas*(K552&gt;=0)</f>
        <v>571.633182623589</v>
      </c>
      <c r="K553" s="419" t="n">
        <f aca="false">K552+0.5*(vit_z+H552)*pas</f>
        <v>1447.08262635987</v>
      </c>
      <c r="L553" s="417" t="n">
        <f aca="false">SQRT(pos_x^2+pos_z^2)</f>
        <v>1555.89608360872</v>
      </c>
      <c r="M553" s="418" t="n">
        <f aca="false">IF(AND(L552&gt;L_rampe,G553&gt;0),ATAN2(G553,H553),$M$4)</f>
        <v>-0.669027309523354</v>
      </c>
      <c r="N553" s="417" t="n">
        <f aca="false">DEGREES(Beta)</f>
        <v>-38.3324412146808</v>
      </c>
      <c r="O553" s="401"/>
      <c r="P553" s="420" t="n">
        <f aca="false">MATCH(t-pas/2-T_ini,CdP_t)</f>
        <v>23</v>
      </c>
      <c r="Q553" s="417" t="n">
        <f aca="false">(INDEX(CdP,2,i_P+1)-INDEX(CdP,2,i_P+0))/(INDEX(CdP,1,i_P+1)-INDEX(CdP,1,i_P+0))*(t-pas/2-T_ini-INDEX(CdP,1,i_P+0))+INDEX(CdP,2,i_P+0)</f>
        <v>0</v>
      </c>
      <c r="R553" s="418" t="n">
        <f aca="false">Poussee/(g*ISP)</f>
        <v>0</v>
      </c>
      <c r="S553" s="419" t="n">
        <f aca="false">S552-Débit*pas</f>
        <v>7.37799999999998</v>
      </c>
      <c r="T553" s="417" t="n">
        <f aca="false">m*g</f>
        <v>72.3781799999998</v>
      </c>
      <c r="U553" s="421" t="n">
        <f aca="false">IF(pos_xz&lt;L_rampe,Poids*COS(Beta),0)</f>
        <v>0</v>
      </c>
      <c r="V553" s="418" t="n">
        <f aca="false">Rho_moyen*(20000-Alt_rampe-pos_z)/(20000+Alt_rampe+pos_z)</f>
        <v>1.059693021128</v>
      </c>
      <c r="W553" s="417" t="n">
        <f aca="false">1/2*Rho*Sref*Cx*vit_xz^2</f>
        <v>3.45992012832239</v>
      </c>
      <c r="X553" s="401"/>
      <c r="Y553" s="422" t="str">
        <f aca="false">IF(AND(pos_z&lt;=0,K552&gt;0),"Impact balistique","") &amp; IF(AND(H554&lt;0,vit_z&gt;=0),"Apogée","") &amp; IF(AND(Poussee=0,Q552&gt;0),"Fin de propulsion","") &amp; IF(AND(L554&gt;L_rampe,pos_xz&lt;=L_rampe),"Sortie de rampe","")</f>
        <v/>
      </c>
      <c r="Z553" s="423" t="str">
        <f aca="false">IF(ABS(t-T_para)&lt;pas/2,"Para","")</f>
        <v/>
      </c>
      <c r="AA553" s="424" t="str">
        <f aca="false">IF(ABS(t-T_satellite)&lt;pas/2,"Satellite","")</f>
        <v/>
      </c>
      <c r="AB553" s="412"/>
      <c r="AC553" s="420" t="e">
        <f aca="false">IF(ABS(t-ROUND(t,0))&lt;0.001,t,NA())</f>
        <v>#N/A</v>
      </c>
      <c r="AD553" s="425" t="e">
        <f aca="false">IF(ABS(t-ROUND(t,0))&lt;0.001,pos_x,NA())</f>
        <v>#N/A</v>
      </c>
      <c r="AE553" s="426" t="e">
        <f aca="false">IF(t&lt;T_para, pos_z, NA())</f>
        <v>#N/A</v>
      </c>
      <c r="AF553" s="412"/>
      <c r="AG553" s="418" t="n">
        <f aca="false">IF(AND(L552&lt;L_rampe,Poussee&lt;Poids*SIN(M552)),0,(-W552+Poussee)/m-Poids*SIN(M552)/m)</f>
        <v>5.44444511346297</v>
      </c>
      <c r="AH553" s="417" t="n">
        <f aca="false">IF(AND(L552&lt;L_rampe,Poussee&lt;Poids*SIN(M552)), g*SIN(M552), (-W552+Poussee)/m)</f>
        <v>-0.453054490520666</v>
      </c>
    </row>
    <row r="554" customFormat="false" ht="12" hidden="false" customHeight="false" outlineLevel="0" collapsed="false">
      <c r="A554" s="416" t="n">
        <f aca="false">IF(B553+0.01&lt;=T_ini+ROUNDUP(Temps_fin_propu,0), 0.01, IF(K553&gt;0, 0.1, 0.0001))</f>
        <v>0.1</v>
      </c>
      <c r="B554" s="417" t="n">
        <f aca="false">B553+pas</f>
        <v>19</v>
      </c>
      <c r="C554" s="401"/>
      <c r="D554" s="418" t="n">
        <f aca="false">IF(AND(L553&lt;L_rampe,Poussee&lt;Poids*SIN(M553)),0,(-W553+Poussee)/m*COS(M553)-U553/m*SIN(M553))</f>
        <v>-0.367857002067212</v>
      </c>
      <c r="E554" s="419" t="n">
        <f aca="false">IF(AND(L553&lt;L_rampe,Poussee&lt;Poids*SIN(M553)),0,(-W553+Poussee)/m*SIN(M553)+U553/m*COS(M553)-Poids/m)</f>
        <v>-9.51914570317837</v>
      </c>
      <c r="F554" s="417" t="n">
        <f aca="false">SQRT(acc_x^2+acc_z^2)</f>
        <v>9.52625076786818</v>
      </c>
      <c r="G554" s="418" t="n">
        <f aca="false">G553+acc_x*pas</f>
        <v>25.5241500217264</v>
      </c>
      <c r="H554" s="419" t="n">
        <f aca="false">H553+acc_z*pas</f>
        <v>-21.1622352757189</v>
      </c>
      <c r="I554" s="417" t="n">
        <f aca="false">SQRT(vit_x^2+vit_z^2)</f>
        <v>33.1560316714241</v>
      </c>
      <c r="J554" s="418" t="n">
        <f aca="false">J553+0.5*(vit_x+G553)*pas*(K553&gt;=0)</f>
        <v>574.187436910772</v>
      </c>
      <c r="K554" s="419" t="n">
        <f aca="false">K553+0.5*(vit_z+H553)*pas</f>
        <v>1445.01399856081</v>
      </c>
      <c r="L554" s="417" t="n">
        <f aca="false">SQRT(pos_x^2+pos_z^2)</f>
        <v>1554.91371745922</v>
      </c>
      <c r="M554" s="418" t="n">
        <f aca="false">IF(AND(L553&gt;L_rampe,G554&gt;0),ATAN2(G554,H554),$M$4)</f>
        <v>-0.692238481194228</v>
      </c>
      <c r="N554" s="417" t="n">
        <f aca="false">DEGREES(Beta)</f>
        <v>-39.6623433889755</v>
      </c>
      <c r="O554" s="401"/>
      <c r="P554" s="420" t="n">
        <f aca="false">MATCH(t-pas/2-T_ini,CdP_t)</f>
        <v>23</v>
      </c>
      <c r="Q554" s="417" t="n">
        <f aca="false">(INDEX(CdP,2,i_P+1)-INDEX(CdP,2,i_P+0))/(INDEX(CdP,1,i_P+1)-INDEX(CdP,1,i_P+0))*(t-pas/2-T_ini-INDEX(CdP,1,i_P+0))+INDEX(CdP,2,i_P+0)</f>
        <v>0</v>
      </c>
      <c r="R554" s="418" t="n">
        <f aca="false">Poussee/(g*ISP)</f>
        <v>0</v>
      </c>
      <c r="S554" s="419" t="n">
        <f aca="false">S553-Débit*pas</f>
        <v>7.37799999999998</v>
      </c>
      <c r="T554" s="417" t="n">
        <f aca="false">m*g</f>
        <v>72.3781799999998</v>
      </c>
      <c r="U554" s="421" t="n">
        <f aca="false">IF(pos_xz&lt;L_rampe,Poids*COS(Beta),0)</f>
        <v>0</v>
      </c>
      <c r="V554" s="418" t="n">
        <f aca="false">Rho_moyen*(20000-Alt_rampe-pos_z)/(20000+Alt_rampe+pos_z)</f>
        <v>1.05991340706462</v>
      </c>
      <c r="W554" s="417" t="n">
        <f aca="false">1/2*Rho*Sref*Cx*vit_xz^2</f>
        <v>3.5828711454555</v>
      </c>
      <c r="X554" s="401"/>
      <c r="Y554" s="422" t="str">
        <f aca="false">IF(AND(pos_z&lt;=0,K553&gt;0),"Impact balistique","") &amp; IF(AND(H555&lt;0,vit_z&gt;=0),"Apogée","") &amp; IF(AND(Poussee=0,Q553&gt;0),"Fin de propulsion","") &amp; IF(AND(L555&gt;L_rampe,pos_xz&lt;=L_rampe),"Sortie de rampe","")</f>
        <v/>
      </c>
      <c r="Z554" s="423" t="str">
        <f aca="false">IF(ABS(t-T_para)&lt;pas/2,"Para","")</f>
        <v/>
      </c>
      <c r="AA554" s="424" t="str">
        <f aca="false">IF(ABS(t-T_satellite)&lt;pas/2,"Satellite","")</f>
        <v/>
      </c>
      <c r="AB554" s="412"/>
      <c r="AC554" s="420" t="n">
        <f aca="false">IF(ABS(t-ROUND(t,0))&lt;0.001,t,NA())</f>
        <v>19</v>
      </c>
      <c r="AD554" s="425" t="n">
        <f aca="false">IF(ABS(t-ROUND(t,0))&lt;0.001,pos_x,NA())</f>
        <v>574.187436910772</v>
      </c>
      <c r="AE554" s="426" t="e">
        <f aca="false">IF(t&lt;T_para, pos_z, NA())</f>
        <v>#N/A</v>
      </c>
      <c r="AF554" s="412"/>
      <c r="AG554" s="418" t="n">
        <f aca="false">IF(AND(L553&lt;L_rampe,Poussee&lt;Poids*SIN(M553)),0,(-W553+Poussee)/m-Poids*SIN(M553)/m)</f>
        <v>5.61543939987844</v>
      </c>
      <c r="AH554" s="417" t="n">
        <f aca="false">IF(AND(L553&lt;L_rampe,Poussee&lt;Poids*SIN(M553)), g*SIN(M553), (-W553+Poussee)/m)</f>
        <v>-0.468950952605367</v>
      </c>
    </row>
    <row r="555" customFormat="false" ht="12" hidden="false" customHeight="false" outlineLevel="0" collapsed="false">
      <c r="A555" s="416" t="n">
        <f aca="false">IF(B554+0.01&lt;=T_ini+ROUNDUP(Temps_fin_propu,0), 0.01, IF(K554&gt;0, 0.1, 0.0001))</f>
        <v>0.1</v>
      </c>
      <c r="B555" s="417" t="n">
        <f aca="false">B554+pas</f>
        <v>19.1</v>
      </c>
      <c r="C555" s="401"/>
      <c r="D555" s="418" t="n">
        <f aca="false">IF(AND(L554&lt;L_rampe,Poussee&lt;Poids*SIN(M554)),0,(-W554+Poussee)/m*COS(M554)-U554/m*SIN(M554))</f>
        <v>-0.373836137896481</v>
      </c>
      <c r="E555" s="419" t="n">
        <f aca="false">IF(AND(L554&lt;L_rampe,Poussee&lt;Poids*SIN(M554)),0,(-W554+Poussee)/m*SIN(M554)+U554/m*COS(M554)-Poids/m)</f>
        <v>-9.50005007814179</v>
      </c>
      <c r="F555" s="417" t="n">
        <f aca="false">SQRT(acc_x^2+acc_z^2)</f>
        <v>9.50740263927005</v>
      </c>
      <c r="G555" s="418" t="n">
        <f aca="false">G554+acc_x*pas</f>
        <v>25.4867664079368</v>
      </c>
      <c r="H555" s="419" t="n">
        <f aca="false">H554+acc_z*pas</f>
        <v>-22.112240283533</v>
      </c>
      <c r="I555" s="417" t="n">
        <f aca="false">SQRT(vit_x^2+vit_z^2)</f>
        <v>33.7420573215303</v>
      </c>
      <c r="J555" s="418" t="n">
        <f aca="false">J554+0.5*(vit_x+G554)*pas*(K554&gt;=0)</f>
        <v>576.737982732255</v>
      </c>
      <c r="K555" s="419" t="n">
        <f aca="false">K554+0.5*(vit_z+H554)*pas</f>
        <v>1442.85027478285</v>
      </c>
      <c r="L555" s="417" t="n">
        <f aca="false">SQRT(pos_x^2+pos_z^2)</f>
        <v>1553.84800291631</v>
      </c>
      <c r="M555" s="418" t="n">
        <f aca="false">IF(AND(L554&gt;L_rampe,G555&gt;0),ATAN2(G555,H555),$M$4)</f>
        <v>-0.714621695666742</v>
      </c>
      <c r="N555" s="417" t="n">
        <f aca="false">DEGREES(Beta)</f>
        <v>-40.9448071101867</v>
      </c>
      <c r="O555" s="401"/>
      <c r="P555" s="420" t="n">
        <f aca="false">MATCH(t-pas/2-T_ini,CdP_t)</f>
        <v>23</v>
      </c>
      <c r="Q555" s="417" t="n">
        <f aca="false">(INDEX(CdP,2,i_P+1)-INDEX(CdP,2,i_P+0))/(INDEX(CdP,1,i_P+1)-INDEX(CdP,1,i_P+0))*(t-pas/2-T_ini-INDEX(CdP,1,i_P+0))+INDEX(CdP,2,i_P+0)</f>
        <v>0</v>
      </c>
      <c r="R555" s="418" t="n">
        <f aca="false">Poussee/(g*ISP)</f>
        <v>0</v>
      </c>
      <c r="S555" s="419" t="n">
        <f aca="false">S554-Débit*pas</f>
        <v>7.37799999999998</v>
      </c>
      <c r="T555" s="417" t="n">
        <f aca="false">m*g</f>
        <v>72.3781799999998</v>
      </c>
      <c r="U555" s="421" t="n">
        <f aca="false">IF(pos_xz&lt;L_rampe,Poids*COS(Beta),0)</f>
        <v>0</v>
      </c>
      <c r="V555" s="418" t="n">
        <f aca="false">Rho_moyen*(20000-Alt_rampe-pos_z)/(20000+Alt_rampe+pos_z)</f>
        <v>1.06014396976529</v>
      </c>
      <c r="W555" s="417" t="n">
        <f aca="false">1/2*Rho*Sref*Cx*vit_xz^2</f>
        <v>3.71145053916678</v>
      </c>
      <c r="X555" s="401"/>
      <c r="Y555" s="422" t="str">
        <f aca="false">IF(AND(pos_z&lt;=0,K554&gt;0),"Impact balistique","") &amp; IF(AND(H556&lt;0,vit_z&gt;=0),"Apogée","") &amp; IF(AND(Poussee=0,Q554&gt;0),"Fin de propulsion","") &amp; IF(AND(L556&gt;L_rampe,pos_xz&lt;=L_rampe),"Sortie de rampe","")</f>
        <v/>
      </c>
      <c r="Z555" s="423" t="str">
        <f aca="false">IF(ABS(t-T_para)&lt;pas/2,"Para","")</f>
        <v/>
      </c>
      <c r="AA555" s="424" t="str">
        <f aca="false">IF(ABS(t-T_satellite)&lt;pas/2,"Satellite","")</f>
        <v/>
      </c>
      <c r="AB555" s="412"/>
      <c r="AC555" s="420" t="e">
        <f aca="false">IF(ABS(t-ROUND(t,0))&lt;0.001,t,NA())</f>
        <v>#N/A</v>
      </c>
      <c r="AD555" s="425" t="e">
        <f aca="false">IF(ABS(t-ROUND(t,0))&lt;0.001,pos_x,NA())</f>
        <v>#N/A</v>
      </c>
      <c r="AE555" s="426" t="e">
        <f aca="false">IF(t&lt;T_para, pos_z, NA())</f>
        <v>#N/A</v>
      </c>
      <c r="AF555" s="412"/>
      <c r="AG555" s="418" t="n">
        <f aca="false">IF(AND(L554&lt;L_rampe,Poussee&lt;Poids*SIN(M554)),0,(-W554+Poussee)/m-Poids*SIN(M554)/m)</f>
        <v>5.77573477777144</v>
      </c>
      <c r="AH555" s="417" t="n">
        <f aca="false">IF(AND(L554&lt;L_rampe,Poussee&lt;Poids*SIN(M554)), g*SIN(M554), (-W554+Poussee)/m)</f>
        <v>-0.485615498164206</v>
      </c>
    </row>
    <row r="556" customFormat="false" ht="12" hidden="false" customHeight="false" outlineLevel="0" collapsed="false">
      <c r="A556" s="416" t="n">
        <f aca="false">IF(B555+0.01&lt;=T_ini+ROUNDUP(Temps_fin_propu,0), 0.01, IF(K555&gt;0, 0.1, 0.0001))</f>
        <v>0.1</v>
      </c>
      <c r="B556" s="417" t="n">
        <f aca="false">B555+pas</f>
        <v>19.2</v>
      </c>
      <c r="C556" s="401"/>
      <c r="D556" s="418" t="n">
        <f aca="false">IF(AND(L555&lt;L_rampe,Poussee&lt;Poids*SIN(M555)),0,(-W555+Poussee)/m*COS(M555)-U555/m*SIN(M555))</f>
        <v>-0.379969035160975</v>
      </c>
      <c r="E556" s="419" t="n">
        <f aca="false">IF(AND(L555&lt;L_rampe,Poussee&lt;Poids*SIN(M555)),0,(-W555+Poussee)/m*SIN(M555)+U555/m*COS(M555)-Poids/m)</f>
        <v>-9.48034003171288</v>
      </c>
      <c r="F556" s="417" t="n">
        <f aca="false">SQRT(acc_x^2+acc_z^2)</f>
        <v>9.48795149569068</v>
      </c>
      <c r="G556" s="418" t="n">
        <f aca="false">G555+acc_x*pas</f>
        <v>25.4487695044207</v>
      </c>
      <c r="H556" s="419" t="n">
        <f aca="false">H555+acc_z*pas</f>
        <v>-23.0602742867043</v>
      </c>
      <c r="I556" s="417" t="n">
        <f aca="false">SQRT(vit_x^2+vit_z^2)</f>
        <v>34.3426283133246</v>
      </c>
      <c r="J556" s="418" t="n">
        <f aca="false">J555+0.5*(vit_x+G555)*pas*(K555&gt;=0)</f>
        <v>579.284759527873</v>
      </c>
      <c r="K556" s="419" t="n">
        <f aca="false">K555+0.5*(vit_z+H555)*pas</f>
        <v>1440.59164905434</v>
      </c>
      <c r="L556" s="417" t="n">
        <f aca="false">SQRT(pos_x^2+pos_z^2)</f>
        <v>1552.69930506404</v>
      </c>
      <c r="M556" s="418" t="n">
        <f aca="false">IF(AND(L555&gt;L_rampe,G556&gt;0),ATAN2(G556,H556),$M$4)</f>
        <v>-0.736199753869297</v>
      </c>
      <c r="N556" s="417" t="n">
        <f aca="false">DEGREES(Beta)</f>
        <v>-42.1811387752807</v>
      </c>
      <c r="O556" s="401"/>
      <c r="P556" s="420" t="n">
        <f aca="false">MATCH(t-pas/2-T_ini,CdP_t)</f>
        <v>23</v>
      </c>
      <c r="Q556" s="417" t="n">
        <f aca="false">(INDEX(CdP,2,i_P+1)-INDEX(CdP,2,i_P+0))/(INDEX(CdP,1,i_P+1)-INDEX(CdP,1,i_P+0))*(t-pas/2-T_ini-INDEX(CdP,1,i_P+0))+INDEX(CdP,2,i_P+0)</f>
        <v>0</v>
      </c>
      <c r="R556" s="418" t="n">
        <f aca="false">Poussee/(g*ISP)</f>
        <v>0</v>
      </c>
      <c r="S556" s="419" t="n">
        <f aca="false">S555-Débit*pas</f>
        <v>7.37799999999998</v>
      </c>
      <c r="T556" s="417" t="n">
        <f aca="false">m*g</f>
        <v>72.3781799999998</v>
      </c>
      <c r="U556" s="421" t="n">
        <f aca="false">IF(pos_xz&lt;L_rampe,Poids*COS(Beta),0)</f>
        <v>0</v>
      </c>
      <c r="V556" s="418" t="n">
        <f aca="false">Rho_moyen*(20000-Alt_rampe-pos_z)/(20000+Alt_rampe+pos_z)</f>
        <v>1.06038469469714</v>
      </c>
      <c r="W556" s="417" t="n">
        <f aca="false">1/2*Rho*Sref*Cx*vit_xz^2</f>
        <v>3.84561870842162</v>
      </c>
      <c r="X556" s="401"/>
      <c r="Y556" s="422" t="str">
        <f aca="false">IF(AND(pos_z&lt;=0,K555&gt;0),"Impact balistique","") &amp; IF(AND(H557&lt;0,vit_z&gt;=0),"Apogée","") &amp; IF(AND(Poussee=0,Q555&gt;0),"Fin de propulsion","") &amp; IF(AND(L557&gt;L_rampe,pos_xz&lt;=L_rampe),"Sortie de rampe","")</f>
        <v/>
      </c>
      <c r="Z556" s="423" t="str">
        <f aca="false">IF(ABS(t-T_para)&lt;pas/2,"Para","")</f>
        <v/>
      </c>
      <c r="AA556" s="424" t="str">
        <f aca="false">IF(ABS(t-T_satellite)&lt;pas/2,"Satellite","")</f>
        <v/>
      </c>
      <c r="AB556" s="412"/>
      <c r="AC556" s="420" t="e">
        <f aca="false">IF(ABS(t-ROUND(t,0))&lt;0.001,t,NA())</f>
        <v>#N/A</v>
      </c>
      <c r="AD556" s="425" t="e">
        <f aca="false">IF(ABS(t-ROUND(t,0))&lt;0.001,pos_x,NA())</f>
        <v>#N/A</v>
      </c>
      <c r="AE556" s="426" t="e">
        <f aca="false">IF(t&lt;T_para, pos_z, NA())</f>
        <v>#N/A</v>
      </c>
      <c r="AF556" s="412"/>
      <c r="AG556" s="418" t="n">
        <f aca="false">IF(AND(L555&lt;L_rampe,Poussee&lt;Poids*SIN(M555)),0,(-W555+Poussee)/m-Poids*SIN(M555)/m)</f>
        <v>5.92576121853282</v>
      </c>
      <c r="AH556" s="417" t="n">
        <f aca="false">IF(AND(L555&lt;L_rampe,Poussee&lt;Poids*SIN(M555)), g*SIN(M555), (-W555+Poussee)/m)</f>
        <v>-0.503042903112874</v>
      </c>
    </row>
    <row r="557" customFormat="false" ht="12" hidden="false" customHeight="false" outlineLevel="0" collapsed="false">
      <c r="A557" s="416" t="n">
        <f aca="false">IF(B556+0.01&lt;=T_ini+ROUNDUP(Temps_fin_propu,0), 0.01, IF(K556&gt;0, 0.1, 0.0001))</f>
        <v>0.1</v>
      </c>
      <c r="B557" s="417" t="n">
        <f aca="false">B556+pas</f>
        <v>19.3</v>
      </c>
      <c r="C557" s="401"/>
      <c r="D557" s="418" t="n">
        <f aca="false">IF(AND(L556&lt;L_rampe,Poussee&lt;Poids*SIN(M556)),0,(-W556+Poussee)/m*COS(M556)-U556/m*SIN(M556))</f>
        <v>-0.386243185016341</v>
      </c>
      <c r="E557" s="419" t="n">
        <f aca="false">IF(AND(L556&lt;L_rampe,Poussee&lt;Poids*SIN(M556)),0,(-W556+Poussee)/m*SIN(M556)+U556/m*COS(M556)-Poids/m)</f>
        <v>-9.46000768362101</v>
      </c>
      <c r="F557" s="417" t="n">
        <f aca="false">SQRT(acc_x^2+acc_z^2)</f>
        <v>9.46788937261839</v>
      </c>
      <c r="G557" s="418" t="n">
        <f aca="false">G556+acc_x*pas</f>
        <v>25.410145185919</v>
      </c>
      <c r="H557" s="419" t="n">
        <f aca="false">H556+acc_z*pas</f>
        <v>-24.0062750550664</v>
      </c>
      <c r="I557" s="417" t="n">
        <f aca="false">SQRT(vit_x^2+vit_z^2)</f>
        <v>34.9567836104666</v>
      </c>
      <c r="J557" s="418" t="n">
        <f aca="false">J556+0.5*(vit_x+G556)*pas*(K556&gt;=0)</f>
        <v>581.82770526239</v>
      </c>
      <c r="K557" s="419" t="n">
        <f aca="false">K556+0.5*(vit_z+H556)*pas</f>
        <v>1438.23832158725</v>
      </c>
      <c r="L557" s="417" t="n">
        <f aca="false">SQRT(pos_x^2+pos_z^2)</f>
        <v>1551.46799783076</v>
      </c>
      <c r="M557" s="418" t="n">
        <f aca="false">IF(AND(L556&gt;L_rampe,G557&gt;0),ATAN2(G557,H557),$M$4)</f>
        <v>-0.756996821639405</v>
      </c>
      <c r="N557" s="417" t="n">
        <f aca="false">DEGREES(Beta)</f>
        <v>-43.3727229847555</v>
      </c>
      <c r="O557" s="401"/>
      <c r="P557" s="420" t="n">
        <f aca="false">MATCH(t-pas/2-T_ini,CdP_t)</f>
        <v>23</v>
      </c>
      <c r="Q557" s="417" t="n">
        <f aca="false">(INDEX(CdP,2,i_P+1)-INDEX(CdP,2,i_P+0))/(INDEX(CdP,1,i_P+1)-INDEX(CdP,1,i_P+0))*(t-pas/2-T_ini-INDEX(CdP,1,i_P+0))+INDEX(CdP,2,i_P+0)</f>
        <v>0</v>
      </c>
      <c r="R557" s="418" t="n">
        <f aca="false">Poussee/(g*ISP)</f>
        <v>0</v>
      </c>
      <c r="S557" s="419" t="n">
        <f aca="false">S556-Débit*pas</f>
        <v>7.37799999999998</v>
      </c>
      <c r="T557" s="417" t="n">
        <f aca="false">m*g</f>
        <v>72.3781799999998</v>
      </c>
      <c r="U557" s="421" t="n">
        <f aca="false">IF(pos_xz&lt;L_rampe,Poids*COS(Beta),0)</f>
        <v>0</v>
      </c>
      <c r="V557" s="418" t="n">
        <f aca="false">Rho_moyen*(20000-Alt_rampe-pos_z)/(20000+Alt_rampe+pos_z)</f>
        <v>1.0606355669234</v>
      </c>
      <c r="W557" s="417" t="n">
        <f aca="false">1/2*Rho*Sref*Cx*vit_xz^2</f>
        <v>3.98533497901366</v>
      </c>
      <c r="X557" s="401"/>
      <c r="Y557" s="422" t="str">
        <f aca="false">IF(AND(pos_z&lt;=0,K556&gt;0),"Impact balistique","") &amp; IF(AND(H558&lt;0,vit_z&gt;=0),"Apogée","") &amp; IF(AND(Poussee=0,Q556&gt;0),"Fin de propulsion","") &amp; IF(AND(L558&gt;L_rampe,pos_xz&lt;=L_rampe),"Sortie de rampe","")</f>
        <v/>
      </c>
      <c r="Z557" s="423" t="str">
        <f aca="false">IF(ABS(t-T_para)&lt;pas/2,"Para","")</f>
        <v/>
      </c>
      <c r="AA557" s="424" t="str">
        <f aca="false">IF(ABS(t-T_satellite)&lt;pas/2,"Satellite","")</f>
        <v/>
      </c>
      <c r="AB557" s="412"/>
      <c r="AC557" s="420" t="e">
        <f aca="false">IF(ABS(t-ROUND(t,0))&lt;0.001,t,NA())</f>
        <v>#N/A</v>
      </c>
      <c r="AD557" s="425" t="e">
        <f aca="false">IF(ABS(t-ROUND(t,0))&lt;0.001,pos_x,NA())</f>
        <v>#N/A</v>
      </c>
      <c r="AE557" s="426" t="e">
        <f aca="false">IF(t&lt;T_para, pos_z, NA())</f>
        <v>#N/A</v>
      </c>
      <c r="AF557" s="412"/>
      <c r="AG557" s="418" t="n">
        <f aca="false">IF(AND(L556&lt;L_rampe,Poussee&lt;Poids*SIN(M556)),0,(-W556+Poussee)/m-Poids*SIN(M556)/m)</f>
        <v>6.06595850060987</v>
      </c>
      <c r="AH557" s="417" t="n">
        <f aca="false">IF(AND(L556&lt;L_rampe,Poussee&lt;Poids*SIN(M556)), g*SIN(M556), (-W556+Poussee)/m)</f>
        <v>-0.521227800002932</v>
      </c>
    </row>
    <row r="558" customFormat="false" ht="12" hidden="false" customHeight="false" outlineLevel="0" collapsed="false">
      <c r="A558" s="416" t="n">
        <f aca="false">IF(B557+0.01&lt;=T_ini+ROUNDUP(Temps_fin_propu,0), 0.01, IF(K557&gt;0, 0.1, 0.0001))</f>
        <v>0.1</v>
      </c>
      <c r="B558" s="417" t="n">
        <f aca="false">B557+pas</f>
        <v>19.4</v>
      </c>
      <c r="C558" s="401"/>
      <c r="D558" s="418" t="n">
        <f aca="false">IF(AND(L557&lt;L_rampe,Poussee&lt;Poids*SIN(M557)),0,(-W557+Poussee)/m*COS(M557)-U557/m*SIN(M557))</f>
        <v>-0.392646617395997</v>
      </c>
      <c r="E558" s="419" t="n">
        <f aca="false">IF(AND(L557&lt;L_rampe,Poussee&lt;Poids*SIN(M557)),0,(-W557+Poussee)/m*SIN(M557)+U557/m*COS(M557)-Poids/m)</f>
        <v>-9.43904648408412</v>
      </c>
      <c r="F558" s="417" t="n">
        <f aca="false">SQRT(acc_x^2+acc_z^2)</f>
        <v>9.44720963538193</v>
      </c>
      <c r="G558" s="418" t="n">
        <f aca="false">G557+acc_x*pas</f>
        <v>25.3708805241794</v>
      </c>
      <c r="H558" s="419" t="n">
        <f aca="false">H557+acc_z*pas</f>
        <v>-24.9501797034749</v>
      </c>
      <c r="I558" s="417" t="n">
        <f aca="false">SQRT(vit_x^2+vit_z^2)</f>
        <v>35.5836064193594</v>
      </c>
      <c r="J558" s="418" t="n">
        <f aca="false">J557+0.5*(vit_x+G557)*pas*(K557&gt;=0)</f>
        <v>584.366756547894</v>
      </c>
      <c r="K558" s="419" t="n">
        <f aca="false">K557+0.5*(vit_z+H557)*pas</f>
        <v>1435.79049884932</v>
      </c>
      <c r="L558" s="417" t="n">
        <f aca="false">SQRT(pos_x^2+pos_z^2)</f>
        <v>1550.15446415649</v>
      </c>
      <c r="M558" s="418" t="n">
        <f aca="false">IF(AND(L557&gt;L_rampe,G558&gt;0),ATAN2(G558,H558),$M$4)</f>
        <v>-0.777038025165844</v>
      </c>
      <c r="N558" s="417" t="n">
        <f aca="false">DEGREES(Beta)</f>
        <v>-44.5209993631831</v>
      </c>
      <c r="O558" s="401"/>
      <c r="P558" s="420" t="n">
        <f aca="false">MATCH(t-pas/2-T_ini,CdP_t)</f>
        <v>23</v>
      </c>
      <c r="Q558" s="417" t="n">
        <f aca="false">(INDEX(CdP,2,i_P+1)-INDEX(CdP,2,i_P+0))/(INDEX(CdP,1,i_P+1)-INDEX(CdP,1,i_P+0))*(t-pas/2-T_ini-INDEX(CdP,1,i_P+0))+INDEX(CdP,2,i_P+0)</f>
        <v>0</v>
      </c>
      <c r="R558" s="418" t="n">
        <f aca="false">Poussee/(g*ISP)</f>
        <v>0</v>
      </c>
      <c r="S558" s="419" t="n">
        <f aca="false">S557-Débit*pas</f>
        <v>7.37799999999998</v>
      </c>
      <c r="T558" s="417" t="n">
        <f aca="false">m*g</f>
        <v>72.3781799999998</v>
      </c>
      <c r="U558" s="421" t="n">
        <f aca="false">IF(pos_xz&lt;L_rampe,Poids*COS(Beta),0)</f>
        <v>0</v>
      </c>
      <c r="V558" s="418" t="n">
        <f aca="false">Rho_moyen*(20000-Alt_rampe-pos_z)/(20000+Alt_rampe+pos_z)</f>
        <v>1.06089657109358</v>
      </c>
      <c r="W558" s="417" t="n">
        <f aca="false">1/2*Rho*Sref*Cx*vit_xz^2</f>
        <v>4.13055759188807</v>
      </c>
      <c r="X558" s="401"/>
      <c r="Y558" s="422" t="str">
        <f aca="false">IF(AND(pos_z&lt;=0,K557&gt;0),"Impact balistique","") &amp; IF(AND(H559&lt;0,vit_z&gt;=0),"Apogée","") &amp; IF(AND(Poussee=0,Q557&gt;0),"Fin de propulsion","") &amp; IF(AND(L559&gt;L_rampe,pos_xz&lt;=L_rampe),"Sortie de rampe","")</f>
        <v/>
      </c>
      <c r="Z558" s="423" t="str">
        <f aca="false">IF(ABS(t-T_para)&lt;pas/2,"Para","")</f>
        <v/>
      </c>
      <c r="AA558" s="424" t="str">
        <f aca="false">IF(ABS(t-T_satellite)&lt;pas/2,"Satellite","")</f>
        <v/>
      </c>
      <c r="AB558" s="412"/>
      <c r="AC558" s="420" t="e">
        <f aca="false">IF(ABS(t-ROUND(t,0))&lt;0.001,t,NA())</f>
        <v>#N/A</v>
      </c>
      <c r="AD558" s="425" t="e">
        <f aca="false">IF(ABS(t-ROUND(t,0))&lt;0.001,pos_x,NA())</f>
        <v>#N/A</v>
      </c>
      <c r="AE558" s="426" t="e">
        <f aca="false">IF(t&lt;T_para, pos_z, NA())</f>
        <v>#N/A</v>
      </c>
      <c r="AF558" s="412"/>
      <c r="AG558" s="418" t="n">
        <f aca="false">IF(AND(L557&lt;L_rampe,Poussee&lt;Poids*SIN(M557)),0,(-W557+Poussee)/m-Poids*SIN(M557)/m)</f>
        <v>6.19676973183624</v>
      </c>
      <c r="AH558" s="417" t="n">
        <f aca="false">IF(AND(L557&lt;L_rampe,Poussee&lt;Poids*SIN(M557)), g*SIN(M557), (-W557+Poussee)/m)</f>
        <v>-0.540164675930289</v>
      </c>
    </row>
    <row r="559" customFormat="false" ht="12" hidden="false" customHeight="false" outlineLevel="0" collapsed="false">
      <c r="A559" s="416" t="n">
        <f aca="false">IF(B558+0.01&lt;=T_ini+ROUNDUP(Temps_fin_propu,0), 0.01, IF(K558&gt;0, 0.1, 0.0001))</f>
        <v>0.1</v>
      </c>
      <c r="B559" s="417" t="n">
        <f aca="false">B558+pas</f>
        <v>19.5</v>
      </c>
      <c r="C559" s="401"/>
      <c r="D559" s="418" t="n">
        <f aca="false">IF(AND(L558&lt;L_rampe,Poussee&lt;Poids*SIN(M558)),0,(-W558+Poussee)/m*COS(M558)-U558/m*SIN(M558))</f>
        <v>-0.399167899910401</v>
      </c>
      <c r="E559" s="419" t="n">
        <f aca="false">IF(AND(L558&lt;L_rampe,Poussee&lt;Poids*SIN(M558)),0,(-W558+Poussee)/m*SIN(M558)+U558/m*COS(M558)-Poids/m)</f>
        <v>-9.41745111604891</v>
      </c>
      <c r="F559" s="417" t="n">
        <f aca="false">SQRT(acc_x^2+acc_z^2)</f>
        <v>9.42590688132923</v>
      </c>
      <c r="G559" s="418" t="n">
        <f aca="false">G558+acc_x*pas</f>
        <v>25.3309637341884</v>
      </c>
      <c r="H559" s="419" t="n">
        <f aca="false">H558+acc_z*pas</f>
        <v>-25.8919248150797</v>
      </c>
      <c r="I559" s="417" t="n">
        <f aca="false">SQRT(vit_x^2+vit_z^2)</f>
        <v>36.2222237629402</v>
      </c>
      <c r="J559" s="418" t="n">
        <f aca="false">J558+0.5*(vit_x+G558)*pas*(K558&gt;=0)</f>
        <v>586.901848760813</v>
      </c>
      <c r="K559" s="419" t="n">
        <f aca="false">K558+0.5*(vit_z+H558)*pas</f>
        <v>1433.24839362339</v>
      </c>
      <c r="L559" s="417" t="n">
        <f aca="false">SQRT(pos_x^2+pos_z^2)</f>
        <v>1548.75909614856</v>
      </c>
      <c r="M559" s="418" t="n">
        <f aca="false">IF(AND(L558&gt;L_rampe,G559&gt;0),ATAN2(G559,H559),$M$4)</f>
        <v>-0.796349101006538</v>
      </c>
      <c r="N559" s="417" t="n">
        <f aca="false">DEGREES(Beta)</f>
        <v>-45.6274425067119</v>
      </c>
      <c r="O559" s="401"/>
      <c r="P559" s="420" t="n">
        <f aca="false">MATCH(t-pas/2-T_ini,CdP_t)</f>
        <v>23</v>
      </c>
      <c r="Q559" s="417" t="n">
        <f aca="false">(INDEX(CdP,2,i_P+1)-INDEX(CdP,2,i_P+0))/(INDEX(CdP,1,i_P+1)-INDEX(CdP,1,i_P+0))*(t-pas/2-T_ini-INDEX(CdP,1,i_P+0))+INDEX(CdP,2,i_P+0)</f>
        <v>0</v>
      </c>
      <c r="R559" s="418" t="n">
        <f aca="false">Poussee/(g*ISP)</f>
        <v>0</v>
      </c>
      <c r="S559" s="419" t="n">
        <f aca="false">S558-Débit*pas</f>
        <v>7.37799999999998</v>
      </c>
      <c r="T559" s="417" t="n">
        <f aca="false">m*g</f>
        <v>72.3781799999998</v>
      </c>
      <c r="U559" s="421" t="n">
        <f aca="false">IF(pos_xz&lt;L_rampe,Poids*COS(Beta),0)</f>
        <v>0</v>
      </c>
      <c r="V559" s="418" t="n">
        <f aca="false">Rho_moyen*(20000-Alt_rampe-pos_z)/(20000+Alt_rampe+pos_z)</f>
        <v>1.06116769143486</v>
      </c>
      <c r="W559" s="417" t="n">
        <f aca="false">1/2*Rho*Sref*Cx*vit_xz^2</f>
        <v>4.28124369495033</v>
      </c>
      <c r="X559" s="401"/>
      <c r="Y559" s="422" t="str">
        <f aca="false">IF(AND(pos_z&lt;=0,K558&gt;0),"Impact balistique","") &amp; IF(AND(H560&lt;0,vit_z&gt;=0),"Apogée","") &amp; IF(AND(Poussee=0,Q558&gt;0),"Fin de propulsion","") &amp; IF(AND(L560&gt;L_rampe,pos_xz&lt;=L_rampe),"Sortie de rampe","")</f>
        <v/>
      </c>
      <c r="Z559" s="423" t="str">
        <f aca="false">IF(ABS(t-T_para)&lt;pas/2,"Para","")</f>
        <v/>
      </c>
      <c r="AA559" s="424" t="str">
        <f aca="false">IF(ABS(t-T_satellite)&lt;pas/2,"Satellite","")</f>
        <v/>
      </c>
      <c r="AB559" s="412"/>
      <c r="AC559" s="420" t="e">
        <f aca="false">IF(ABS(t-ROUND(t,0))&lt;0.001,t,NA())</f>
        <v>#N/A</v>
      </c>
      <c r="AD559" s="425" t="e">
        <f aca="false">IF(ABS(t-ROUND(t,0))&lt;0.001,pos_x,NA())</f>
        <v>#N/A</v>
      </c>
      <c r="AE559" s="426" t="e">
        <f aca="false">IF(t&lt;T_para, pos_z, NA())</f>
        <v>#N/A</v>
      </c>
      <c r="AF559" s="412"/>
      <c r="AG559" s="418" t="n">
        <f aca="false">IF(AND(L558&lt;L_rampe,Poussee&lt;Poids*SIN(M558)),0,(-W558+Poussee)/m-Poids*SIN(M558)/m)</f>
        <v>6.31863600183231</v>
      </c>
      <c r="AH559" s="417" t="n">
        <f aca="false">IF(AND(L558&lt;L_rampe,Poussee&lt;Poids*SIN(M558)), g*SIN(M558), (-W558+Poussee)/m)</f>
        <v>-0.559847870952573</v>
      </c>
    </row>
    <row r="560" customFormat="false" ht="12" hidden="false" customHeight="false" outlineLevel="0" collapsed="false">
      <c r="A560" s="416" t="n">
        <f aca="false">IF(B559+0.01&lt;=T_ini+ROUNDUP(Temps_fin_propu,0), 0.01, IF(K559&gt;0, 0.1, 0.0001))</f>
        <v>0.1</v>
      </c>
      <c r="B560" s="417" t="n">
        <f aca="false">B559+pas</f>
        <v>19.6</v>
      </c>
      <c r="C560" s="401"/>
      <c r="D560" s="418" t="n">
        <f aca="false">IF(AND(L559&lt;L_rampe,Poussee&lt;Poids*SIN(M559)),0,(-W559+Poussee)/m*COS(M559)-U559/m*SIN(M559))</f>
        <v>-0.405796131364844</v>
      </c>
      <c r="E560" s="419" t="n">
        <f aca="false">IF(AND(L559&lt;L_rampe,Poussee&lt;Poids*SIN(M559)),0,(-W559+Poussee)/m*SIN(M559)+U559/m*COS(M559)-Poids/m)</f>
        <v>-9.39521740294594</v>
      </c>
      <c r="F560" s="417" t="n">
        <f aca="false">SQRT(acc_x^2+acc_z^2)</f>
        <v>9.40397684752834</v>
      </c>
      <c r="G560" s="418" t="n">
        <f aca="false">G559+acc_x*pas</f>
        <v>25.2903841210519</v>
      </c>
      <c r="H560" s="419" t="n">
        <f aca="false">H559+acc_z*pas</f>
        <v>-26.8314465553743</v>
      </c>
      <c r="I560" s="417" t="n">
        <f aca="false">SQRT(vit_x^2+vit_z^2)</f>
        <v>36.8718056683459</v>
      </c>
      <c r="J560" s="418" t="n">
        <f aca="false">J559+0.5*(vit_x+G559)*pas*(K559&gt;=0)</f>
        <v>589.432916153575</v>
      </c>
      <c r="K560" s="419" t="n">
        <f aca="false">K559+0.5*(vit_z+H559)*pas</f>
        <v>1430.61222505487</v>
      </c>
      <c r="L560" s="417" t="n">
        <f aca="false">SQRT(pos_x^2+pos_z^2)</f>
        <v>1547.28229522662</v>
      </c>
      <c r="M560" s="418" t="n">
        <f aca="false">IF(AND(L559&gt;L_rampe,G560&gt;0),ATAN2(G560,H560),$M$4)</f>
        <v>-0.814956097071426</v>
      </c>
      <c r="N560" s="417" t="n">
        <f aca="false">DEGREES(Beta)</f>
        <v>-46.6935448506465</v>
      </c>
      <c r="O560" s="401"/>
      <c r="P560" s="420" t="n">
        <f aca="false">MATCH(t-pas/2-T_ini,CdP_t)</f>
        <v>23</v>
      </c>
      <c r="Q560" s="417" t="n">
        <f aca="false">(INDEX(CdP,2,i_P+1)-INDEX(CdP,2,i_P+0))/(INDEX(CdP,1,i_P+1)-INDEX(CdP,1,i_P+0))*(t-pas/2-T_ini-INDEX(CdP,1,i_P+0))+INDEX(CdP,2,i_P+0)</f>
        <v>0</v>
      </c>
      <c r="R560" s="418" t="n">
        <f aca="false">Poussee/(g*ISP)</f>
        <v>0</v>
      </c>
      <c r="S560" s="419" t="n">
        <f aca="false">S559-Débit*pas</f>
        <v>7.37799999999998</v>
      </c>
      <c r="T560" s="417" t="n">
        <f aca="false">m*g</f>
        <v>72.3781799999998</v>
      </c>
      <c r="U560" s="421" t="n">
        <f aca="false">IF(pos_xz&lt;L_rampe,Poids*COS(Beta),0)</f>
        <v>0</v>
      </c>
      <c r="V560" s="418" t="n">
        <f aca="false">Rho_moyen*(20000-Alt_rampe-pos_z)/(20000+Alt_rampe+pos_z)</f>
        <v>1.06144891174473</v>
      </c>
      <c r="W560" s="417" t="n">
        <f aca="false">1/2*Rho*Sref*Cx*vit_xz^2</f>
        <v>4.43734933810496</v>
      </c>
      <c r="X560" s="401"/>
      <c r="Y560" s="422" t="str">
        <f aca="false">IF(AND(pos_z&lt;=0,K559&gt;0),"Impact balistique","") &amp; IF(AND(H561&lt;0,vit_z&gt;=0),"Apogée","") &amp; IF(AND(Poussee=0,Q559&gt;0),"Fin de propulsion","") &amp; IF(AND(L561&gt;L_rampe,pos_xz&lt;=L_rampe),"Sortie de rampe","")</f>
        <v/>
      </c>
      <c r="Z560" s="423" t="str">
        <f aca="false">IF(ABS(t-T_para)&lt;pas/2,"Para","")</f>
        <v/>
      </c>
      <c r="AA560" s="424" t="str">
        <f aca="false">IF(ABS(t-T_satellite)&lt;pas/2,"Satellite","")</f>
        <v/>
      </c>
      <c r="AB560" s="412"/>
      <c r="AC560" s="420" t="e">
        <f aca="false">IF(ABS(t-ROUND(t,0))&lt;0.001,t,NA())</f>
        <v>#N/A</v>
      </c>
      <c r="AD560" s="425" t="e">
        <f aca="false">IF(ABS(t-ROUND(t,0))&lt;0.001,pos_x,NA())</f>
        <v>#N/A</v>
      </c>
      <c r="AE560" s="426" t="e">
        <f aca="false">IF(t&lt;T_para, pos_z, NA())</f>
        <v>#N/A</v>
      </c>
      <c r="AF560" s="412"/>
      <c r="AG560" s="418" t="n">
        <f aca="false">IF(AND(L559&lt;L_rampe,Poussee&lt;Poids*SIN(M559)),0,(-W559+Poussee)/m-Poids*SIN(M559)/m)</f>
        <v>6.43199205703369</v>
      </c>
      <c r="AH560" s="417" t="n">
        <f aca="false">IF(AND(L559&lt;L_rampe,Poussee&lt;Poids*SIN(M559)), g*SIN(M559), (-W559+Poussee)/m)</f>
        <v>-0.580271576978901</v>
      </c>
    </row>
    <row r="561" customFormat="false" ht="12" hidden="false" customHeight="false" outlineLevel="0" collapsed="false">
      <c r="A561" s="416" t="n">
        <f aca="false">IF(B560+0.01&lt;=T_ini+ROUNDUP(Temps_fin_propu,0), 0.01, IF(K560&gt;0, 0.1, 0.0001))</f>
        <v>0.1</v>
      </c>
      <c r="B561" s="417" t="n">
        <f aca="false">B560+pas</f>
        <v>19.7</v>
      </c>
      <c r="C561" s="401"/>
      <c r="D561" s="418" t="n">
        <f aca="false">IF(AND(L560&lt;L_rampe,Poussee&lt;Poids*SIN(M560)),0,(-W560+Poussee)/m*COS(M560)-U560/m*SIN(M560))</f>
        <v>-0.412520931002685</v>
      </c>
      <c r="E561" s="419" t="n">
        <f aca="false">IF(AND(L560&lt;L_rampe,Poussee&lt;Poids*SIN(M560)),0,(-W560+Poussee)/m*SIN(M560)+U560/m*COS(M560)-Poids/m)</f>
        <v>-9.37234222223781</v>
      </c>
      <c r="F561" s="417" t="n">
        <f aca="false">SQRT(acc_x^2+acc_z^2)</f>
        <v>9.38141632426879</v>
      </c>
      <c r="G561" s="418" t="n">
        <f aca="false">G560+acc_x*pas</f>
        <v>25.2491320279516</v>
      </c>
      <c r="H561" s="419" t="n">
        <f aca="false">H560+acc_z*pas</f>
        <v>-27.7686807775981</v>
      </c>
      <c r="I561" s="417" t="n">
        <f aca="false">SQRT(vit_x^2+vit_z^2)</f>
        <v>37.5315640533815</v>
      </c>
      <c r="J561" s="418" t="n">
        <f aca="false">J560+0.5*(vit_x+G560)*pas*(K560&gt;=0)</f>
        <v>591.959891961025</v>
      </c>
      <c r="K561" s="419" t="n">
        <f aca="false">K560+0.5*(vit_z+H560)*pas</f>
        <v>1427.88221868822</v>
      </c>
      <c r="L561" s="417" t="n">
        <f aca="false">SQRT(pos_x^2+pos_z^2)</f>
        <v>1545.72447225775</v>
      </c>
      <c r="M561" s="418" t="n">
        <f aca="false">IF(AND(L560&gt;L_rampe,G561&gt;0),ATAN2(G561,H561),$M$4)</f>
        <v>-0.83288512035641</v>
      </c>
      <c r="N561" s="417" t="n">
        <f aca="false">DEGREES(Beta)</f>
        <v>-47.7208022156679</v>
      </c>
      <c r="O561" s="401"/>
      <c r="P561" s="420" t="n">
        <f aca="false">MATCH(t-pas/2-T_ini,CdP_t)</f>
        <v>23</v>
      </c>
      <c r="Q561" s="417" t="n">
        <f aca="false">(INDEX(CdP,2,i_P+1)-INDEX(CdP,2,i_P+0))/(INDEX(CdP,1,i_P+1)-INDEX(CdP,1,i_P+0))*(t-pas/2-T_ini-INDEX(CdP,1,i_P+0))+INDEX(CdP,2,i_P+0)</f>
        <v>0</v>
      </c>
      <c r="R561" s="418" t="n">
        <f aca="false">Poussee/(g*ISP)</f>
        <v>0</v>
      </c>
      <c r="S561" s="419" t="n">
        <f aca="false">S560-Débit*pas</f>
        <v>7.37799999999998</v>
      </c>
      <c r="T561" s="417" t="n">
        <f aca="false">m*g</f>
        <v>72.3781799999998</v>
      </c>
      <c r="U561" s="421" t="n">
        <f aca="false">IF(pos_xz&lt;L_rampe,Poids*COS(Beta),0)</f>
        <v>0</v>
      </c>
      <c r="V561" s="418" t="n">
        <f aca="false">Rho_moyen*(20000-Alt_rampe-pos_z)/(20000+Alt_rampe+pos_z)</f>
        <v>1.06174021538465</v>
      </c>
      <c r="W561" s="417" t="n">
        <f aca="false">1/2*Rho*Sref*Cx*vit_xz^2</f>
        <v>4.598829471284</v>
      </c>
      <c r="X561" s="401"/>
      <c r="Y561" s="422" t="str">
        <f aca="false">IF(AND(pos_z&lt;=0,K560&gt;0),"Impact balistique","") &amp; IF(AND(H562&lt;0,vit_z&gt;=0),"Apogée","") &amp; IF(AND(Poussee=0,Q560&gt;0),"Fin de propulsion","") &amp; IF(AND(L562&gt;L_rampe,pos_xz&lt;=L_rampe),"Sortie de rampe","")</f>
        <v/>
      </c>
      <c r="Z561" s="423" t="str">
        <f aca="false">IF(ABS(t-T_para)&lt;pas/2,"Para","")</f>
        <v/>
      </c>
      <c r="AA561" s="424" t="str">
        <f aca="false">IF(ABS(t-T_satellite)&lt;pas/2,"Satellite","")</f>
        <v/>
      </c>
      <c r="AB561" s="412"/>
      <c r="AC561" s="420" t="e">
        <f aca="false">IF(ABS(t-ROUND(t,0))&lt;0.001,t,NA())</f>
        <v>#N/A</v>
      </c>
      <c r="AD561" s="425" t="e">
        <f aca="false">IF(ABS(t-ROUND(t,0))&lt;0.001,pos_x,NA())</f>
        <v>#N/A</v>
      </c>
      <c r="AE561" s="426" t="e">
        <f aca="false">IF(t&lt;T_para, pos_z, NA())</f>
        <v>#N/A</v>
      </c>
      <c r="AF561" s="412"/>
      <c r="AG561" s="418" t="n">
        <f aca="false">IF(AND(L560&lt;L_rampe,Poussee&lt;Poids*SIN(M560)),0,(-W560+Poussee)/m-Poids*SIN(M560)/m)</f>
        <v>6.53726288318317</v>
      </c>
      <c r="AH561" s="417" t="n">
        <f aca="false">IF(AND(L560&lt;L_rampe,Poussee&lt;Poids*SIN(M560)), g*SIN(M560), (-W560+Poussee)/m)</f>
        <v>-0.601429837097448</v>
      </c>
    </row>
    <row r="562" customFormat="false" ht="12" hidden="false" customHeight="false" outlineLevel="0" collapsed="false">
      <c r="A562" s="416" t="n">
        <f aca="false">IF(B561+0.01&lt;=T_ini+ROUNDUP(Temps_fin_propu,0), 0.01, IF(K561&gt;0, 0.1, 0.0001))</f>
        <v>0.1</v>
      </c>
      <c r="B562" s="417" t="n">
        <f aca="false">B561+pas</f>
        <v>19.8</v>
      </c>
      <c r="C562" s="401"/>
      <c r="D562" s="418" t="n">
        <f aca="false">IF(AND(L561&lt;L_rampe,Poussee&lt;Poids*SIN(M561)),0,(-W561+Poussee)/m*COS(M561)-U561/m*SIN(M561))</f>
        <v>-0.419332424444375</v>
      </c>
      <c r="E562" s="419" t="n">
        <f aca="false">IF(AND(L561&lt;L_rampe,Poussee&lt;Poids*SIN(M561)),0,(-W561+Poussee)/m*SIN(M561)+U561/m*COS(M561)-Poids/m)</f>
        <v>-9.34882342485273</v>
      </c>
      <c r="F562" s="417" t="n">
        <f aca="false">SQRT(acc_x^2+acc_z^2)</f>
        <v>9.35822307445518</v>
      </c>
      <c r="G562" s="418" t="n">
        <f aca="false">G561+acc_x*pas</f>
        <v>25.2071987855072</v>
      </c>
      <c r="H562" s="419" t="n">
        <f aca="false">H561+acc_z*pas</f>
        <v>-28.7035631200834</v>
      </c>
      <c r="I562" s="417" t="n">
        <f aca="false">SQRT(vit_x^2+vit_z^2)</f>
        <v>38.2007513852894</v>
      </c>
      <c r="J562" s="418" t="n">
        <f aca="false">J561+0.5*(vit_x+G561)*pas*(K561&gt;=0)</f>
        <v>594.482708501698</v>
      </c>
      <c r="K562" s="419" t="n">
        <f aca="false">K561+0.5*(vit_z+H561)*pas</f>
        <v>1425.05860649334</v>
      </c>
      <c r="L562" s="417" t="n">
        <f aca="false">SQRT(pos_x^2+pos_z^2)</f>
        <v>1544.08604768266</v>
      </c>
      <c r="M562" s="418" t="n">
        <f aca="false">IF(AND(L561&gt;L_rampe,G562&gt;0),ATAN2(G562,H562),$M$4)</f>
        <v>-0.850162126918335</v>
      </c>
      <c r="N562" s="417" t="n">
        <f aca="false">DEGREES(Beta)</f>
        <v>-48.710701774286</v>
      </c>
      <c r="O562" s="401"/>
      <c r="P562" s="420" t="n">
        <f aca="false">MATCH(t-pas/2-T_ini,CdP_t)</f>
        <v>23</v>
      </c>
      <c r="Q562" s="417" t="n">
        <f aca="false">(INDEX(CdP,2,i_P+1)-INDEX(CdP,2,i_P+0))/(INDEX(CdP,1,i_P+1)-INDEX(CdP,1,i_P+0))*(t-pas/2-T_ini-INDEX(CdP,1,i_P+0))+INDEX(CdP,2,i_P+0)</f>
        <v>0</v>
      </c>
      <c r="R562" s="418" t="n">
        <f aca="false">Poussee/(g*ISP)</f>
        <v>0</v>
      </c>
      <c r="S562" s="419" t="n">
        <f aca="false">S561-Débit*pas</f>
        <v>7.37799999999998</v>
      </c>
      <c r="T562" s="417" t="n">
        <f aca="false">m*g</f>
        <v>72.3781799999998</v>
      </c>
      <c r="U562" s="421" t="n">
        <f aca="false">IF(pos_xz&lt;L_rampe,Poids*COS(Beta),0)</f>
        <v>0</v>
      </c>
      <c r="V562" s="418" t="n">
        <f aca="false">Rho_moyen*(20000-Alt_rampe-pos_z)/(20000+Alt_rampe+pos_z)</f>
        <v>1.0620415852748</v>
      </c>
      <c r="W562" s="417" t="n">
        <f aca="false">1/2*Rho*Sref*Cx*vit_xz^2</f>
        <v>4.7656379452396</v>
      </c>
      <c r="X562" s="401"/>
      <c r="Y562" s="422" t="str">
        <f aca="false">IF(AND(pos_z&lt;=0,K561&gt;0),"Impact balistique","") &amp; IF(AND(H563&lt;0,vit_z&gt;=0),"Apogée","") &amp; IF(AND(Poussee=0,Q561&gt;0),"Fin de propulsion","") &amp; IF(AND(L563&gt;L_rampe,pos_xz&lt;=L_rampe),"Sortie de rampe","")</f>
        <v/>
      </c>
      <c r="Z562" s="423" t="str">
        <f aca="false">IF(ABS(t-T_para)&lt;pas/2,"Para","")</f>
        <v/>
      </c>
      <c r="AA562" s="424" t="str">
        <f aca="false">IF(ABS(t-T_satellite)&lt;pas/2,"Satellite","")</f>
        <v/>
      </c>
      <c r="AB562" s="412"/>
      <c r="AC562" s="420" t="e">
        <f aca="false">IF(ABS(t-ROUND(t,0))&lt;0.001,t,NA())</f>
        <v>#N/A</v>
      </c>
      <c r="AD562" s="425" t="e">
        <f aca="false">IF(ABS(t-ROUND(t,0))&lt;0.001,pos_x,NA())</f>
        <v>#N/A</v>
      </c>
      <c r="AE562" s="426" t="e">
        <f aca="false">IF(t&lt;T_para, pos_z, NA())</f>
        <v>#N/A</v>
      </c>
      <c r="AF562" s="412"/>
      <c r="AG562" s="418" t="n">
        <f aca="false">IF(AND(L561&lt;L_rampe,Poussee&lt;Poids*SIN(M561)),0,(-W561+Poussee)/m-Poids*SIN(M561)/m)</f>
        <v>6.63486107928491</v>
      </c>
      <c r="AH562" s="417" t="n">
        <f aca="false">IF(AND(L561&lt;L_rampe,Poussee&lt;Poids*SIN(M561)), g*SIN(M561), (-W561+Poussee)/m)</f>
        <v>-0.623316545308215</v>
      </c>
    </row>
    <row r="563" customFormat="false" ht="12" hidden="false" customHeight="false" outlineLevel="0" collapsed="false">
      <c r="A563" s="416" t="n">
        <f aca="false">IF(B562+0.01&lt;=T_ini+ROUNDUP(Temps_fin_propu,0), 0.01, IF(K562&gt;0, 0.1, 0.0001))</f>
        <v>0.1</v>
      </c>
      <c r="B563" s="417" t="n">
        <f aca="false">B562+pas</f>
        <v>19.9</v>
      </c>
      <c r="C563" s="401"/>
      <c r="D563" s="418" t="n">
        <f aca="false">IF(AND(L562&lt;L_rampe,Poussee&lt;Poids*SIN(M562)),0,(-W562+Poussee)/m*COS(M562)-U562/m*SIN(M562))</f>
        <v>-0.426221227158945</v>
      </c>
      <c r="E563" s="419" t="n">
        <f aca="false">IF(AND(L562&lt;L_rampe,Poussee&lt;Poids*SIN(M562)),0,(-W562+Poussee)/m*SIN(M562)+U562/m*COS(M562)-Poids/m)</f>
        <v>-9.32465976045263</v>
      </c>
      <c r="F563" s="417" t="n">
        <f aca="false">SQRT(acc_x^2+acc_z^2)</f>
        <v>9.33439575884189</v>
      </c>
      <c r="G563" s="418" t="n">
        <f aca="false">G562+acc_x*pas</f>
        <v>25.1645766627913</v>
      </c>
      <c r="H563" s="419" t="n">
        <f aca="false">H562+acc_z*pas</f>
        <v>-29.6360290961287</v>
      </c>
      <c r="I563" s="417" t="n">
        <f aca="false">SQRT(vit_x^2+vit_z^2)</f>
        <v>38.8786591744634</v>
      </c>
      <c r="J563" s="418" t="n">
        <f aca="false">J562+0.5*(vit_x+G562)*pas*(K562&gt;=0)</f>
        <v>597.001297274113</v>
      </c>
      <c r="K563" s="419" t="n">
        <f aca="false">K562+0.5*(vit_z+H562)*pas</f>
        <v>1422.14162688253</v>
      </c>
      <c r="L563" s="417" t="n">
        <f aca="false">SQRT(pos_x^2+pos_z^2)</f>
        <v>1542.36745163371</v>
      </c>
      <c r="M563" s="418" t="n">
        <f aca="false">IF(AND(L562&gt;L_rampe,G563&gt;0),ATAN2(G563,H563),$M$4)</f>
        <v>-0.866812749517606</v>
      </c>
      <c r="N563" s="417" t="n">
        <f aca="false">DEGREES(Beta)</f>
        <v>-49.6647121754894</v>
      </c>
      <c r="O563" s="401"/>
      <c r="P563" s="420" t="n">
        <f aca="false">MATCH(t-pas/2-T_ini,CdP_t)</f>
        <v>23</v>
      </c>
      <c r="Q563" s="417" t="n">
        <f aca="false">(INDEX(CdP,2,i_P+1)-INDEX(CdP,2,i_P+0))/(INDEX(CdP,1,i_P+1)-INDEX(CdP,1,i_P+0))*(t-pas/2-T_ini-INDEX(CdP,1,i_P+0))+INDEX(CdP,2,i_P+0)</f>
        <v>0</v>
      </c>
      <c r="R563" s="418" t="n">
        <f aca="false">Poussee/(g*ISP)</f>
        <v>0</v>
      </c>
      <c r="S563" s="419" t="n">
        <f aca="false">S562-Débit*pas</f>
        <v>7.37799999999998</v>
      </c>
      <c r="T563" s="417" t="n">
        <f aca="false">m*g</f>
        <v>72.3781799999998</v>
      </c>
      <c r="U563" s="421" t="n">
        <f aca="false">IF(pos_xz&lt;L_rampe,Poids*COS(Beta),0)</f>
        <v>0</v>
      </c>
      <c r="V563" s="418" t="n">
        <f aca="false">Rho_moyen*(20000-Alt_rampe-pos_z)/(20000+Alt_rampe+pos_z)</f>
        <v>1.06235300388968</v>
      </c>
      <c r="W563" s="417" t="n">
        <f aca="false">1/2*Rho*Sref*Cx*vit_xz^2</f>
        <v>4.93772751489079</v>
      </c>
      <c r="X563" s="401"/>
      <c r="Y563" s="422" t="str">
        <f aca="false">IF(AND(pos_z&lt;=0,K562&gt;0),"Impact balistique","") &amp; IF(AND(H564&lt;0,vit_z&gt;=0),"Apogée","") &amp; IF(AND(Poussee=0,Q562&gt;0),"Fin de propulsion","") &amp; IF(AND(L564&gt;L_rampe,pos_xz&lt;=L_rampe),"Sortie de rampe","")</f>
        <v/>
      </c>
      <c r="Z563" s="423" t="str">
        <f aca="false">IF(ABS(t-T_para)&lt;pas/2,"Para","")</f>
        <v/>
      </c>
      <c r="AA563" s="424" t="str">
        <f aca="false">IF(ABS(t-T_satellite)&lt;pas/2,"Satellite","")</f>
        <v/>
      </c>
      <c r="AB563" s="412"/>
      <c r="AC563" s="420" t="e">
        <f aca="false">IF(ABS(t-ROUND(t,0))&lt;0.001,t,NA())</f>
        <v>#N/A</v>
      </c>
      <c r="AD563" s="425" t="e">
        <f aca="false">IF(ABS(t-ROUND(t,0))&lt;0.001,pos_x,NA())</f>
        <v>#N/A</v>
      </c>
      <c r="AE563" s="426" t="e">
        <f aca="false">IF(t&lt;T_para, pos_z, NA())</f>
        <v>#N/A</v>
      </c>
      <c r="AF563" s="412"/>
      <c r="AG563" s="418" t="n">
        <f aca="false">IF(AND(L562&lt;L_rampe,Poussee&lt;Poids*SIN(M562)),0,(-W562+Poussee)/m-Poids*SIN(M562)/m)</f>
        <v>6.72518491106924</v>
      </c>
      <c r="AH563" s="417" t="n">
        <f aca="false">IF(AND(L562&lt;L_rampe,Poussee&lt;Poids*SIN(M562)), g*SIN(M562), (-W562+Poussee)/m)</f>
        <v>-0.645925446630471</v>
      </c>
    </row>
    <row r="564" customFormat="false" ht="12" hidden="false" customHeight="false" outlineLevel="0" collapsed="false">
      <c r="A564" s="416" t="n">
        <f aca="false">IF(B563+0.01&lt;=T_ini+ROUNDUP(Temps_fin_propu,0), 0.01, IF(K563&gt;0, 0.1, 0.0001))</f>
        <v>0.1</v>
      </c>
      <c r="B564" s="417" t="n">
        <f aca="false">B563+pas</f>
        <v>20</v>
      </c>
      <c r="C564" s="401"/>
      <c r="D564" s="418" t="n">
        <f aca="false">IF(AND(L563&lt;L_rampe,Poussee&lt;Poids*SIN(M563)),0,(-W563+Poussee)/m*COS(M563)-U563/m*SIN(M563))</f>
        <v>-0.433178426178403</v>
      </c>
      <c r="E564" s="419" t="n">
        <f aca="false">IF(AND(L563&lt;L_rampe,Poussee&lt;Poids*SIN(M563)),0,(-W563+Poussee)/m*SIN(M563)+U563/m*COS(M563)-Poids/m)</f>
        <v>-9.29985080837778</v>
      </c>
      <c r="F564" s="417" t="n">
        <f aca="false">SQRT(acc_x^2+acc_z^2)</f>
        <v>9.30993386695046</v>
      </c>
      <c r="G564" s="418" t="n">
        <f aca="false">G563+acc_x*pas</f>
        <v>25.1212588201735</v>
      </c>
      <c r="H564" s="419" t="n">
        <f aca="false">H563+acc_z*pas</f>
        <v>-30.5660141769664</v>
      </c>
      <c r="I564" s="417" t="n">
        <f aca="false">SQRT(vit_x^2+vit_z^2)</f>
        <v>39.564616355737</v>
      </c>
      <c r="J564" s="418" t="n">
        <f aca="false">J563+0.5*(vit_x+G563)*pas*(K563&gt;=0)</f>
        <v>599.515589048261</v>
      </c>
      <c r="K564" s="419" t="n">
        <f aca="false">K563+0.5*(vit_z+H563)*pas</f>
        <v>1419.13152471887</v>
      </c>
      <c r="L564" s="417" t="n">
        <f aca="false">SQRT(pos_x^2+pos_z^2)</f>
        <v>1540.56912404565</v>
      </c>
      <c r="M564" s="418" t="n">
        <f aca="false">IF(AND(L563&gt;L_rampe,G564&gt;0),ATAN2(G564,H564),$M$4)</f>
        <v>-0.882862158461093</v>
      </c>
      <c r="N564" s="417" t="n">
        <f aca="false">DEGREES(Beta)</f>
        <v>-50.5842755716308</v>
      </c>
      <c r="O564" s="401"/>
      <c r="P564" s="420" t="n">
        <f aca="false">MATCH(t-pas/2-T_ini,CdP_t)</f>
        <v>23</v>
      </c>
      <c r="Q564" s="417" t="n">
        <f aca="false">(INDEX(CdP,2,i_P+1)-INDEX(CdP,2,i_P+0))/(INDEX(CdP,1,i_P+1)-INDEX(CdP,1,i_P+0))*(t-pas/2-T_ini-INDEX(CdP,1,i_P+0))+INDEX(CdP,2,i_P+0)</f>
        <v>0</v>
      </c>
      <c r="R564" s="418" t="n">
        <f aca="false">Poussee/(g*ISP)</f>
        <v>0</v>
      </c>
      <c r="S564" s="419" t="n">
        <f aca="false">S563-Débit*pas</f>
        <v>7.37799999999998</v>
      </c>
      <c r="T564" s="417" t="n">
        <f aca="false">m*g</f>
        <v>72.3781799999998</v>
      </c>
      <c r="U564" s="421" t="n">
        <f aca="false">IF(pos_xz&lt;L_rampe,Poids*COS(Beta),0)</f>
        <v>0</v>
      </c>
      <c r="V564" s="418" t="n">
        <f aca="false">Rho_moyen*(20000-Alt_rampe-pos_z)/(20000+Alt_rampe+pos_z)</f>
        <v>1.06267445325462</v>
      </c>
      <c r="W564" s="417" t="n">
        <f aca="false">1/2*Rho*Sref*Cx*vit_xz^2</f>
        <v>5.11504984502876</v>
      </c>
      <c r="X564" s="401"/>
      <c r="Y564" s="422" t="str">
        <f aca="false">IF(AND(pos_z&lt;=0,K563&gt;0),"Impact balistique","") &amp; IF(AND(H565&lt;0,vit_z&gt;=0),"Apogée","") &amp; IF(AND(Poussee=0,Q563&gt;0),"Fin de propulsion","") &amp; IF(AND(L565&gt;L_rampe,pos_xz&lt;=L_rampe),"Sortie de rampe","")</f>
        <v/>
      </c>
      <c r="Z564" s="423" t="str">
        <f aca="false">IF(ABS(t-T_para)&lt;pas/2,"Para","")</f>
        <v/>
      </c>
      <c r="AA564" s="424" t="str">
        <f aca="false">IF(ABS(t-T_satellite)&lt;pas/2,"Satellite","")</f>
        <v/>
      </c>
      <c r="AB564" s="412"/>
      <c r="AC564" s="420" t="n">
        <f aca="false">IF(ABS(t-ROUND(t,0))&lt;0.001,t,NA())</f>
        <v>20</v>
      </c>
      <c r="AD564" s="425" t="n">
        <f aca="false">IF(ABS(t-ROUND(t,0))&lt;0.001,pos_x,NA())</f>
        <v>599.515589048261</v>
      </c>
      <c r="AE564" s="426" t="e">
        <f aca="false">IF(t&lt;T_para, pos_z, NA())</f>
        <v>#N/A</v>
      </c>
      <c r="AF564" s="412"/>
      <c r="AG564" s="418" t="n">
        <f aca="false">IF(AND(L563&lt;L_rampe,Poussee&lt;Poids*SIN(M563)),0,(-W563+Poussee)/m-Poids*SIN(M563)/m)</f>
        <v>6.80861693929957</v>
      </c>
      <c r="AH564" s="417" t="n">
        <f aca="false">IF(AND(L563&lt;L_rampe,Poussee&lt;Poids*SIN(M563)), g*SIN(M563), (-W563+Poussee)/m)</f>
        <v>-0.669250137556357</v>
      </c>
    </row>
    <row r="565" customFormat="false" ht="12" hidden="false" customHeight="false" outlineLevel="0" collapsed="false">
      <c r="A565" s="416" t="n">
        <f aca="false">IF(B564+0.01&lt;=T_ini+ROUNDUP(Temps_fin_propu,0), 0.01, IF(K564&gt;0, 0.1, 0.0001))</f>
        <v>0.1</v>
      </c>
      <c r="B565" s="417" t="n">
        <f aca="false">B564+pas</f>
        <v>20.1</v>
      </c>
      <c r="C565" s="401"/>
      <c r="D565" s="418" t="n">
        <f aca="false">IF(AND(L564&lt;L_rampe,Poussee&lt;Poids*SIN(M564)),0,(-W564+Poussee)/m*COS(M564)-U564/m*SIN(M564))</f>
        <v>-0.440195560649412</v>
      </c>
      <c r="E565" s="419" t="n">
        <f aca="false">IF(AND(L564&lt;L_rampe,Poussee&lt;Poids*SIN(M564)),0,(-W564+Poussee)/m*SIN(M564)+U564/m*COS(M564)-Poids/m)</f>
        <v>-9.27439691403352</v>
      </c>
      <c r="F565" s="417" t="n">
        <f aca="false">SQRT(acc_x^2+acc_z^2)</f>
        <v>9.2848376534353</v>
      </c>
      <c r="G565" s="418" t="n">
        <f aca="false">G564+acc_x*pas</f>
        <v>25.0772392641085</v>
      </c>
      <c r="H565" s="419" t="n">
        <f aca="false">H564+acc_z*pas</f>
        <v>-31.4934538683698</v>
      </c>
      <c r="I565" s="417" t="n">
        <f aca="false">SQRT(vit_x^2+vit_z^2)</f>
        <v>40.2579876008288</v>
      </c>
      <c r="J565" s="418" t="n">
        <f aca="false">J564+0.5*(vit_x+G564)*pas*(K564&gt;=0)</f>
        <v>602.025513952475</v>
      </c>
      <c r="K565" s="419" t="n">
        <f aca="false">K564+0.5*(vit_z+H564)*pas</f>
        <v>1416.0285513166</v>
      </c>
      <c r="L565" s="417" t="n">
        <f aca="false">SQRT(pos_x^2+pos_z^2)</f>
        <v>1538.69151475971</v>
      </c>
      <c r="M565" s="418" t="n">
        <f aca="false">IF(AND(L564&gt;L_rampe,G565&gt;0),ATAN2(G565,H565),$M$4)</f>
        <v>-0.89833495140071</v>
      </c>
      <c r="N565" s="417" t="n">
        <f aca="false">DEGREES(Beta)</f>
        <v>-51.4708013043506</v>
      </c>
      <c r="O565" s="401"/>
      <c r="P565" s="420" t="n">
        <f aca="false">MATCH(t-pas/2-T_ini,CdP_t)</f>
        <v>23</v>
      </c>
      <c r="Q565" s="417" t="n">
        <f aca="false">(INDEX(CdP,2,i_P+1)-INDEX(CdP,2,i_P+0))/(INDEX(CdP,1,i_P+1)-INDEX(CdP,1,i_P+0))*(t-pas/2-T_ini-INDEX(CdP,1,i_P+0))+INDEX(CdP,2,i_P+0)</f>
        <v>0</v>
      </c>
      <c r="R565" s="418" t="n">
        <f aca="false">Poussee/(g*ISP)</f>
        <v>0</v>
      </c>
      <c r="S565" s="419" t="n">
        <f aca="false">S564-Débit*pas</f>
        <v>7.37799999999998</v>
      </c>
      <c r="T565" s="417" t="n">
        <f aca="false">m*g</f>
        <v>72.3781799999998</v>
      </c>
      <c r="U565" s="421" t="n">
        <f aca="false">IF(pos_xz&lt;L_rampe,Poids*COS(Beta),0)</f>
        <v>0</v>
      </c>
      <c r="V565" s="418" t="n">
        <f aca="false">Rho_moyen*(20000-Alt_rampe-pos_z)/(20000+Alt_rampe+pos_z)</f>
        <v>1.06300591494297</v>
      </c>
      <c r="W565" s="417" t="n">
        <f aca="false">1/2*Rho*Sref*Cx*vit_xz^2</f>
        <v>5.29755551819955</v>
      </c>
      <c r="X565" s="401"/>
      <c r="Y565" s="422" t="str">
        <f aca="false">IF(AND(pos_z&lt;=0,K564&gt;0),"Impact balistique","") &amp; IF(AND(H566&lt;0,vit_z&gt;=0),"Apogée","") &amp; IF(AND(Poussee=0,Q564&gt;0),"Fin de propulsion","") &amp; IF(AND(L566&gt;L_rampe,pos_xz&lt;=L_rampe),"Sortie de rampe","")</f>
        <v/>
      </c>
      <c r="Z565" s="423" t="str">
        <f aca="false">IF(ABS(t-T_para)&lt;pas/2,"Para","")</f>
        <v/>
      </c>
      <c r="AA565" s="424" t="str">
        <f aca="false">IF(ABS(t-T_satellite)&lt;pas/2,"Satellite","")</f>
        <v/>
      </c>
      <c r="AB565" s="412"/>
      <c r="AC565" s="420" t="e">
        <f aca="false">IF(ABS(t-ROUND(t,0))&lt;0.001,t,NA())</f>
        <v>#N/A</v>
      </c>
      <c r="AD565" s="425" t="e">
        <f aca="false">IF(ABS(t-ROUND(t,0))&lt;0.001,pos_x,NA())</f>
        <v>#N/A</v>
      </c>
      <c r="AE565" s="426" t="e">
        <f aca="false">IF(t&lt;T_para, pos_z, NA())</f>
        <v>#N/A</v>
      </c>
      <c r="AF565" s="412"/>
      <c r="AG565" s="418" t="n">
        <f aca="false">IF(AND(L564&lt;L_rampe,Poussee&lt;Poids*SIN(M564)),0,(-W564+Poussee)/m-Poids*SIN(M564)/m)</f>
        <v>6.88552312746221</v>
      </c>
      <c r="AH565" s="417" t="n">
        <f aca="false">IF(AND(L564&lt;L_rampe,Poussee&lt;Poids*SIN(M564)), g*SIN(M564), (-W564+Poussee)/m)</f>
        <v>-0.693284066824176</v>
      </c>
    </row>
    <row r="566" customFormat="false" ht="12" hidden="false" customHeight="false" outlineLevel="0" collapsed="false">
      <c r="A566" s="416" t="n">
        <f aca="false">IF(B565+0.01&lt;=T_ini+ROUNDUP(Temps_fin_propu,0), 0.01, IF(K565&gt;0, 0.1, 0.0001))</f>
        <v>0.1</v>
      </c>
      <c r="B566" s="417" t="n">
        <f aca="false">B565+pas</f>
        <v>20.2</v>
      </c>
      <c r="C566" s="401"/>
      <c r="D566" s="418" t="n">
        <f aca="false">IF(AND(L565&lt;L_rampe,Poussee&lt;Poids*SIN(M565)),0,(-W565+Poussee)/m*COS(M565)-U565/m*SIN(M565))</f>
        <v>-0.447264601712288</v>
      </c>
      <c r="E566" s="419" t="n">
        <f aca="false">IF(AND(L565&lt;L_rampe,Poussee&lt;Poids*SIN(M565)),0,(-W565+Poussee)/m*SIN(M565)+U565/m*COS(M565)-Poids/m)</f>
        <v>-9.24829913043335</v>
      </c>
      <c r="F566" s="417" t="n">
        <f aca="false">SQRT(acc_x^2+acc_z^2)</f>
        <v>9.25910807961108</v>
      </c>
      <c r="G566" s="418" t="n">
        <f aca="false">G565+acc_x*pas</f>
        <v>25.0325128039373</v>
      </c>
      <c r="H566" s="419" t="n">
        <f aca="false">H565+acc_z*pas</f>
        <v>-32.4182837814131</v>
      </c>
      <c r="I566" s="417" t="n">
        <f aca="false">SQRT(vit_x^2+vit_z^2)</f>
        <v>40.9581715975154</v>
      </c>
      <c r="J566" s="418" t="n">
        <f aca="false">J565+0.5*(vit_x+G565)*pas*(K565&gt;=0)</f>
        <v>604.531001555877</v>
      </c>
      <c r="K566" s="419" t="n">
        <f aca="false">K565+0.5*(vit_z+H565)*pas</f>
        <v>1412.83296443412</v>
      </c>
      <c r="L566" s="417" t="n">
        <f aca="false">SQRT(pos_x^2+pos_z^2)</f>
        <v>1536.73508362172</v>
      </c>
      <c r="M566" s="418" t="n">
        <f aca="false">IF(AND(L565&gt;L_rampe,G566&gt;0),ATAN2(G566,H566),$M$4)</f>
        <v>-0.913255068140334</v>
      </c>
      <c r="N566" s="417" t="n">
        <f aca="false">DEGREES(Beta)</f>
        <v>-52.3256610233736</v>
      </c>
      <c r="O566" s="401"/>
      <c r="P566" s="420" t="n">
        <f aca="false">MATCH(t-pas/2-T_ini,CdP_t)</f>
        <v>23</v>
      </c>
      <c r="Q566" s="417" t="n">
        <f aca="false">(INDEX(CdP,2,i_P+1)-INDEX(CdP,2,i_P+0))/(INDEX(CdP,1,i_P+1)-INDEX(CdP,1,i_P+0))*(t-pas/2-T_ini-INDEX(CdP,1,i_P+0))+INDEX(CdP,2,i_P+0)</f>
        <v>0</v>
      </c>
      <c r="R566" s="418" t="n">
        <f aca="false">Poussee/(g*ISP)</f>
        <v>0</v>
      </c>
      <c r="S566" s="419" t="n">
        <f aca="false">S565-Débit*pas</f>
        <v>7.37799999999998</v>
      </c>
      <c r="T566" s="417" t="n">
        <f aca="false">m*g</f>
        <v>72.3781799999998</v>
      </c>
      <c r="U566" s="421" t="n">
        <f aca="false">IF(pos_xz&lt;L_rampe,Poids*COS(Beta),0)</f>
        <v>0</v>
      </c>
      <c r="V566" s="418" t="n">
        <f aca="false">Rho_moyen*(20000-Alt_rampe-pos_z)/(20000+Alt_rampe+pos_z)</f>
        <v>1.06334737007416</v>
      </c>
      <c r="W566" s="417" t="n">
        <f aca="false">1/2*Rho*Sref*Cx*vit_xz^2</f>
        <v>5.48519404459632</v>
      </c>
      <c r="X566" s="401"/>
      <c r="Y566" s="422" t="str">
        <f aca="false">IF(AND(pos_z&lt;=0,K565&gt;0),"Impact balistique","") &amp; IF(AND(H567&lt;0,vit_z&gt;=0),"Apogée","") &amp; IF(AND(Poussee=0,Q565&gt;0),"Fin de propulsion","") &amp; IF(AND(L567&gt;L_rampe,pos_xz&lt;=L_rampe),"Sortie de rampe","")</f>
        <v/>
      </c>
      <c r="Z566" s="423" t="str">
        <f aca="false">IF(ABS(t-T_para)&lt;pas/2,"Para","")</f>
        <v/>
      </c>
      <c r="AA566" s="424" t="str">
        <f aca="false">IF(ABS(t-T_satellite)&lt;pas/2,"Satellite","")</f>
        <v/>
      </c>
      <c r="AB566" s="412"/>
      <c r="AC566" s="420" t="e">
        <f aca="false">IF(ABS(t-ROUND(t,0))&lt;0.001,t,NA())</f>
        <v>#N/A</v>
      </c>
      <c r="AD566" s="425" t="e">
        <f aca="false">IF(ABS(t-ROUND(t,0))&lt;0.001,pos_x,NA())</f>
        <v>#N/A</v>
      </c>
      <c r="AE566" s="426" t="e">
        <f aca="false">IF(t&lt;T_para, pos_z, NA())</f>
        <v>#N/A</v>
      </c>
      <c r="AF566" s="412"/>
      <c r="AG566" s="418" t="n">
        <f aca="false">IF(AND(L565&lt;L_rampe,Poussee&lt;Poids*SIN(M565)),0,(-W565+Poussee)/m-Poids*SIN(M565)/m)</f>
        <v>6.95625234352044</v>
      </c>
      <c r="AH566" s="417" t="n">
        <f aca="false">IF(AND(L565&lt;L_rampe,Poussee&lt;Poids*SIN(M565)), g*SIN(M565), (-W565+Poussee)/m)</f>
        <v>-0.718020536486794</v>
      </c>
    </row>
    <row r="567" customFormat="false" ht="12" hidden="false" customHeight="false" outlineLevel="0" collapsed="false">
      <c r="A567" s="416" t="n">
        <f aca="false">IF(B566+0.01&lt;=T_ini+ROUNDUP(Temps_fin_propu,0), 0.01, IF(K566&gt;0, 0.1, 0.0001))</f>
        <v>0.1</v>
      </c>
      <c r="B567" s="417" t="n">
        <f aca="false">B566+pas</f>
        <v>20.3</v>
      </c>
      <c r="C567" s="401"/>
      <c r="D567" s="418" t="n">
        <f aca="false">IF(AND(L566&lt;L_rampe,Poussee&lt;Poids*SIN(M566)),0,(-W566+Poussee)/m*COS(M566)-U566/m*SIN(M566))</f>
        <v>-0.454377932105174</v>
      </c>
      <c r="E567" s="419" t="n">
        <f aca="false">IF(AND(L566&lt;L_rampe,Poussee&lt;Poids*SIN(M566)),0,(-W566+Poussee)/m*SIN(M566)+U566/m*COS(M566)-Poids/m)</f>
        <v>-9.22155916458054</v>
      </c>
      <c r="F567" s="417" t="n">
        <f aca="false">SQRT(acc_x^2+acc_z^2)</f>
        <v>9.23274675982416</v>
      </c>
      <c r="G567" s="418" t="n">
        <f aca="false">G566+acc_x*pas</f>
        <v>24.9870750107268</v>
      </c>
      <c r="H567" s="419" t="n">
        <f aca="false">H566+acc_z*pas</f>
        <v>-33.3404396978712</v>
      </c>
      <c r="I567" s="417" t="n">
        <f aca="false">SQRT(vit_x^2+vit_z^2)</f>
        <v>41.6645993241153</v>
      </c>
      <c r="J567" s="418" t="n">
        <f aca="false">J566+0.5*(vit_x+G566)*pas*(K566&gt;=0)</f>
        <v>607.031980946611</v>
      </c>
      <c r="K567" s="419" t="n">
        <f aca="false">K566+0.5*(vit_z+H566)*pas</f>
        <v>1409.54502826015</v>
      </c>
      <c r="L567" s="417" t="n">
        <f aca="false">SQRT(pos_x^2+pos_z^2)</f>
        <v>1534.70030057496</v>
      </c>
      <c r="M567" s="418" t="n">
        <f aca="false">IF(AND(L566&gt;L_rampe,G567&gt;0),ATAN2(G567,H567),$M$4)</f>
        <v>-0.927645726843104</v>
      </c>
      <c r="N567" s="417" t="n">
        <f aca="false">DEGREES(Beta)</f>
        <v>-53.1501850314555</v>
      </c>
      <c r="O567" s="401"/>
      <c r="P567" s="420" t="n">
        <f aca="false">MATCH(t-pas/2-T_ini,CdP_t)</f>
        <v>23</v>
      </c>
      <c r="Q567" s="417" t="n">
        <f aca="false">(INDEX(CdP,2,i_P+1)-INDEX(CdP,2,i_P+0))/(INDEX(CdP,1,i_P+1)-INDEX(CdP,1,i_P+0))*(t-pas/2-T_ini-INDEX(CdP,1,i_P+0))+INDEX(CdP,2,i_P+0)</f>
        <v>0</v>
      </c>
      <c r="R567" s="418" t="n">
        <f aca="false">Poussee/(g*ISP)</f>
        <v>0</v>
      </c>
      <c r="S567" s="419" t="n">
        <f aca="false">S566-Débit*pas</f>
        <v>7.37799999999998</v>
      </c>
      <c r="T567" s="417" t="n">
        <f aca="false">m*g</f>
        <v>72.3781799999998</v>
      </c>
      <c r="U567" s="421" t="n">
        <f aca="false">IF(pos_xz&lt;L_rampe,Poids*COS(Beta),0)</f>
        <v>0</v>
      </c>
      <c r="V567" s="418" t="n">
        <f aca="false">Rho_moyen*(20000-Alt_rampe-pos_z)/(20000+Alt_rampe+pos_z)</f>
        <v>1.06369879931222</v>
      </c>
      <c r="W567" s="417" t="n">
        <f aca="false">1/2*Rho*Sref*Cx*vit_xz^2</f>
        <v>5.67791387380607</v>
      </c>
      <c r="X567" s="401"/>
      <c r="Y567" s="422" t="str">
        <f aca="false">IF(AND(pos_z&lt;=0,K566&gt;0),"Impact balistique","") &amp; IF(AND(H568&lt;0,vit_z&gt;=0),"Apogée","") &amp; IF(AND(Poussee=0,Q566&gt;0),"Fin de propulsion","") &amp; IF(AND(L568&gt;L_rampe,pos_xz&lt;=L_rampe),"Sortie de rampe","")</f>
        <v/>
      </c>
      <c r="Z567" s="423" t="str">
        <f aca="false">IF(ABS(t-T_para)&lt;pas/2,"Para","")</f>
        <v/>
      </c>
      <c r="AA567" s="424" t="str">
        <f aca="false">IF(ABS(t-T_satellite)&lt;pas/2,"Satellite","")</f>
        <v/>
      </c>
      <c r="AB567" s="412"/>
      <c r="AC567" s="420" t="e">
        <f aca="false">IF(ABS(t-ROUND(t,0))&lt;0.001,t,NA())</f>
        <v>#N/A</v>
      </c>
      <c r="AD567" s="425" t="e">
        <f aca="false">IF(ABS(t-ROUND(t,0))&lt;0.001,pos_x,NA())</f>
        <v>#N/A</v>
      </c>
      <c r="AE567" s="426" t="e">
        <f aca="false">IF(t&lt;T_para, pos_z, NA())</f>
        <v>#N/A</v>
      </c>
      <c r="AF567" s="412"/>
      <c r="AG567" s="418" t="n">
        <f aca="false">IF(AND(L566&lt;L_rampe,Poussee&lt;Poids*SIN(M566)),0,(-W566+Poussee)/m-Poids*SIN(M566)/m)</f>
        <v>7.02113618076297</v>
      </c>
      <c r="AH567" s="417" t="n">
        <f aca="false">IF(AND(L566&lt;L_rampe,Poussee&lt;Poids*SIN(M566)), g*SIN(M566), (-W566+Poussee)/m)</f>
        <v>-0.743452703252416</v>
      </c>
    </row>
    <row r="568" customFormat="false" ht="12" hidden="false" customHeight="false" outlineLevel="0" collapsed="false">
      <c r="A568" s="416" t="n">
        <f aca="false">IF(B567+0.01&lt;=T_ini+ROUNDUP(Temps_fin_propu,0), 0.01, IF(K567&gt;0, 0.1, 0.0001))</f>
        <v>0.1</v>
      </c>
      <c r="B568" s="417" t="n">
        <f aca="false">B567+pas</f>
        <v>20.4</v>
      </c>
      <c r="C568" s="401"/>
      <c r="D568" s="418" t="n">
        <f aca="false">IF(AND(L567&lt;L_rampe,Poussee&lt;Poids*SIN(M567)),0,(-W567+Poussee)/m*COS(M567)-U567/m*SIN(M567))</f>
        <v>-0.461528325811135</v>
      </c>
      <c r="E568" s="419" t="n">
        <f aca="false">IF(AND(L567&lt;L_rampe,Poussee&lt;Poids*SIN(M567)),0,(-W567+Poussee)/m*SIN(M567)+U567/m*COS(M567)-Poids/m)</f>
        <v>-9.19417932835437</v>
      </c>
      <c r="F568" s="417" t="n">
        <f aca="false">SQRT(acc_x^2+acc_z^2)</f>
        <v>9.20575591233359</v>
      </c>
      <c r="G568" s="418" t="n">
        <f aca="false">G567+acc_x*pas</f>
        <v>24.9409221781457</v>
      </c>
      <c r="H568" s="419" t="n">
        <f aca="false">H567+acc_z*pas</f>
        <v>-34.2598576307066</v>
      </c>
      <c r="I568" s="417" t="n">
        <f aca="false">SQRT(vit_x^2+vit_z^2)</f>
        <v>42.3767323418477</v>
      </c>
      <c r="J568" s="418" t="n">
        <f aca="false">J567+0.5*(vit_x+G567)*pas*(K567&gt;=0)</f>
        <v>609.528380806054</v>
      </c>
      <c r="K568" s="419" t="n">
        <f aca="false">K567+0.5*(vit_z+H567)*pas</f>
        <v>1406.16501339372</v>
      </c>
      <c r="L568" s="417" t="n">
        <f aca="false">SQRT(pos_x^2+pos_z^2)</f>
        <v>1532.5876457484</v>
      </c>
      <c r="M568" s="418" t="n">
        <f aca="false">IF(AND(L567&gt;L_rampe,G568&gt;0),ATAN2(G568,H568),$M$4)</f>
        <v>-0.941529378387844</v>
      </c>
      <c r="N568" s="417" t="n">
        <f aca="false">DEGREES(Beta)</f>
        <v>-53.9456596691994</v>
      </c>
      <c r="O568" s="401"/>
      <c r="P568" s="420" t="n">
        <f aca="false">MATCH(t-pas/2-T_ini,CdP_t)</f>
        <v>23</v>
      </c>
      <c r="Q568" s="417" t="n">
        <f aca="false">(INDEX(CdP,2,i_P+1)-INDEX(CdP,2,i_P+0))/(INDEX(CdP,1,i_P+1)-INDEX(CdP,1,i_P+0))*(t-pas/2-T_ini-INDEX(CdP,1,i_P+0))+INDEX(CdP,2,i_P+0)</f>
        <v>0</v>
      </c>
      <c r="R568" s="418" t="n">
        <f aca="false">Poussee/(g*ISP)</f>
        <v>0</v>
      </c>
      <c r="S568" s="419" t="n">
        <f aca="false">S567-Débit*pas</f>
        <v>7.37799999999998</v>
      </c>
      <c r="T568" s="417" t="n">
        <f aca="false">m*g</f>
        <v>72.3781799999998</v>
      </c>
      <c r="U568" s="421" t="n">
        <f aca="false">IF(pos_xz&lt;L_rampe,Poids*COS(Beta),0)</f>
        <v>0</v>
      </c>
      <c r="V568" s="418" t="n">
        <f aca="false">Rho_moyen*(20000-Alt_rampe-pos_z)/(20000+Alt_rampe+pos_z)</f>
        <v>1.06406018286512</v>
      </c>
      <c r="W568" s="417" t="n">
        <f aca="false">1/2*Rho*Sref*Cx*vit_xz^2</f>
        <v>5.87566240826779</v>
      </c>
      <c r="X568" s="401"/>
      <c r="Y568" s="422" t="str">
        <f aca="false">IF(AND(pos_z&lt;=0,K567&gt;0),"Impact balistique","") &amp; IF(AND(H569&lt;0,vit_z&gt;=0),"Apogée","") &amp; IF(AND(Poussee=0,Q567&gt;0),"Fin de propulsion","") &amp; IF(AND(L569&gt;L_rampe,pos_xz&lt;=L_rampe),"Sortie de rampe","")</f>
        <v/>
      </c>
      <c r="Z568" s="423" t="str">
        <f aca="false">IF(ABS(t-T_para)&lt;pas/2,"Para","")</f>
        <v/>
      </c>
      <c r="AA568" s="424" t="str">
        <f aca="false">IF(ABS(t-T_satellite)&lt;pas/2,"Satellite","")</f>
        <v/>
      </c>
      <c r="AB568" s="412"/>
      <c r="AC568" s="420" t="e">
        <f aca="false">IF(ABS(t-ROUND(t,0))&lt;0.001,t,NA())</f>
        <v>#N/A</v>
      </c>
      <c r="AD568" s="425" t="e">
        <f aca="false">IF(ABS(t-ROUND(t,0))&lt;0.001,pos_x,NA())</f>
        <v>#N/A</v>
      </c>
      <c r="AE568" s="426" t="e">
        <f aca="false">IF(t&lt;T_para, pos_z, NA())</f>
        <v>#N/A</v>
      </c>
      <c r="AF568" s="412"/>
      <c r="AG568" s="418" t="n">
        <f aca="false">IF(AND(L567&lt;L_rampe,Poussee&lt;Poids*SIN(M567)),0,(-W567+Poussee)/m-Poids*SIN(M567)/m)</f>
        <v>7.08048903283336</v>
      </c>
      <c r="AH568" s="417" t="n">
        <f aca="false">IF(AND(L567&lt;L_rampe,Poussee&lt;Poids*SIN(M567)), g*SIN(M567), (-W567+Poussee)/m)</f>
        <v>-0.769573580076726</v>
      </c>
    </row>
    <row r="569" customFormat="false" ht="12" hidden="false" customHeight="false" outlineLevel="0" collapsed="false">
      <c r="A569" s="416" t="n">
        <f aca="false">IF(B568+0.01&lt;=T_ini+ROUNDUP(Temps_fin_propu,0), 0.01, IF(K568&gt;0, 0.1, 0.0001))</f>
        <v>0.1</v>
      </c>
      <c r="B569" s="417" t="n">
        <f aca="false">B568+pas</f>
        <v>20.5</v>
      </c>
      <c r="C569" s="401"/>
      <c r="D569" s="418" t="n">
        <f aca="false">IF(AND(L568&lt;L_rampe,Poussee&lt;Poids*SIN(M568)),0,(-W568+Poussee)/m*COS(M568)-U568/m*SIN(M568))</f>
        <v>-0.468708927997224</v>
      </c>
      <c r="E569" s="419" t="n">
        <f aca="false">IF(AND(L568&lt;L_rampe,Poussee&lt;Poids*SIN(M568)),0,(-W568+Poussee)/m*SIN(M568)+U568/m*COS(M568)-Poids/m)</f>
        <v>-9.16616249356262</v>
      </c>
      <c r="F569" s="417" t="n">
        <f aca="false">SQRT(acc_x^2+acc_z^2)</f>
        <v>9.17813831436302</v>
      </c>
      <c r="G569" s="418" t="n">
        <f aca="false">G568+acc_x*pas</f>
        <v>24.8940512853459</v>
      </c>
      <c r="H569" s="419" t="n">
        <f aca="false">H568+acc_z*pas</f>
        <v>-35.1764738800629</v>
      </c>
      <c r="I569" s="417" t="n">
        <f aca="false">SQRT(vit_x^2+vit_z^2)</f>
        <v>43.094061122528</v>
      </c>
      <c r="J569" s="418" t="n">
        <f aca="false">J568+0.5*(vit_x+G568)*pas*(K568&gt;=0)</f>
        <v>612.020129479229</v>
      </c>
      <c r="K569" s="419" t="n">
        <f aca="false">K568+0.5*(vit_z+H568)*pas</f>
        <v>1402.69319681818</v>
      </c>
      <c r="L569" s="417" t="n">
        <f aca="false">SQRT(pos_x^2+pos_z^2)</f>
        <v>1530.39760954067</v>
      </c>
      <c r="M569" s="418" t="n">
        <f aca="false">IF(AND(L568&gt;L_rampe,G569&gt;0),ATAN2(G569,H569),$M$4)</f>
        <v>-0.954927675979948</v>
      </c>
      <c r="N569" s="417" t="n">
        <f aca="false">DEGREES(Beta)</f>
        <v>-54.7133255738872</v>
      </c>
      <c r="O569" s="401"/>
      <c r="P569" s="420" t="n">
        <f aca="false">MATCH(t-pas/2-T_ini,CdP_t)</f>
        <v>23</v>
      </c>
      <c r="Q569" s="417" t="n">
        <f aca="false">(INDEX(CdP,2,i_P+1)-INDEX(CdP,2,i_P+0))/(INDEX(CdP,1,i_P+1)-INDEX(CdP,1,i_P+0))*(t-pas/2-T_ini-INDEX(CdP,1,i_P+0))+INDEX(CdP,2,i_P+0)</f>
        <v>0</v>
      </c>
      <c r="R569" s="418" t="n">
        <f aca="false">Poussee/(g*ISP)</f>
        <v>0</v>
      </c>
      <c r="S569" s="419" t="n">
        <f aca="false">S568-Débit*pas</f>
        <v>7.37799999999998</v>
      </c>
      <c r="T569" s="417" t="n">
        <f aca="false">m*g</f>
        <v>72.3781799999998</v>
      </c>
      <c r="U569" s="421" t="n">
        <f aca="false">IF(pos_xz&lt;L_rampe,Poids*COS(Beta),0)</f>
        <v>0</v>
      </c>
      <c r="V569" s="418" t="n">
        <f aca="false">Rho_moyen*(20000-Alt_rampe-pos_z)/(20000+Alt_rampe+pos_z)</f>
        <v>1.06443150048446</v>
      </c>
      <c r="W569" s="417" t="n">
        <f aca="false">1/2*Rho*Sref*Cx*vit_xz^2</f>
        <v>6.07838601830946</v>
      </c>
      <c r="X569" s="401"/>
      <c r="Y569" s="422" t="str">
        <f aca="false">IF(AND(pos_z&lt;=0,K568&gt;0),"Impact balistique","") &amp; IF(AND(H570&lt;0,vit_z&gt;=0),"Apogée","") &amp; IF(AND(Poussee=0,Q568&gt;0),"Fin de propulsion","") &amp; IF(AND(L570&gt;L_rampe,pos_xz&lt;=L_rampe),"Sortie de rampe","")</f>
        <v/>
      </c>
      <c r="Z569" s="423" t="str">
        <f aca="false">IF(ABS(t-T_para)&lt;pas/2,"Para","")</f>
        <v/>
      </c>
      <c r="AA569" s="424" t="str">
        <f aca="false">IF(ABS(t-T_satellite)&lt;pas/2,"Satellite","")</f>
        <v/>
      </c>
      <c r="AB569" s="412"/>
      <c r="AC569" s="420" t="e">
        <f aca="false">IF(ABS(t-ROUND(t,0))&lt;0.001,t,NA())</f>
        <v>#N/A</v>
      </c>
      <c r="AD569" s="425" t="e">
        <f aca="false">IF(ABS(t-ROUND(t,0))&lt;0.001,pos_x,NA())</f>
        <v>#N/A</v>
      </c>
      <c r="AE569" s="426" t="e">
        <f aca="false">IF(t&lt;T_para, pos_z, NA())</f>
        <v>#N/A</v>
      </c>
      <c r="AF569" s="412"/>
      <c r="AG569" s="418" t="n">
        <f aca="false">IF(AND(L568&lt;L_rampe,Poussee&lt;Poids*SIN(M568)),0,(-W568+Poussee)/m-Poids*SIN(M568)/m)</f>
        <v>7.13460836746561</v>
      </c>
      <c r="AH569" s="417" t="n">
        <f aca="false">IF(AND(L568&lt;L_rampe,Poussee&lt;Poids*SIN(M568)), g*SIN(M568), (-W568+Poussee)/m)</f>
        <v>-0.796376037986961</v>
      </c>
    </row>
    <row r="570" customFormat="false" ht="12" hidden="false" customHeight="false" outlineLevel="0" collapsed="false">
      <c r="A570" s="416" t="n">
        <f aca="false">IF(B569+0.01&lt;=T_ini+ROUNDUP(Temps_fin_propu,0), 0.01, IF(K569&gt;0, 0.1, 0.0001))</f>
        <v>0.1</v>
      </c>
      <c r="B570" s="417" t="n">
        <f aca="false">B569+pas</f>
        <v>20.6</v>
      </c>
      <c r="C570" s="401"/>
      <c r="D570" s="418" t="n">
        <f aca="false">IF(AND(L569&lt;L_rampe,Poussee&lt;Poids*SIN(M569)),0,(-W569+Poussee)/m*COS(M569)-U569/m*SIN(M569))</f>
        <v>-0.475913235436392</v>
      </c>
      <c r="E570" s="419" t="n">
        <f aca="false">IF(AND(L569&lt;L_rampe,Poussee&lt;Poids*SIN(M569)),0,(-W569+Poussee)/m*SIN(M569)+U569/m*COS(M569)-Poids/m)</f>
        <v>-9.13751205082641</v>
      </c>
      <c r="F570" s="417" t="n">
        <f aca="false">SQRT(acc_x^2+acc_z^2)</f>
        <v>9.14989726098941</v>
      </c>
      <c r="G570" s="418" t="n">
        <f aca="false">G569+acc_x*pas</f>
        <v>24.8464599618023</v>
      </c>
      <c r="H570" s="419" t="n">
        <f aca="false">H569+acc_z*pas</f>
        <v>-36.0902250851455</v>
      </c>
      <c r="I570" s="417" t="n">
        <f aca="false">SQRT(vit_x^2+vit_z^2)</f>
        <v>43.8161034247674</v>
      </c>
      <c r="J570" s="418" t="n">
        <f aca="false">J569+0.5*(vit_x+G569)*pas*(K569&gt;=0)</f>
        <v>614.507155041586</v>
      </c>
      <c r="K570" s="419" t="n">
        <f aca="false">K569+0.5*(vit_z+H569)*pas</f>
        <v>1399.12986186992</v>
      </c>
      <c r="L570" s="417" t="n">
        <f aca="false">SQRT(pos_x^2+pos_z^2)</f>
        <v>1528.13069270055</v>
      </c>
      <c r="M570" s="418" t="n">
        <f aca="false">IF(AND(L569&gt;L_rampe,G570&gt;0),ATAN2(G570,H570),$M$4)</f>
        <v>-0.967861457466074</v>
      </c>
      <c r="N570" s="417" t="n">
        <f aca="false">DEGREES(Beta)</f>
        <v>-55.4543766661867</v>
      </c>
      <c r="O570" s="401"/>
      <c r="P570" s="420" t="n">
        <f aca="false">MATCH(t-pas/2-T_ini,CdP_t)</f>
        <v>23</v>
      </c>
      <c r="Q570" s="417" t="n">
        <f aca="false">(INDEX(CdP,2,i_P+1)-INDEX(CdP,2,i_P+0))/(INDEX(CdP,1,i_P+1)-INDEX(CdP,1,i_P+0))*(t-pas/2-T_ini-INDEX(CdP,1,i_P+0))+INDEX(CdP,2,i_P+0)</f>
        <v>0</v>
      </c>
      <c r="R570" s="418" t="n">
        <f aca="false">Poussee/(g*ISP)</f>
        <v>0</v>
      </c>
      <c r="S570" s="419" t="n">
        <f aca="false">S569-Débit*pas</f>
        <v>7.37799999999998</v>
      </c>
      <c r="T570" s="417" t="n">
        <f aca="false">m*g</f>
        <v>72.3781799999998</v>
      </c>
      <c r="U570" s="421" t="n">
        <f aca="false">IF(pos_xz&lt;L_rampe,Poids*COS(Beta),0)</f>
        <v>0</v>
      </c>
      <c r="V570" s="418" t="n">
        <f aca="false">Rho_moyen*(20000-Alt_rampe-pos_z)/(20000+Alt_rampe+pos_z)</f>
        <v>1.06481273146581</v>
      </c>
      <c r="W570" s="417" t="n">
        <f aca="false">1/2*Rho*Sref*Cx*vit_xz^2</f>
        <v>6.28603005864207</v>
      </c>
      <c r="X570" s="401"/>
      <c r="Y570" s="422" t="str">
        <f aca="false">IF(AND(pos_z&lt;=0,K569&gt;0),"Impact balistique","") &amp; IF(AND(H571&lt;0,vit_z&gt;=0),"Apogée","") &amp; IF(AND(Poussee=0,Q569&gt;0),"Fin de propulsion","") &amp; IF(AND(L571&gt;L_rampe,pos_xz&lt;=L_rampe),"Sortie de rampe","")</f>
        <v/>
      </c>
      <c r="Z570" s="423" t="str">
        <f aca="false">IF(ABS(t-T_para)&lt;pas/2,"Para","")</f>
        <v/>
      </c>
      <c r="AA570" s="424" t="str">
        <f aca="false">IF(ABS(t-T_satellite)&lt;pas/2,"Satellite","")</f>
        <v/>
      </c>
      <c r="AB570" s="412"/>
      <c r="AC570" s="420" t="e">
        <f aca="false">IF(ABS(t-ROUND(t,0))&lt;0.001,t,NA())</f>
        <v>#N/A</v>
      </c>
      <c r="AD570" s="425" t="e">
        <f aca="false">IF(ABS(t-ROUND(t,0))&lt;0.001,pos_x,NA())</f>
        <v>#N/A</v>
      </c>
      <c r="AE570" s="426" t="e">
        <f aca="false">IF(t&lt;T_para, pos_z, NA())</f>
        <v>#N/A</v>
      </c>
      <c r="AF570" s="412"/>
      <c r="AG570" s="418" t="n">
        <f aca="false">IF(AND(L569&lt;L_rampe,Poussee&lt;Poids*SIN(M569)),0,(-W569+Poussee)/m-Poids*SIN(M569)/m)</f>
        <v>7.18377515208216</v>
      </c>
      <c r="AH570" s="417" t="n">
        <f aca="false">IF(AND(L569&lt;L_rampe,Poussee&lt;Poids*SIN(M569)), g*SIN(M569), (-W569+Poussee)/m)</f>
        <v>-0.823852808120015</v>
      </c>
    </row>
    <row r="571" customFormat="false" ht="12" hidden="false" customHeight="false" outlineLevel="0" collapsed="false">
      <c r="A571" s="416" t="n">
        <f aca="false">IF(B570+0.01&lt;=T_ini+ROUNDUP(Temps_fin_propu,0), 0.01, IF(K570&gt;0, 0.1, 0.0001))</f>
        <v>0.1</v>
      </c>
      <c r="B571" s="417" t="n">
        <f aca="false">B570+pas</f>
        <v>20.7</v>
      </c>
      <c r="C571" s="401"/>
      <c r="D571" s="418" t="n">
        <f aca="false">IF(AND(L570&lt;L_rampe,Poussee&lt;Poids*SIN(M570)),0,(-W570+Poussee)/m*COS(M570)-U570/m*SIN(M570))</f>
        <v>-0.483135077554446</v>
      </c>
      <c r="E571" s="419" t="n">
        <f aca="false">IF(AND(L570&lt;L_rampe,Poussee&lt;Poids*SIN(M570)),0,(-W570+Poussee)/m*SIN(M570)+U570/m*COS(M570)-Poids/m)</f>
        <v>-9.10823187197391</v>
      </c>
      <c r="F571" s="417" t="n">
        <f aca="false">SQRT(acc_x^2+acc_z^2)</f>
        <v>9.12103652754471</v>
      </c>
      <c r="G571" s="418" t="n">
        <f aca="false">G570+acc_x*pas</f>
        <v>24.7981464540468</v>
      </c>
      <c r="H571" s="419" t="n">
        <f aca="false">H570+acc_z*pas</f>
        <v>-37.0010482723429</v>
      </c>
      <c r="I571" s="417" t="n">
        <f aca="false">SQRT(vit_x^2+vit_z^2)</f>
        <v>44.5424027282836</v>
      </c>
      <c r="J571" s="418" t="n">
        <f aca="false">J570+0.5*(vit_x+G570)*pas*(K570&gt;=0)</f>
        <v>616.989385362379</v>
      </c>
      <c r="K571" s="419" t="n">
        <f aca="false">K570+0.5*(vit_z+H570)*pas</f>
        <v>1395.47529820205</v>
      </c>
      <c r="L571" s="417" t="n">
        <f aca="false">SQRT(pos_x^2+pos_z^2)</f>
        <v>1525.78740640429</v>
      </c>
      <c r="M571" s="418" t="n">
        <f aca="false">IF(AND(L570&gt;L_rampe,G571&gt;0),ATAN2(G571,H571),$M$4)</f>
        <v>-0.980350738125537</v>
      </c>
      <c r="N571" s="417" t="n">
        <f aca="false">DEGREES(Beta)</f>
        <v>-56.1699597371283</v>
      </c>
      <c r="O571" s="401"/>
      <c r="P571" s="420" t="n">
        <f aca="false">MATCH(t-pas/2-T_ini,CdP_t)</f>
        <v>23</v>
      </c>
      <c r="Q571" s="417" t="n">
        <f aca="false">(INDEX(CdP,2,i_P+1)-INDEX(CdP,2,i_P+0))/(INDEX(CdP,1,i_P+1)-INDEX(CdP,1,i_P+0))*(t-pas/2-T_ini-INDEX(CdP,1,i_P+0))+INDEX(CdP,2,i_P+0)</f>
        <v>0</v>
      </c>
      <c r="R571" s="418" t="n">
        <f aca="false">Poussee/(g*ISP)</f>
        <v>0</v>
      </c>
      <c r="S571" s="419" t="n">
        <f aca="false">S570-Débit*pas</f>
        <v>7.37799999999998</v>
      </c>
      <c r="T571" s="417" t="n">
        <f aca="false">m*g</f>
        <v>72.3781799999998</v>
      </c>
      <c r="U571" s="421" t="n">
        <f aca="false">IF(pos_xz&lt;L_rampe,Poids*COS(Beta),0)</f>
        <v>0</v>
      </c>
      <c r="V571" s="418" t="n">
        <f aca="false">Rho_moyen*(20000-Alt_rampe-pos_z)/(20000+Alt_rampe+pos_z)</f>
        <v>1.06520385464948</v>
      </c>
      <c r="W571" s="417" t="n">
        <f aca="false">1/2*Rho*Sref*Cx*vit_xz^2</f>
        <v>6.49853888619749</v>
      </c>
      <c r="X571" s="401"/>
      <c r="Y571" s="422" t="str">
        <f aca="false">IF(AND(pos_z&lt;=0,K570&gt;0),"Impact balistique","") &amp; IF(AND(H572&lt;0,vit_z&gt;=0),"Apogée","") &amp; IF(AND(Poussee=0,Q570&gt;0),"Fin de propulsion","") &amp; IF(AND(L572&gt;L_rampe,pos_xz&lt;=L_rampe),"Sortie de rampe","")</f>
        <v/>
      </c>
      <c r="Z571" s="423" t="str">
        <f aca="false">IF(ABS(t-T_para)&lt;pas/2,"Para","")</f>
        <v/>
      </c>
      <c r="AA571" s="424" t="str">
        <f aca="false">IF(ABS(t-T_satellite)&lt;pas/2,"Satellite","")</f>
        <v/>
      </c>
      <c r="AB571" s="412"/>
      <c r="AC571" s="420" t="e">
        <f aca="false">IF(ABS(t-ROUND(t,0))&lt;0.001,t,NA())</f>
        <v>#N/A</v>
      </c>
      <c r="AD571" s="425" t="e">
        <f aca="false">IF(ABS(t-ROUND(t,0))&lt;0.001,pos_x,NA())</f>
        <v>#N/A</v>
      </c>
      <c r="AE571" s="426" t="e">
        <f aca="false">IF(t&lt;T_para, pos_z, NA())</f>
        <v>#N/A</v>
      </c>
      <c r="AF571" s="412"/>
      <c r="AG571" s="418" t="n">
        <f aca="false">IF(AND(L570&lt;L_rampe,Poussee&lt;Poids*SIN(M570)),0,(-W570+Poussee)/m-Poids*SIN(M570)/m)</f>
        <v>7.2282543921423</v>
      </c>
      <c r="AH571" s="417" t="n">
        <f aca="false">IF(AND(L570&lt;L_rampe,Poussee&lt;Poids*SIN(M570)), g*SIN(M570), (-W570+Poussee)/m)</f>
        <v>-0.851996483957994</v>
      </c>
    </row>
    <row r="572" customFormat="false" ht="12" hidden="false" customHeight="false" outlineLevel="0" collapsed="false">
      <c r="A572" s="416" t="n">
        <f aca="false">IF(B571+0.01&lt;=T_ini+ROUNDUP(Temps_fin_propu,0), 0.01, IF(K571&gt;0, 0.1, 0.0001))</f>
        <v>0.1</v>
      </c>
      <c r="B572" s="417" t="n">
        <f aca="false">B571+pas</f>
        <v>20.8</v>
      </c>
      <c r="C572" s="401"/>
      <c r="D572" s="418" t="n">
        <f aca="false">IF(AND(L571&lt;L_rampe,Poussee&lt;Poids*SIN(M571)),0,(-W571+Poussee)/m*COS(M571)-U571/m*SIN(M571))</f>
        <v>-0.490368598203999</v>
      </c>
      <c r="E572" s="419" t="n">
        <f aca="false">IF(AND(L571&lt;L_rampe,Poussee&lt;Poids*SIN(M571)),0,(-W571+Poussee)/m*SIN(M571)+U571/m*COS(M571)-Poids/m)</f>
        <v>-9.07832627563476</v>
      </c>
      <c r="F572" s="417" t="n">
        <f aca="false">SQRT(acc_x^2+acc_z^2)</f>
        <v>9.09156033522216</v>
      </c>
      <c r="G572" s="418" t="n">
        <f aca="false">G571+acc_x*pas</f>
        <v>24.7491095942264</v>
      </c>
      <c r="H572" s="419" t="n">
        <f aca="false">H571+acc_z*pas</f>
        <v>-37.9088808999064</v>
      </c>
      <c r="I572" s="417" t="n">
        <f aca="false">SQRT(vit_x^2+vit_z^2)</f>
        <v>45.2725267330013</v>
      </c>
      <c r="J572" s="418" t="n">
        <f aca="false">J571+0.5*(vit_x+G571)*pas*(K571&gt;=0)</f>
        <v>619.466748164792</v>
      </c>
      <c r="K572" s="419" t="n">
        <f aca="false">K571+0.5*(vit_z+H571)*pas</f>
        <v>1391.72980174344</v>
      </c>
      <c r="L572" s="417" t="n">
        <f aca="false">SQRT(pos_x^2+pos_z^2)</f>
        <v>1523.36827233033</v>
      </c>
      <c r="M572" s="418" t="n">
        <f aca="false">IF(AND(L571&gt;L_rampe,G572&gt;0),ATAN2(G572,H572),$M$4)</f>
        <v>-0.992414712009593</v>
      </c>
      <c r="N572" s="417" t="n">
        <f aca="false">DEGREES(Beta)</f>
        <v>-56.8611745248408</v>
      </c>
      <c r="O572" s="401"/>
      <c r="P572" s="420" t="n">
        <f aca="false">MATCH(t-pas/2-T_ini,CdP_t)</f>
        <v>23</v>
      </c>
      <c r="Q572" s="417" t="n">
        <f aca="false">(INDEX(CdP,2,i_P+1)-INDEX(CdP,2,i_P+0))/(INDEX(CdP,1,i_P+1)-INDEX(CdP,1,i_P+0))*(t-pas/2-T_ini-INDEX(CdP,1,i_P+0))+INDEX(CdP,2,i_P+0)</f>
        <v>0</v>
      </c>
      <c r="R572" s="418" t="n">
        <f aca="false">Poussee/(g*ISP)</f>
        <v>0</v>
      </c>
      <c r="S572" s="419" t="n">
        <f aca="false">S571-Débit*pas</f>
        <v>7.37799999999998</v>
      </c>
      <c r="T572" s="417" t="n">
        <f aca="false">m*g</f>
        <v>72.3781799999998</v>
      </c>
      <c r="U572" s="421" t="n">
        <f aca="false">IF(pos_xz&lt;L_rampe,Poids*COS(Beta),0)</f>
        <v>0</v>
      </c>
      <c r="V572" s="418" t="n">
        <f aca="false">Rho_moyen*(20000-Alt_rampe-pos_z)/(20000+Alt_rampe+pos_z)</f>
        <v>1.06560484842168</v>
      </c>
      <c r="W572" s="417" t="n">
        <f aca="false">1/2*Rho*Sref*Cx*vit_xz^2</f>
        <v>6.71585587920604</v>
      </c>
      <c r="X572" s="401"/>
      <c r="Y572" s="422" t="str">
        <f aca="false">IF(AND(pos_z&lt;=0,K571&gt;0),"Impact balistique","") &amp; IF(AND(H573&lt;0,vit_z&gt;=0),"Apogée","") &amp; IF(AND(Poussee=0,Q571&gt;0),"Fin de propulsion","") &amp; IF(AND(L573&gt;L_rampe,pos_xz&lt;=L_rampe),"Sortie de rampe","")</f>
        <v/>
      </c>
      <c r="Z572" s="423" t="str">
        <f aca="false">IF(ABS(t-T_para)&lt;pas/2,"Para","")</f>
        <v/>
      </c>
      <c r="AA572" s="424" t="str">
        <f aca="false">IF(ABS(t-T_satellite)&lt;pas/2,"Satellite","")</f>
        <v/>
      </c>
      <c r="AB572" s="412"/>
      <c r="AC572" s="420" t="e">
        <f aca="false">IF(ABS(t-ROUND(t,0))&lt;0.001,t,NA())</f>
        <v>#N/A</v>
      </c>
      <c r="AD572" s="425" t="e">
        <f aca="false">IF(ABS(t-ROUND(t,0))&lt;0.001,pos_x,NA())</f>
        <v>#N/A</v>
      </c>
      <c r="AE572" s="426" t="e">
        <f aca="false">IF(t&lt;T_para, pos_z, NA())</f>
        <v>#N/A</v>
      </c>
      <c r="AF572" s="412"/>
      <c r="AG572" s="418" t="n">
        <f aca="false">IF(AND(L571&lt;L_rampe,Poussee&lt;Poids*SIN(M571)),0,(-W571+Poussee)/m-Poids*SIN(M571)/m)</f>
        <v>7.26829574994028</v>
      </c>
      <c r="AH572" s="417" t="n">
        <f aca="false">IF(AND(L571&lt;L_rampe,Poussee&lt;Poids*SIN(M571)), g*SIN(M571), (-W571+Poussee)/m)</f>
        <v>-0.880799523745935</v>
      </c>
    </row>
    <row r="573" customFormat="false" ht="12" hidden="false" customHeight="false" outlineLevel="0" collapsed="false">
      <c r="A573" s="416" t="n">
        <f aca="false">IF(B572+0.01&lt;=T_ini+ROUNDUP(Temps_fin_propu,0), 0.01, IF(K572&gt;0, 0.1, 0.0001))</f>
        <v>0.1</v>
      </c>
      <c r="B573" s="417" t="n">
        <f aca="false">B572+pas</f>
        <v>20.9</v>
      </c>
      <c r="C573" s="401"/>
      <c r="D573" s="418" t="n">
        <f aca="false">IF(AND(L572&lt;L_rampe,Poussee&lt;Poids*SIN(M572)),0,(-W572+Poussee)/m*COS(M572)-U572/m*SIN(M572))</f>
        <v>-0.497608238234358</v>
      </c>
      <c r="E573" s="419" t="n">
        <f aca="false">IF(AND(L572&lt;L_rampe,Poussee&lt;Poids*SIN(M572)),0,(-W572+Poussee)/m*SIN(M572)+U572/m*COS(M572)-Poids/m)</f>
        <v>-9.04779999574453</v>
      </c>
      <c r="F573" s="417" t="n">
        <f aca="false">SQRT(acc_x^2+acc_z^2)</f>
        <v>9.06147331959618</v>
      </c>
      <c r="G573" s="418" t="n">
        <f aca="false">G572+acc_x*pas</f>
        <v>24.699348770403</v>
      </c>
      <c r="H573" s="419" t="n">
        <f aca="false">H572+acc_z*pas</f>
        <v>-38.8136608994808</v>
      </c>
      <c r="I573" s="417" t="n">
        <f aca="false">SQRT(vit_x^2+vit_z^2)</f>
        <v>46.0060659272437</v>
      </c>
      <c r="J573" s="418" t="n">
        <f aca="false">J572+0.5*(vit_x+G572)*pas*(K572&gt;=0)</f>
        <v>621.939171083024</v>
      </c>
      <c r="K573" s="419" t="n">
        <f aca="false">K572+0.5*(vit_z+H572)*pas</f>
        <v>1387.89367465347</v>
      </c>
      <c r="L573" s="417" t="n">
        <f aca="false">SQRT(pos_x^2+pos_z^2)</f>
        <v>1520.8738227317</v>
      </c>
      <c r="M573" s="418" t="n">
        <f aca="false">IF(AND(L572&gt;L_rampe,G573&gt;0),ATAN2(G573,H573),$M$4)</f>
        <v>-1.00407176017058</v>
      </c>
      <c r="N573" s="417" t="n">
        <f aca="false">DEGREES(Beta)</f>
        <v>-57.529074186046</v>
      </c>
      <c r="O573" s="401"/>
      <c r="P573" s="420" t="n">
        <f aca="false">MATCH(t-pas/2-T_ini,CdP_t)</f>
        <v>23</v>
      </c>
      <c r="Q573" s="417" t="n">
        <f aca="false">(INDEX(CdP,2,i_P+1)-INDEX(CdP,2,i_P+0))/(INDEX(CdP,1,i_P+1)-INDEX(CdP,1,i_P+0))*(t-pas/2-T_ini-INDEX(CdP,1,i_P+0))+INDEX(CdP,2,i_P+0)</f>
        <v>0</v>
      </c>
      <c r="R573" s="418" t="n">
        <f aca="false">Poussee/(g*ISP)</f>
        <v>0</v>
      </c>
      <c r="S573" s="419" t="n">
        <f aca="false">S572-Débit*pas</f>
        <v>7.37799999999998</v>
      </c>
      <c r="T573" s="417" t="n">
        <f aca="false">m*g</f>
        <v>72.3781799999998</v>
      </c>
      <c r="U573" s="421" t="n">
        <f aca="false">IF(pos_xz&lt;L_rampe,Poids*COS(Beta),0)</f>
        <v>0</v>
      </c>
      <c r="V573" s="418" t="n">
        <f aca="false">Rho_moyen*(20000-Alt_rampe-pos_z)/(20000+Alt_rampe+pos_z)</f>
        <v>1.06601569071616</v>
      </c>
      <c r="W573" s="417" t="n">
        <f aca="false">1/2*Rho*Sref*Cx*vit_xz^2</f>
        <v>6.93792345741676</v>
      </c>
      <c r="X573" s="401"/>
      <c r="Y573" s="422" t="str">
        <f aca="false">IF(AND(pos_z&lt;=0,K572&gt;0),"Impact balistique","") &amp; IF(AND(H574&lt;0,vit_z&gt;=0),"Apogée","") &amp; IF(AND(Poussee=0,Q572&gt;0),"Fin de propulsion","") &amp; IF(AND(L574&gt;L_rampe,pos_xz&lt;=L_rampe),"Sortie de rampe","")</f>
        <v/>
      </c>
      <c r="Z573" s="423" t="str">
        <f aca="false">IF(ABS(t-T_para)&lt;pas/2,"Para","")</f>
        <v/>
      </c>
      <c r="AA573" s="424" t="str">
        <f aca="false">IF(ABS(t-T_satellite)&lt;pas/2,"Satellite","")</f>
        <v/>
      </c>
      <c r="AB573" s="412"/>
      <c r="AC573" s="420" t="e">
        <f aca="false">IF(ABS(t-ROUND(t,0))&lt;0.001,t,NA())</f>
        <v>#N/A</v>
      </c>
      <c r="AD573" s="425" t="e">
        <f aca="false">IF(ABS(t-ROUND(t,0))&lt;0.001,pos_x,NA())</f>
        <v>#N/A</v>
      </c>
      <c r="AE573" s="426" t="e">
        <f aca="false">IF(t&lt;T_para, pos_z, NA())</f>
        <v>#N/A</v>
      </c>
      <c r="AF573" s="412"/>
      <c r="AG573" s="418" t="n">
        <f aca="false">IF(AND(L572&lt;L_rampe,Poussee&lt;Poids*SIN(M572)),0,(-W572+Poussee)/m-Poids*SIN(M572)/m)</f>
        <v>7.30413421746913</v>
      </c>
      <c r="AH573" s="417" t="n">
        <f aca="false">IF(AND(L572&lt;L_rampe,Poussee&lt;Poids*SIN(M572)), g*SIN(M572), (-W572+Poussee)/m)</f>
        <v>-0.910254253077535</v>
      </c>
    </row>
    <row r="574" customFormat="false" ht="12" hidden="false" customHeight="false" outlineLevel="0" collapsed="false">
      <c r="A574" s="416" t="n">
        <f aca="false">IF(B573+0.01&lt;=T_ini+ROUNDUP(Temps_fin_propu,0), 0.01, IF(K573&gt;0, 0.1, 0.0001))</f>
        <v>0.1</v>
      </c>
      <c r="B574" s="417" t="n">
        <f aca="false">B573+pas</f>
        <v>21</v>
      </c>
      <c r="C574" s="401"/>
      <c r="D574" s="418" t="n">
        <f aca="false">IF(AND(L573&lt;L_rampe,Poussee&lt;Poids*SIN(M573)),0,(-W573+Poussee)/m*COS(M573)-U573/m*SIN(M573))</f>
        <v>-0.504848718899712</v>
      </c>
      <c r="E574" s="419" t="n">
        <f aca="false">IF(AND(L573&lt;L_rampe,Poussee&lt;Poids*SIN(M573)),0,(-W573+Poussee)/m*SIN(M573)+U573/m*COS(M573)-Poids/m)</f>
        <v>-9.01665815268817</v>
      </c>
      <c r="F574" s="417" t="n">
        <f aca="false">SQRT(acc_x^2+acc_z^2)</f>
        <v>9.03078050178459</v>
      </c>
      <c r="G574" s="418" t="n">
        <f aca="false">G573+acc_x*pas</f>
        <v>24.648863898513</v>
      </c>
      <c r="H574" s="419" t="n">
        <f aca="false">H573+acc_z*pas</f>
        <v>-39.7153267147496</v>
      </c>
      <c r="I574" s="417" t="n">
        <f aca="false">SQRT(vit_x^2+vit_z^2)</f>
        <v>46.742632227408</v>
      </c>
      <c r="J574" s="418" t="n">
        <f aca="false">J573+0.5*(vit_x+G573)*pas*(K573&gt;=0)</f>
        <v>624.40658171647</v>
      </c>
      <c r="K574" s="419" t="n">
        <f aca="false">K573+0.5*(vit_z+H573)*pas</f>
        <v>1383.96722527276</v>
      </c>
      <c r="L574" s="417" t="n">
        <f aca="false">SQRT(pos_x^2+pos_z^2)</f>
        <v>1518.30460050677</v>
      </c>
      <c r="M574" s="418" t="n">
        <f aca="false">IF(AND(L573&gt;L_rampe,G574&gt;0),ATAN2(G574,H574),$M$4)</f>
        <v>-1.01533946436546</v>
      </c>
      <c r="N574" s="417" t="n">
        <f aca="false">DEGREES(Beta)</f>
        <v>-58.1746660812144</v>
      </c>
      <c r="O574" s="401"/>
      <c r="P574" s="420" t="n">
        <f aca="false">MATCH(t-pas/2-T_ini,CdP_t)</f>
        <v>23</v>
      </c>
      <c r="Q574" s="417" t="n">
        <f aca="false">(INDEX(CdP,2,i_P+1)-INDEX(CdP,2,i_P+0))/(INDEX(CdP,1,i_P+1)-INDEX(CdP,1,i_P+0))*(t-pas/2-T_ini-INDEX(CdP,1,i_P+0))+INDEX(CdP,2,i_P+0)</f>
        <v>0</v>
      </c>
      <c r="R574" s="418" t="n">
        <f aca="false">Poussee/(g*ISP)</f>
        <v>0</v>
      </c>
      <c r="S574" s="419" t="n">
        <f aca="false">S573-Débit*pas</f>
        <v>7.37799999999998</v>
      </c>
      <c r="T574" s="417" t="n">
        <f aca="false">m*g</f>
        <v>72.3781799999998</v>
      </c>
      <c r="U574" s="421" t="n">
        <f aca="false">IF(pos_xz&lt;L_rampe,Poids*COS(Beta),0)</f>
        <v>0</v>
      </c>
      <c r="V574" s="418" t="n">
        <f aca="false">Rho_moyen*(20000-Alt_rampe-pos_z)/(20000+Alt_rampe+pos_z)</f>
        <v>1.06643635901617</v>
      </c>
      <c r="W574" s="417" t="n">
        <f aca="false">1/2*Rho*Sref*Cx*vit_xz^2</f>
        <v>7.16468310337091</v>
      </c>
      <c r="X574" s="401"/>
      <c r="Y574" s="422" t="str">
        <f aca="false">IF(AND(pos_z&lt;=0,K573&gt;0),"Impact balistique","") &amp; IF(AND(H575&lt;0,vit_z&gt;=0),"Apogée","") &amp; IF(AND(Poussee=0,Q573&gt;0),"Fin de propulsion","") &amp; IF(AND(L575&gt;L_rampe,pos_xz&lt;=L_rampe),"Sortie de rampe","")</f>
        <v/>
      </c>
      <c r="Z574" s="423" t="str">
        <f aca="false">IF(ABS(t-T_para)&lt;pas/2,"Para","")</f>
        <v/>
      </c>
      <c r="AA574" s="424" t="str">
        <f aca="false">IF(ABS(t-T_satellite)&lt;pas/2,"Satellite","")</f>
        <v/>
      </c>
      <c r="AB574" s="412"/>
      <c r="AC574" s="420" t="n">
        <f aca="false">IF(ABS(t-ROUND(t,0))&lt;0.001,t,NA())</f>
        <v>21</v>
      </c>
      <c r="AD574" s="425" t="n">
        <f aca="false">IF(ABS(t-ROUND(t,0))&lt;0.001,pos_x,NA())</f>
        <v>624.40658171647</v>
      </c>
      <c r="AE574" s="426" t="e">
        <f aca="false">IF(t&lt;T_para, pos_z, NA())</f>
        <v>#N/A</v>
      </c>
      <c r="AF574" s="412"/>
      <c r="AG574" s="418" t="n">
        <f aca="false">IF(AND(L573&lt;L_rampe,Poussee&lt;Poids*SIN(M573)),0,(-W573+Poussee)/m-Poids*SIN(M573)/m)</f>
        <v>7.33599082204338</v>
      </c>
      <c r="AH574" s="417" t="n">
        <f aca="false">IF(AND(L573&lt;L_rampe,Poussee&lt;Poids*SIN(M573)), g*SIN(M573), (-W573+Poussee)/m)</f>
        <v>-0.940352867635778</v>
      </c>
    </row>
    <row r="575" customFormat="false" ht="12" hidden="false" customHeight="false" outlineLevel="0" collapsed="false">
      <c r="A575" s="416" t="n">
        <f aca="false">IF(B574+0.01&lt;=T_ini+ROUNDUP(Temps_fin_propu,0), 0.01, IF(K574&gt;0, 0.1, 0.0001))</f>
        <v>0.1</v>
      </c>
      <c r="B575" s="417" t="n">
        <f aca="false">B574+pas</f>
        <v>21.1</v>
      </c>
      <c r="C575" s="401"/>
      <c r="D575" s="418" t="n">
        <f aca="false">IF(AND(L574&lt;L_rampe,Poussee&lt;Poids*SIN(M574)),0,(-W574+Poussee)/m*COS(M574)-U574/m*SIN(M574))</f>
        <v>-0.51208502612665</v>
      </c>
      <c r="E575" s="419" t="n">
        <f aca="false">IF(AND(L574&lt;L_rampe,Poussee&lt;Poids*SIN(M574)),0,(-W574+Poussee)/m*SIN(M574)+U574/m*COS(M574)-Poids/m)</f>
        <v>-8.98490622683109</v>
      </c>
      <c r="F575" s="417" t="n">
        <f aca="false">SQRT(acc_x^2+acc_z^2)</f>
        <v>8.99948726200172</v>
      </c>
      <c r="G575" s="418" t="n">
        <f aca="false">G574+acc_x*pas</f>
        <v>24.5976553959004</v>
      </c>
      <c r="H575" s="419" t="n">
        <f aca="false">H574+acc_z*pas</f>
        <v>-40.6138173374327</v>
      </c>
      <c r="I575" s="417" t="n">
        <f aca="false">SQRT(vit_x^2+vit_z^2)</f>
        <v>47.4818576900043</v>
      </c>
      <c r="J575" s="418" t="n">
        <f aca="false">J574+0.5*(vit_x+G574)*pas*(K574&gt;=0)</f>
        <v>626.86890768119</v>
      </c>
      <c r="K575" s="419" t="n">
        <f aca="false">K574+0.5*(vit_z+H574)*pas</f>
        <v>1379.95076807015</v>
      </c>
      <c r="L575" s="417" t="n">
        <f aca="false">SQRT(pos_x^2+pos_z^2)</f>
        <v>1515.66115926839</v>
      </c>
      <c r="M575" s="418" t="n">
        <f aca="false">IF(AND(L574&gt;L_rampe,G575&gt;0),ATAN2(G575,H575),$M$4)</f>
        <v>-1.02623462503344</v>
      </c>
      <c r="N575" s="417" t="n">
        <f aca="false">DEGREES(Beta)</f>
        <v>-58.7989128046064</v>
      </c>
      <c r="O575" s="401"/>
      <c r="P575" s="420" t="n">
        <f aca="false">MATCH(t-pas/2-T_ini,CdP_t)</f>
        <v>23</v>
      </c>
      <c r="Q575" s="417" t="n">
        <f aca="false">(INDEX(CdP,2,i_P+1)-INDEX(CdP,2,i_P+0))/(INDEX(CdP,1,i_P+1)-INDEX(CdP,1,i_P+0))*(t-pas/2-T_ini-INDEX(CdP,1,i_P+0))+INDEX(CdP,2,i_P+0)</f>
        <v>0</v>
      </c>
      <c r="R575" s="418" t="n">
        <f aca="false">Poussee/(g*ISP)</f>
        <v>0</v>
      </c>
      <c r="S575" s="419" t="n">
        <f aca="false">S574-Débit*pas</f>
        <v>7.37799999999998</v>
      </c>
      <c r="T575" s="417" t="n">
        <f aca="false">m*g</f>
        <v>72.3781799999998</v>
      </c>
      <c r="U575" s="421" t="n">
        <f aca="false">IF(pos_xz&lt;L_rampe,Poids*COS(Beta),0)</f>
        <v>0</v>
      </c>
      <c r="V575" s="418" t="n">
        <f aca="false">Rho_moyen*(20000-Alt_rampe-pos_z)/(20000+Alt_rampe+pos_z)</f>
        <v>1.06686683035674</v>
      </c>
      <c r="W575" s="417" t="n">
        <f aca="false">1/2*Rho*Sref*Cx*vit_xz^2</f>
        <v>7.39607538464529</v>
      </c>
      <c r="X575" s="401"/>
      <c r="Y575" s="422" t="str">
        <f aca="false">IF(AND(pos_z&lt;=0,K574&gt;0),"Impact balistique","") &amp; IF(AND(H576&lt;0,vit_z&gt;=0),"Apogée","") &amp; IF(AND(Poussee=0,Q574&gt;0),"Fin de propulsion","") &amp; IF(AND(L576&gt;L_rampe,pos_xz&lt;=L_rampe),"Sortie de rampe","")</f>
        <v/>
      </c>
      <c r="Z575" s="423" t="str">
        <f aca="false">IF(ABS(t-T_para)&lt;pas/2,"Para","")</f>
        <v/>
      </c>
      <c r="AA575" s="424" t="str">
        <f aca="false">IF(ABS(t-T_satellite)&lt;pas/2,"Satellite","")</f>
        <v/>
      </c>
      <c r="AB575" s="412"/>
      <c r="AC575" s="420" t="e">
        <f aca="false">IF(ABS(t-ROUND(t,0))&lt;0.001,t,NA())</f>
        <v>#N/A</v>
      </c>
      <c r="AD575" s="425" t="e">
        <f aca="false">IF(ABS(t-ROUND(t,0))&lt;0.001,pos_x,NA())</f>
        <v>#N/A</v>
      </c>
      <c r="AE575" s="426" t="e">
        <f aca="false">IF(t&lt;T_para, pos_z, NA())</f>
        <v>#N/A</v>
      </c>
      <c r="AF575" s="412"/>
      <c r="AG575" s="418" t="n">
        <f aca="false">IF(AND(L574&lt;L_rampe,Poussee&lt;Poids*SIN(M574)),0,(-W574+Poussee)/m-Poids*SIN(M574)/m)</f>
        <v>7.36407334768554</v>
      </c>
      <c r="AH575" s="417" t="n">
        <f aca="false">IF(AND(L574&lt;L_rampe,Poussee&lt;Poids*SIN(M574)), g*SIN(M574), (-W574+Poussee)/m)</f>
        <v>-0.971087436076298</v>
      </c>
    </row>
    <row r="576" customFormat="false" ht="12" hidden="false" customHeight="false" outlineLevel="0" collapsed="false">
      <c r="A576" s="416" t="n">
        <f aca="false">IF(B575+0.01&lt;=T_ini+ROUNDUP(Temps_fin_propu,0), 0.01, IF(K575&gt;0, 0.1, 0.0001))</f>
        <v>0.1</v>
      </c>
      <c r="B576" s="417" t="n">
        <f aca="false">B575+pas</f>
        <v>21.2</v>
      </c>
      <c r="C576" s="401"/>
      <c r="D576" s="418" t="n">
        <f aca="false">IF(AND(L575&lt;L_rampe,Poussee&lt;Poids*SIN(M575)),0,(-W575+Poussee)/m*COS(M575)-U575/m*SIN(M575))</f>
        <v>-0.519312395645306</v>
      </c>
      <c r="E576" s="419" t="n">
        <f aca="false">IF(AND(L575&lt;L_rampe,Poussee&lt;Poids*SIN(M575)),0,(-W575+Poussee)/m*SIN(M575)+U575/m*COS(M575)-Poids/m)</f>
        <v>-8.95255003420699</v>
      </c>
      <c r="F576" s="417" t="n">
        <f aca="false">SQRT(acc_x^2+acc_z^2)</f>
        <v>8.96759931527108</v>
      </c>
      <c r="G576" s="418" t="n">
        <f aca="false">G575+acc_x*pas</f>
        <v>24.5457241563358</v>
      </c>
      <c r="H576" s="419" t="n">
        <f aca="false">H575+acc_z*pas</f>
        <v>-41.5090723408534</v>
      </c>
      <c r="I576" s="417" t="n">
        <f aca="false">SQRT(vit_x^2+vit_z^2)</f>
        <v>48.2233932957557</v>
      </c>
      <c r="J576" s="418" t="n">
        <f aca="false">J575+0.5*(vit_x+G575)*pas*(K575&gt;=0)</f>
        <v>629.326076658802</v>
      </c>
      <c r="K576" s="419" t="n">
        <f aca="false">K575+0.5*(vit_z+H575)*pas</f>
        <v>1375.84462358623</v>
      </c>
      <c r="L576" s="417" t="n">
        <f aca="false">SQRT(pos_x^2+pos_z^2)</f>
        <v>1512.9440634121</v>
      </c>
      <c r="M576" s="418" t="n">
        <f aca="false">IF(AND(L575&gt;L_rampe,G576&gt;0),ATAN2(G576,H576),$M$4)</f>
        <v>-1.03677328253627</v>
      </c>
      <c r="N576" s="417" t="n">
        <f aca="false">DEGREES(Beta)</f>
        <v>-59.4027334012526</v>
      </c>
      <c r="O576" s="401"/>
      <c r="P576" s="420" t="n">
        <f aca="false">MATCH(t-pas/2-T_ini,CdP_t)</f>
        <v>23</v>
      </c>
      <c r="Q576" s="417" t="n">
        <f aca="false">(INDEX(CdP,2,i_P+1)-INDEX(CdP,2,i_P+0))/(INDEX(CdP,1,i_P+1)-INDEX(CdP,1,i_P+0))*(t-pas/2-T_ini-INDEX(CdP,1,i_P+0))+INDEX(CdP,2,i_P+0)</f>
        <v>0</v>
      </c>
      <c r="R576" s="418" t="n">
        <f aca="false">Poussee/(g*ISP)</f>
        <v>0</v>
      </c>
      <c r="S576" s="419" t="n">
        <f aca="false">S575-Débit*pas</f>
        <v>7.37799999999998</v>
      </c>
      <c r="T576" s="417" t="n">
        <f aca="false">m*g</f>
        <v>72.3781799999998</v>
      </c>
      <c r="U576" s="421" t="n">
        <f aca="false">IF(pos_xz&lt;L_rampe,Poids*COS(Beta),0)</f>
        <v>0</v>
      </c>
      <c r="V576" s="418" t="n">
        <f aca="false">Rho_moyen*(20000-Alt_rampe-pos_z)/(20000+Alt_rampe+pos_z)</f>
        <v>1.06730708132736</v>
      </c>
      <c r="W576" s="417" t="n">
        <f aca="false">1/2*Rho*Sref*Cx*vit_xz^2</f>
        <v>7.63203997698769</v>
      </c>
      <c r="X576" s="401"/>
      <c r="Y576" s="422" t="str">
        <f aca="false">IF(AND(pos_z&lt;=0,K575&gt;0),"Impact balistique","") &amp; IF(AND(H577&lt;0,vit_z&gt;=0),"Apogée","") &amp; IF(AND(Poussee=0,Q575&gt;0),"Fin de propulsion","") &amp; IF(AND(L577&gt;L_rampe,pos_xz&lt;=L_rampe),"Sortie de rampe","")</f>
        <v/>
      </c>
      <c r="Z576" s="423" t="str">
        <f aca="false">IF(ABS(t-T_para)&lt;pas/2,"Para","")</f>
        <v/>
      </c>
      <c r="AA576" s="424" t="str">
        <f aca="false">IF(ABS(t-T_satellite)&lt;pas/2,"Satellite","")</f>
        <v/>
      </c>
      <c r="AB576" s="412"/>
      <c r="AC576" s="420" t="e">
        <f aca="false">IF(ABS(t-ROUND(t,0))&lt;0.001,t,NA())</f>
        <v>#N/A</v>
      </c>
      <c r="AD576" s="425" t="e">
        <f aca="false">IF(ABS(t-ROUND(t,0))&lt;0.001,pos_x,NA())</f>
        <v>#N/A</v>
      </c>
      <c r="AE576" s="426" t="e">
        <f aca="false">IF(t&lt;T_para, pos_z, NA())</f>
        <v>#N/A</v>
      </c>
      <c r="AF576" s="412"/>
      <c r="AG576" s="418" t="n">
        <f aca="false">IF(AND(L575&lt;L_rampe,Poussee&lt;Poids*SIN(M575)),0,(-W575+Poussee)/m-Poids*SIN(M575)/m)</f>
        <v>7.38857705890604</v>
      </c>
      <c r="AH576" s="417" t="n">
        <f aca="false">IF(AND(L575&lt;L_rampe,Poussee&lt;Poids*SIN(M575)), g*SIN(M575), (-W575+Poussee)/m)</f>
        <v>-1.00244990304219</v>
      </c>
    </row>
    <row r="577" customFormat="false" ht="12" hidden="false" customHeight="false" outlineLevel="0" collapsed="false">
      <c r="A577" s="416" t="n">
        <f aca="false">IF(B576+0.01&lt;=T_ini+ROUNDUP(Temps_fin_propu,0), 0.01, IF(K576&gt;0, 0.1, 0.0001))</f>
        <v>0.1</v>
      </c>
      <c r="B577" s="417" t="n">
        <f aca="false">B576+pas</f>
        <v>21.3</v>
      </c>
      <c r="C577" s="401"/>
      <c r="D577" s="418" t="n">
        <f aca="false">IF(AND(L576&lt;L_rampe,Poussee&lt;Poids*SIN(M576)),0,(-W576+Poussee)/m*COS(M576)-U576/m*SIN(M576))</f>
        <v>-0.526526298975445</v>
      </c>
      <c r="E577" s="419" t="n">
        <f aca="false">IF(AND(L576&lt;L_rampe,Poussee&lt;Poids*SIN(M576)),0,(-W576+Poussee)/m*SIN(M576)+U576/m*COS(M576)-Poids/m)</f>
        <v>-8.91959570415069</v>
      </c>
      <c r="F577" s="417" t="n">
        <f aca="false">SQRT(acc_x^2+acc_z^2)</f>
        <v>8.93512268908582</v>
      </c>
      <c r="G577" s="418" t="n">
        <f aca="false">G576+acc_x*pas</f>
        <v>24.4930715264383</v>
      </c>
      <c r="H577" s="419" t="n">
        <f aca="false">H576+acc_z*pas</f>
        <v>-42.4010319112685</v>
      </c>
      <c r="I577" s="417" t="n">
        <f aca="false">SQRT(vit_x^2+vit_z^2)</f>
        <v>48.9669078045534</v>
      </c>
      <c r="J577" s="418" t="n">
        <f aca="false">J576+0.5*(vit_x+G576)*pas*(K576&gt;=0)</f>
        <v>631.778016442941</v>
      </c>
      <c r="K577" s="419" t="n">
        <f aca="false">K576+0.5*(vit_z+H576)*pas</f>
        <v>1371.64911837363</v>
      </c>
      <c r="L577" s="417" t="n">
        <f aca="false">SQRT(pos_x^2+pos_z^2)</f>
        <v>1510.15388818349</v>
      </c>
      <c r="M577" s="418" t="n">
        <f aca="false">IF(AND(L576&gt;L_rampe,G577&gt;0),ATAN2(G577,H577),$M$4)</f>
        <v>-1.04697074081457</v>
      </c>
      <c r="N577" s="417" t="n">
        <f aca="false">DEGREES(Beta)</f>
        <v>-59.9870047223601</v>
      </c>
      <c r="O577" s="401"/>
      <c r="P577" s="420" t="n">
        <f aca="false">MATCH(t-pas/2-T_ini,CdP_t)</f>
        <v>23</v>
      </c>
      <c r="Q577" s="417" t="n">
        <f aca="false">(INDEX(CdP,2,i_P+1)-INDEX(CdP,2,i_P+0))/(INDEX(CdP,1,i_P+1)-INDEX(CdP,1,i_P+0))*(t-pas/2-T_ini-INDEX(CdP,1,i_P+0))+INDEX(CdP,2,i_P+0)</f>
        <v>0</v>
      </c>
      <c r="R577" s="418" t="n">
        <f aca="false">Poussee/(g*ISP)</f>
        <v>0</v>
      </c>
      <c r="S577" s="419" t="n">
        <f aca="false">S576-Débit*pas</f>
        <v>7.37799999999998</v>
      </c>
      <c r="T577" s="417" t="n">
        <f aca="false">m*g</f>
        <v>72.3781799999998</v>
      </c>
      <c r="U577" s="421" t="n">
        <f aca="false">IF(pos_xz&lt;L_rampe,Poids*COS(Beta),0)</f>
        <v>0</v>
      </c>
      <c r="V577" s="418" t="n">
        <f aca="false">Rho_moyen*(20000-Alt_rampe-pos_z)/(20000+Alt_rampe+pos_z)</f>
        <v>1.06775708807486</v>
      </c>
      <c r="W577" s="417" t="n">
        <f aca="false">1/2*Rho*Sref*Cx*vit_xz^2</f>
        <v>7.87251568827224</v>
      </c>
      <c r="X577" s="401"/>
      <c r="Y577" s="422" t="str">
        <f aca="false">IF(AND(pos_z&lt;=0,K576&gt;0),"Impact balistique","") &amp; IF(AND(H578&lt;0,vit_z&gt;=0),"Apogée","") &amp; IF(AND(Poussee=0,Q576&gt;0),"Fin de propulsion","") &amp; IF(AND(L578&gt;L_rampe,pos_xz&lt;=L_rampe),"Sortie de rampe","")</f>
        <v/>
      </c>
      <c r="Z577" s="423" t="str">
        <f aca="false">IF(ABS(t-T_para)&lt;pas/2,"Para","")</f>
        <v/>
      </c>
      <c r="AA577" s="424" t="str">
        <f aca="false">IF(ABS(t-T_satellite)&lt;pas/2,"Satellite","")</f>
        <v/>
      </c>
      <c r="AB577" s="412"/>
      <c r="AC577" s="420" t="e">
        <f aca="false">IF(ABS(t-ROUND(t,0))&lt;0.001,t,NA())</f>
        <v>#N/A</v>
      </c>
      <c r="AD577" s="425" t="e">
        <f aca="false">IF(ABS(t-ROUND(t,0))&lt;0.001,pos_x,NA())</f>
        <v>#N/A</v>
      </c>
      <c r="AE577" s="426" t="e">
        <f aca="false">IF(t&lt;T_para, pos_z, NA())</f>
        <v>#N/A</v>
      </c>
      <c r="AF577" s="412"/>
      <c r="AG577" s="418" t="n">
        <f aca="false">IF(AND(L576&lt;L_rampe,Poussee&lt;Poids*SIN(M576)),0,(-W576+Poussee)/m-Poids*SIN(M576)/m)</f>
        <v>7.40968541652788</v>
      </c>
      <c r="AH577" s="417" t="n">
        <f aca="false">IF(AND(L576&lt;L_rampe,Poussee&lt;Poids*SIN(M576)), g*SIN(M576), (-W576+Poussee)/m)</f>
        <v>-1.03443209229977</v>
      </c>
    </row>
    <row r="578" customFormat="false" ht="12" hidden="false" customHeight="false" outlineLevel="0" collapsed="false">
      <c r="A578" s="416" t="n">
        <f aca="false">IF(B577+0.01&lt;=T_ini+ROUNDUP(Temps_fin_propu,0), 0.01, IF(K577&gt;0, 0.1, 0.0001))</f>
        <v>0.1</v>
      </c>
      <c r="B578" s="417" t="n">
        <f aca="false">B577+pas</f>
        <v>21.4</v>
      </c>
      <c r="C578" s="401"/>
      <c r="D578" s="418" t="n">
        <f aca="false">IF(AND(L577&lt;L_rampe,Poussee&lt;Poids*SIN(M577)),0,(-W577+Poussee)/m*COS(M577)-U577/m*SIN(M577))</f>
        <v>-0.533722430248918</v>
      </c>
      <c r="E578" s="419" t="n">
        <f aca="false">IF(AND(L577&lt;L_rampe,Poussee&lt;Poids*SIN(M577)),0,(-W577+Poussee)/m*SIN(M577)+U577/m*COS(M577)-Poids/m)</f>
        <v>-8.88604965868342</v>
      </c>
      <c r="F578" s="417" t="n">
        <f aca="false">SQRT(acc_x^2+acc_z^2)</f>
        <v>8.90206370282411</v>
      </c>
      <c r="G578" s="418" t="n">
        <f aca="false">G577+acc_x*pas</f>
        <v>24.4396992834134</v>
      </c>
      <c r="H578" s="419" t="n">
        <f aca="false">H577+acc_z*pas</f>
        <v>-43.2896368771369</v>
      </c>
      <c r="I578" s="417" t="n">
        <f aca="false">SQRT(vit_x^2+vit_z^2)</f>
        <v>49.7120866793785</v>
      </c>
      <c r="J578" s="418" t="n">
        <f aca="false">J577+0.5*(vit_x+G577)*pas*(K577&gt;=0)</f>
        <v>634.224654983433</v>
      </c>
      <c r="K578" s="419" t="n">
        <f aca="false">K577+0.5*(vit_z+H577)*pas</f>
        <v>1367.36458493421</v>
      </c>
      <c r="L578" s="417" t="n">
        <f aca="false">SQRT(pos_x^2+pos_z^2)</f>
        <v>1507.29121974526</v>
      </c>
      <c r="M578" s="418" t="n">
        <f aca="false">IF(AND(L577&gt;L_rampe,G578&gt;0),ATAN2(G578,H578),$M$4)</f>
        <v>-1.05684159275603</v>
      </c>
      <c r="N578" s="417" t="n">
        <f aca="false">DEGREES(Beta)</f>
        <v>-60.5525628788042</v>
      </c>
      <c r="O578" s="401"/>
      <c r="P578" s="420" t="n">
        <f aca="false">MATCH(t-pas/2-T_ini,CdP_t)</f>
        <v>23</v>
      </c>
      <c r="Q578" s="417" t="n">
        <f aca="false">(INDEX(CdP,2,i_P+1)-INDEX(CdP,2,i_P+0))/(INDEX(CdP,1,i_P+1)-INDEX(CdP,1,i_P+0))*(t-pas/2-T_ini-INDEX(CdP,1,i_P+0))+INDEX(CdP,2,i_P+0)</f>
        <v>0</v>
      </c>
      <c r="R578" s="418" t="n">
        <f aca="false">Poussee/(g*ISP)</f>
        <v>0</v>
      </c>
      <c r="S578" s="419" t="n">
        <f aca="false">S577-Débit*pas</f>
        <v>7.37799999999998</v>
      </c>
      <c r="T578" s="417" t="n">
        <f aca="false">m*g</f>
        <v>72.3781799999998</v>
      </c>
      <c r="U578" s="421" t="n">
        <f aca="false">IF(pos_xz&lt;L_rampe,Poids*COS(Beta),0)</f>
        <v>0</v>
      </c>
      <c r="V578" s="418" t="n">
        <f aca="false">Rho_moyen*(20000-Alt_rampe-pos_z)/(20000+Alt_rampe+pos_z)</f>
        <v>1.06821682630665</v>
      </c>
      <c r="W578" s="417" t="n">
        <f aca="false">1/2*Rho*Sref*Cx*vit_xz^2</f>
        <v>8.11744048320683</v>
      </c>
      <c r="X578" s="401"/>
      <c r="Y578" s="422" t="str">
        <f aca="false">IF(AND(pos_z&lt;=0,K577&gt;0),"Impact balistique","") &amp; IF(AND(H579&lt;0,vit_z&gt;=0),"Apogée","") &amp; IF(AND(Poussee=0,Q577&gt;0),"Fin de propulsion","") &amp; IF(AND(L579&gt;L_rampe,pos_xz&lt;=L_rampe),"Sortie de rampe","")</f>
        <v/>
      </c>
      <c r="Z578" s="423" t="str">
        <f aca="false">IF(ABS(t-T_para)&lt;pas/2,"Para","")</f>
        <v/>
      </c>
      <c r="AA578" s="424" t="str">
        <f aca="false">IF(ABS(t-T_satellite)&lt;pas/2,"Satellite","")</f>
        <v/>
      </c>
      <c r="AB578" s="412"/>
      <c r="AC578" s="420" t="e">
        <f aca="false">IF(ABS(t-ROUND(t,0))&lt;0.001,t,NA())</f>
        <v>#N/A</v>
      </c>
      <c r="AD578" s="425" t="e">
        <f aca="false">IF(ABS(t-ROUND(t,0))&lt;0.001,pos_x,NA())</f>
        <v>#N/A</v>
      </c>
      <c r="AE578" s="426" t="e">
        <f aca="false">IF(t&lt;T_para, pos_z, NA())</f>
        <v>#N/A</v>
      </c>
      <c r="AF578" s="412"/>
      <c r="AG578" s="418" t="n">
        <f aca="false">IF(AND(L577&lt;L_rampe,Poussee&lt;Poids*SIN(M577)),0,(-W577+Poussee)/m-Poids*SIN(M577)/m)</f>
        <v>7.42757077770347</v>
      </c>
      <c r="AH578" s="417" t="n">
        <f aca="false">IF(AND(L577&lt;L_rampe,Poussee&lt;Poids*SIN(M577)), g*SIN(M577), (-W577+Poussee)/m)</f>
        <v>-1.0670257099854</v>
      </c>
    </row>
    <row r="579" customFormat="false" ht="12" hidden="false" customHeight="false" outlineLevel="0" collapsed="false">
      <c r="A579" s="416" t="n">
        <f aca="false">IF(B578+0.01&lt;=T_ini+ROUNDUP(Temps_fin_propu,0), 0.01, IF(K578&gt;0, 0.1, 0.0001))</f>
        <v>0.1</v>
      </c>
      <c r="B579" s="417" t="n">
        <f aca="false">B578+pas</f>
        <v>21.5</v>
      </c>
      <c r="C579" s="401"/>
      <c r="D579" s="418" t="n">
        <f aca="false">IF(AND(L578&lt;L_rampe,Poussee&lt;Poids*SIN(M578)),0,(-W578+Poussee)/m*COS(M578)-U578/m*SIN(M578))</f>
        <v>-0.540896693842632</v>
      </c>
      <c r="E579" s="419" t="n">
        <f aca="false">IF(AND(L578&lt;L_rampe,Poussee&lt;Poids*SIN(M578)),0,(-W578+Poussee)/m*SIN(M578)+U578/m*COS(M578)-Poids/m)</f>
        <v>-8.85191859347538</v>
      </c>
      <c r="F579" s="417" t="n">
        <f aca="false">SQRT(acc_x^2+acc_z^2)</f>
        <v>8.86842894874425</v>
      </c>
      <c r="G579" s="418" t="n">
        <f aca="false">G578+acc_x*pas</f>
        <v>24.3856096140291</v>
      </c>
      <c r="H579" s="419" t="n">
        <f aca="false">H578+acc_z*pas</f>
        <v>-44.1748287364844</v>
      </c>
      <c r="I579" s="417" t="n">
        <f aca="false">SQRT(vit_x^2+vit_z^2)</f>
        <v>50.4586310768094</v>
      </c>
      <c r="J579" s="418" t="n">
        <f aca="false">J578+0.5*(vit_x+G578)*pas*(K578&gt;=0)</f>
        <v>636.665920428305</v>
      </c>
      <c r="K579" s="419" t="n">
        <f aca="false">K578+0.5*(vit_z+H578)*pas</f>
        <v>1362.99136165352</v>
      </c>
      <c r="L579" s="417" t="n">
        <f aca="false">SQRT(pos_x^2+pos_z^2)</f>
        <v>1504.35665524401</v>
      </c>
      <c r="M579" s="418" t="n">
        <f aca="false">IF(AND(L578&gt;L_rampe,G579&gt;0),ATAN2(G579,H579),$M$4)</f>
        <v>-1.06639974669404</v>
      </c>
      <c r="N579" s="417" t="n">
        <f aca="false">DEGREES(Beta)</f>
        <v>-61.1002047593884</v>
      </c>
      <c r="O579" s="401"/>
      <c r="P579" s="420" t="n">
        <f aca="false">MATCH(t-pas/2-T_ini,CdP_t)</f>
        <v>23</v>
      </c>
      <c r="Q579" s="417" t="n">
        <f aca="false">(INDEX(CdP,2,i_P+1)-INDEX(CdP,2,i_P+0))/(INDEX(CdP,1,i_P+1)-INDEX(CdP,1,i_P+0))*(t-pas/2-T_ini-INDEX(CdP,1,i_P+0))+INDEX(CdP,2,i_P+0)</f>
        <v>0</v>
      </c>
      <c r="R579" s="418" t="n">
        <f aca="false">Poussee/(g*ISP)</f>
        <v>0</v>
      </c>
      <c r="S579" s="419" t="n">
        <f aca="false">S578-Débit*pas</f>
        <v>7.37799999999998</v>
      </c>
      <c r="T579" s="417" t="n">
        <f aca="false">m*g</f>
        <v>72.3781799999998</v>
      </c>
      <c r="U579" s="421" t="n">
        <f aca="false">IF(pos_xz&lt;L_rampe,Poids*COS(Beta),0)</f>
        <v>0</v>
      </c>
      <c r="V579" s="418" t="n">
        <f aca="false">Rho_moyen*(20000-Alt_rampe-pos_z)/(20000+Alt_rampe+pos_z)</f>
        <v>1.06868627129414</v>
      </c>
      <c r="W579" s="417" t="n">
        <f aca="false">1/2*Rho*Sref*Cx*vit_xz^2</f>
        <v>8.36675150872935</v>
      </c>
      <c r="X579" s="401"/>
      <c r="Y579" s="422" t="str">
        <f aca="false">IF(AND(pos_z&lt;=0,K578&gt;0),"Impact balistique","") &amp; IF(AND(H580&lt;0,vit_z&gt;=0),"Apogée","") &amp; IF(AND(Poussee=0,Q578&gt;0),"Fin de propulsion","") &amp; IF(AND(L580&gt;L_rampe,pos_xz&lt;=L_rampe),"Sortie de rampe","")</f>
        <v/>
      </c>
      <c r="Z579" s="423" t="str">
        <f aca="false">IF(ABS(t-T_para)&lt;pas/2,"Para","")</f>
        <v/>
      </c>
      <c r="AA579" s="424" t="str">
        <f aca="false">IF(ABS(t-T_satellite)&lt;pas/2,"Satellite","")</f>
        <v/>
      </c>
      <c r="AB579" s="412"/>
      <c r="AC579" s="420" t="e">
        <f aca="false">IF(ABS(t-ROUND(t,0))&lt;0.001,t,NA())</f>
        <v>#N/A</v>
      </c>
      <c r="AD579" s="425" t="e">
        <f aca="false">IF(ABS(t-ROUND(t,0))&lt;0.001,pos_x,NA())</f>
        <v>#N/A</v>
      </c>
      <c r="AE579" s="426" t="e">
        <f aca="false">IF(t&lt;T_para, pos_z, NA())</f>
        <v>#N/A</v>
      </c>
      <c r="AF579" s="412"/>
      <c r="AG579" s="418" t="n">
        <f aca="false">IF(AND(L578&lt;L_rampe,Poussee&lt;Poids*SIN(M578)),0,(-W578+Poussee)/m-Poids*SIN(M578)/m)</f>
        <v>7.44239507431684</v>
      </c>
      <c r="AH579" s="417" t="n">
        <f aca="false">IF(AND(L578&lt;L_rampe,Poussee&lt;Poids*SIN(M578)), g*SIN(M578), (-W578+Poussee)/m)</f>
        <v>-1.1002223479543</v>
      </c>
    </row>
    <row r="580" customFormat="false" ht="12" hidden="false" customHeight="false" outlineLevel="0" collapsed="false">
      <c r="A580" s="416" t="n">
        <f aca="false">IF(B579+0.01&lt;=T_ini+ROUNDUP(Temps_fin_propu,0), 0.01, IF(K579&gt;0, 0.1, 0.0001))</f>
        <v>0.1</v>
      </c>
      <c r="B580" s="417" t="n">
        <f aca="false">B579+pas</f>
        <v>21.6</v>
      </c>
      <c r="C580" s="401"/>
      <c r="D580" s="418" t="n">
        <f aca="false">IF(AND(L579&lt;L_rampe,Poussee&lt;Poids*SIN(M579)),0,(-W579+Poussee)/m*COS(M579)-U579/m*SIN(M579))</f>
        <v>-0.548045192790952</v>
      </c>
      <c r="E580" s="419" t="n">
        <f aca="false">IF(AND(L579&lt;L_rampe,Poussee&lt;Poids*SIN(M579)),0,(-W579+Poussee)/m*SIN(M579)+U579/m*COS(M579)-Poids/m)</f>
        <v>-8.81720946022749</v>
      </c>
      <c r="F580" s="417" t="n">
        <f aca="false">SQRT(acc_x^2+acc_z^2)</f>
        <v>8.83422527440105</v>
      </c>
      <c r="G580" s="418" t="n">
        <f aca="false">G579+acc_x*pas</f>
        <v>24.33080509475</v>
      </c>
      <c r="H580" s="419" t="n">
        <f aca="false">H579+acc_z*pas</f>
        <v>-45.0565496825071</v>
      </c>
      <c r="I580" s="417" t="n">
        <f aca="false">SQRT(vit_x^2+vit_z^2)</f>
        <v>51.206256901388</v>
      </c>
      <c r="J580" s="418" t="n">
        <f aca="false">J579+0.5*(vit_x+G579)*pas*(K579&gt;=0)</f>
        <v>639.101741163744</v>
      </c>
      <c r="K580" s="419" t="n">
        <f aca="false">K579+0.5*(vit_z+H579)*pas</f>
        <v>1358.52979273258</v>
      </c>
      <c r="L580" s="417" t="n">
        <f aca="false">SQRT(pos_x^2+pos_z^2)</f>
        <v>1501.35080287738</v>
      </c>
      <c r="M580" s="418" t="n">
        <f aca="false">IF(AND(L579&gt;L_rampe,G580&gt;0),ATAN2(G580,H580),$M$4)</f>
        <v>-1.07565845356026</v>
      </c>
      <c r="N580" s="417" t="n">
        <f aca="false">DEGREES(Beta)</f>
        <v>-61.6306895865717</v>
      </c>
      <c r="O580" s="401"/>
      <c r="P580" s="420" t="n">
        <f aca="false">MATCH(t-pas/2-T_ini,CdP_t)</f>
        <v>23</v>
      </c>
      <c r="Q580" s="417" t="n">
        <f aca="false">(INDEX(CdP,2,i_P+1)-INDEX(CdP,2,i_P+0))/(INDEX(CdP,1,i_P+1)-INDEX(CdP,1,i_P+0))*(t-pas/2-T_ini-INDEX(CdP,1,i_P+0))+INDEX(CdP,2,i_P+0)</f>
        <v>0</v>
      </c>
      <c r="R580" s="418" t="n">
        <f aca="false">Poussee/(g*ISP)</f>
        <v>0</v>
      </c>
      <c r="S580" s="419" t="n">
        <f aca="false">S579-Débit*pas</f>
        <v>7.37799999999998</v>
      </c>
      <c r="T580" s="417" t="n">
        <f aca="false">m*g</f>
        <v>72.3781799999998</v>
      </c>
      <c r="U580" s="421" t="n">
        <f aca="false">IF(pos_xz&lt;L_rampe,Poids*COS(Beta),0)</f>
        <v>0</v>
      </c>
      <c r="V580" s="418" t="n">
        <f aca="false">Rho_moyen*(20000-Alt_rampe-pos_z)/(20000+Alt_rampe+pos_z)</f>
        <v>1.06916539787643</v>
      </c>
      <c r="W580" s="417" t="n">
        <f aca="false">1/2*Rho*Sref*Cx*vit_xz^2</f>
        <v>8.620385120033</v>
      </c>
      <c r="X580" s="401"/>
      <c r="Y580" s="422" t="str">
        <f aca="false">IF(AND(pos_z&lt;=0,K579&gt;0),"Impact balistique","") &amp; IF(AND(H581&lt;0,vit_z&gt;=0),"Apogée","") &amp; IF(AND(Poussee=0,Q579&gt;0),"Fin de propulsion","") &amp; IF(AND(L581&gt;L_rampe,pos_xz&lt;=L_rampe),"Sortie de rampe","")</f>
        <v/>
      </c>
      <c r="Z580" s="423" t="str">
        <f aca="false">IF(ABS(t-T_para)&lt;pas/2,"Para","")</f>
        <v/>
      </c>
      <c r="AA580" s="424" t="str">
        <f aca="false">IF(ABS(t-T_satellite)&lt;pas/2,"Satellite","")</f>
        <v/>
      </c>
      <c r="AB580" s="412"/>
      <c r="AC580" s="420" t="e">
        <f aca="false">IF(ABS(t-ROUND(t,0))&lt;0.001,t,NA())</f>
        <v>#N/A</v>
      </c>
      <c r="AD580" s="425" t="e">
        <f aca="false">IF(ABS(t-ROUND(t,0))&lt;0.001,pos_x,NA())</f>
        <v>#N/A</v>
      </c>
      <c r="AE580" s="426" t="e">
        <f aca="false">IF(t&lt;T_para, pos_z, NA())</f>
        <v>#N/A</v>
      </c>
      <c r="AF580" s="412"/>
      <c r="AG580" s="418" t="n">
        <f aca="false">IF(AND(L579&lt;L_rampe,Poussee&lt;Poids*SIN(M579)),0,(-W579+Poussee)/m-Poids*SIN(M579)/m)</f>
        <v>7.45431046562584</v>
      </c>
      <c r="AH580" s="417" t="n">
        <f aca="false">IF(AND(L579&lt;L_rampe,Poussee&lt;Poids*SIN(M579)), g*SIN(M579), (-W579+Poussee)/m)</f>
        <v>-1.13401348722274</v>
      </c>
    </row>
    <row r="581" customFormat="false" ht="12" hidden="false" customHeight="false" outlineLevel="0" collapsed="false">
      <c r="A581" s="416" t="n">
        <f aca="false">IF(B580+0.01&lt;=T_ini+ROUNDUP(Temps_fin_propu,0), 0.01, IF(K580&gt;0, 0.1, 0.0001))</f>
        <v>0.1</v>
      </c>
      <c r="B581" s="417" t="n">
        <f aca="false">B580+pas</f>
        <v>21.7</v>
      </c>
      <c r="C581" s="401"/>
      <c r="D581" s="418" t="n">
        <f aca="false">IF(AND(L580&lt;L_rampe,Poussee&lt;Poids*SIN(M580)),0,(-W580+Poussee)/m*COS(M580)-U580/m*SIN(M580))</f>
        <v>-0.555164217942888</v>
      </c>
      <c r="E581" s="419" t="n">
        <f aca="false">IF(AND(L580&lt;L_rampe,Poussee&lt;Poids*SIN(M580)),0,(-W580+Poussee)/m*SIN(M580)+U580/m*COS(M580)-Poids/m)</f>
        <v>-8.78192945032915</v>
      </c>
      <c r="F581" s="417" t="n">
        <f aca="false">SQRT(acc_x^2+acc_z^2)</f>
        <v>8.79945976634035</v>
      </c>
      <c r="G581" s="418" t="n">
        <f aca="false">G580+acc_x*pas</f>
        <v>24.2752886729558</v>
      </c>
      <c r="H581" s="419" t="n">
        <f aca="false">H580+acc_z*pas</f>
        <v>-45.9347426275401</v>
      </c>
      <c r="I581" s="417" t="n">
        <f aca="false">SQRT(vit_x^2+vit_z^2)</f>
        <v>51.954693920893</v>
      </c>
      <c r="J581" s="418" t="n">
        <f aca="false">J580+0.5*(vit_x+G580)*pas*(K580&gt;=0)</f>
        <v>641.53204585213</v>
      </c>
      <c r="K581" s="419" t="n">
        <f aca="false">K580+0.5*(vit_z+H580)*pas</f>
        <v>1353.98022811707</v>
      </c>
      <c r="L581" s="417" t="n">
        <f aca="false">SQRT(pos_x^2+pos_z^2)</f>
        <v>1498.27428196148</v>
      </c>
      <c r="M581" s="418" t="n">
        <f aca="false">IF(AND(L580&gt;L_rampe,G581&gt;0),ATAN2(G581,H581),$M$4)</f>
        <v>-1.08463033430386</v>
      </c>
      <c r="N581" s="417" t="n">
        <f aca="false">DEGREES(Beta)</f>
        <v>-62.1447404874746</v>
      </c>
      <c r="O581" s="401"/>
      <c r="P581" s="420" t="n">
        <f aca="false">MATCH(t-pas/2-T_ini,CdP_t)</f>
        <v>23</v>
      </c>
      <c r="Q581" s="417" t="n">
        <f aca="false">(INDEX(CdP,2,i_P+1)-INDEX(CdP,2,i_P+0))/(INDEX(CdP,1,i_P+1)-INDEX(CdP,1,i_P+0))*(t-pas/2-T_ini-INDEX(CdP,1,i_P+0))+INDEX(CdP,2,i_P+0)</f>
        <v>0</v>
      </c>
      <c r="R581" s="418" t="n">
        <f aca="false">Poussee/(g*ISP)</f>
        <v>0</v>
      </c>
      <c r="S581" s="419" t="n">
        <f aca="false">S580-Débit*pas</f>
        <v>7.37799999999998</v>
      </c>
      <c r="T581" s="417" t="n">
        <f aca="false">m*g</f>
        <v>72.3781799999998</v>
      </c>
      <c r="U581" s="421" t="n">
        <f aca="false">IF(pos_xz&lt;L_rampe,Poids*COS(Beta),0)</f>
        <v>0</v>
      </c>
      <c r="V581" s="418" t="n">
        <f aca="false">Rho_moyen*(20000-Alt_rampe-pos_z)/(20000+Alt_rampe+pos_z)</f>
        <v>1.06965418046426</v>
      </c>
      <c r="W581" s="417" t="n">
        <f aca="false">1/2*Rho*Sref*Cx*vit_xz^2</f>
        <v>8.87827690716472</v>
      </c>
      <c r="X581" s="401"/>
      <c r="Y581" s="422" t="str">
        <f aca="false">IF(AND(pos_z&lt;=0,K580&gt;0),"Impact balistique","") &amp; IF(AND(H582&lt;0,vit_z&gt;=0),"Apogée","") &amp; IF(AND(Poussee=0,Q580&gt;0),"Fin de propulsion","") &amp; IF(AND(L582&gt;L_rampe,pos_xz&lt;=L_rampe),"Sortie de rampe","")</f>
        <v/>
      </c>
      <c r="Z581" s="423" t="str">
        <f aca="false">IF(ABS(t-T_para)&lt;pas/2,"Para","")</f>
        <v/>
      </c>
      <c r="AA581" s="424" t="str">
        <f aca="false">IF(ABS(t-T_satellite)&lt;pas/2,"Satellite","")</f>
        <v/>
      </c>
      <c r="AB581" s="412"/>
      <c r="AC581" s="420" t="e">
        <f aca="false">IF(ABS(t-ROUND(t,0))&lt;0.001,t,NA())</f>
        <v>#N/A</v>
      </c>
      <c r="AD581" s="425" t="e">
        <f aca="false">IF(ABS(t-ROUND(t,0))&lt;0.001,pos_x,NA())</f>
        <v>#N/A</v>
      </c>
      <c r="AE581" s="426" t="e">
        <f aca="false">IF(t&lt;T_para, pos_z, NA())</f>
        <v>#N/A</v>
      </c>
      <c r="AF581" s="412"/>
      <c r="AG581" s="418" t="n">
        <f aca="false">IF(AND(L580&lt;L_rampe,Poussee&lt;Poids*SIN(M580)),0,(-W580+Poussee)/m-Poids*SIN(M580)/m)</f>
        <v>7.46345996233755</v>
      </c>
      <c r="AH581" s="417" t="n">
        <f aca="false">IF(AND(L580&lt;L_rampe,Poussee&lt;Poids*SIN(M580)), g*SIN(M580), (-W580+Poussee)/m)</f>
        <v>-1.16839050149539</v>
      </c>
    </row>
    <row r="582" customFormat="false" ht="12" hidden="false" customHeight="false" outlineLevel="0" collapsed="false">
      <c r="A582" s="416" t="n">
        <f aca="false">IF(B581+0.01&lt;=T_ini+ROUNDUP(Temps_fin_propu,0), 0.01, IF(K581&gt;0, 0.1, 0.0001))</f>
        <v>0.1</v>
      </c>
      <c r="B582" s="417" t="n">
        <f aca="false">B581+pas</f>
        <v>21.8</v>
      </c>
      <c r="C582" s="401"/>
      <c r="D582" s="418" t="n">
        <f aca="false">IF(AND(L581&lt;L_rampe,Poussee&lt;Poids*SIN(M581)),0,(-W581+Poussee)/m*COS(M581)-U581/m*SIN(M581))</f>
        <v>-0.562250237827246</v>
      </c>
      <c r="E582" s="419" t="n">
        <f aca="false">IF(AND(L581&lt;L_rampe,Poussee&lt;Poids*SIN(M581)),0,(-W581+Poussee)/m*SIN(M581)+U581/m*COS(M581)-Poids/m)</f>
        <v>-8.74608597966374</v>
      </c>
      <c r="F582" s="417" t="n">
        <f aca="false">SQRT(acc_x^2+acc_z^2)</f>
        <v>8.76413973494304</v>
      </c>
      <c r="G582" s="418" t="n">
        <f aca="false">G581+acc_x*pas</f>
        <v>24.219063649173</v>
      </c>
      <c r="H582" s="419" t="n">
        <f aca="false">H581+acc_z*pas</f>
        <v>-46.8093512255064</v>
      </c>
      <c r="I582" s="417" t="n">
        <f aca="false">SQRT(vit_x^2+vit_z^2)</f>
        <v>52.7036849394377</v>
      </c>
      <c r="J582" s="418" t="n">
        <f aca="false">J581+0.5*(vit_x+G581)*pas*(K581&gt;=0)</f>
        <v>643.956763468236</v>
      </c>
      <c r="K582" s="419" t="n">
        <f aca="false">K581+0.5*(vit_z+H581)*pas</f>
        <v>1349.34302342442</v>
      </c>
      <c r="L582" s="417" t="n">
        <f aca="false">SQRT(pos_x^2+pos_z^2)</f>
        <v>1495.12772299916</v>
      </c>
      <c r="M582" s="418" t="n">
        <f aca="false">IF(AND(L581&gt;L_rampe,G582&gt;0),ATAN2(G582,H582),$M$4)</f>
        <v>-1.09332740726577</v>
      </c>
      <c r="N582" s="417" t="n">
        <f aca="false">DEGREES(Beta)</f>
        <v>-62.6430460623095</v>
      </c>
      <c r="O582" s="401"/>
      <c r="P582" s="420" t="n">
        <f aca="false">MATCH(t-pas/2-T_ini,CdP_t)</f>
        <v>23</v>
      </c>
      <c r="Q582" s="417" t="n">
        <f aca="false">(INDEX(CdP,2,i_P+1)-INDEX(CdP,2,i_P+0))/(INDEX(CdP,1,i_P+1)-INDEX(CdP,1,i_P+0))*(t-pas/2-T_ini-INDEX(CdP,1,i_P+0))+INDEX(CdP,2,i_P+0)</f>
        <v>0</v>
      </c>
      <c r="R582" s="418" t="n">
        <f aca="false">Poussee/(g*ISP)</f>
        <v>0</v>
      </c>
      <c r="S582" s="419" t="n">
        <f aca="false">S581-Débit*pas</f>
        <v>7.37799999999998</v>
      </c>
      <c r="T582" s="417" t="n">
        <f aca="false">m*g</f>
        <v>72.3781799999998</v>
      </c>
      <c r="U582" s="421" t="n">
        <f aca="false">IF(pos_xz&lt;L_rampe,Poids*COS(Beta),0)</f>
        <v>0</v>
      </c>
      <c r="V582" s="418" t="n">
        <f aca="false">Rho_moyen*(20000-Alt_rampe-pos_z)/(20000+Alt_rampe+pos_z)</f>
        <v>1.07015259304408</v>
      </c>
      <c r="W582" s="417" t="n">
        <f aca="false">1/2*Rho*Sref*Cx*vit_xz^2</f>
        <v>9.14036172214378</v>
      </c>
      <c r="X582" s="401"/>
      <c r="Y582" s="422" t="str">
        <f aca="false">IF(AND(pos_z&lt;=0,K581&gt;0),"Impact balistique","") &amp; IF(AND(H583&lt;0,vit_z&gt;=0),"Apogée","") &amp; IF(AND(Poussee=0,Q581&gt;0),"Fin de propulsion","") &amp; IF(AND(L583&gt;L_rampe,pos_xz&lt;=L_rampe),"Sortie de rampe","")</f>
        <v/>
      </c>
      <c r="Z582" s="423" t="str">
        <f aca="false">IF(ABS(t-T_para)&lt;pas/2,"Para","")</f>
        <v/>
      </c>
      <c r="AA582" s="424" t="str">
        <f aca="false">IF(ABS(t-T_satellite)&lt;pas/2,"Satellite","")</f>
        <v/>
      </c>
      <c r="AB582" s="412"/>
      <c r="AC582" s="420" t="e">
        <f aca="false">IF(ABS(t-ROUND(t,0))&lt;0.001,t,NA())</f>
        <v>#N/A</v>
      </c>
      <c r="AD582" s="425" t="e">
        <f aca="false">IF(ABS(t-ROUND(t,0))&lt;0.001,pos_x,NA())</f>
        <v>#N/A</v>
      </c>
      <c r="AE582" s="426" t="e">
        <f aca="false">IF(t&lt;T_para, pos_z, NA())</f>
        <v>#N/A</v>
      </c>
      <c r="AF582" s="412"/>
      <c r="AG582" s="418" t="n">
        <f aca="false">IF(AND(L581&lt;L_rampe,Poussee&lt;Poids*SIN(M581)),0,(-W581+Poussee)/m-Poids*SIN(M581)/m)</f>
        <v>7.4699780203772</v>
      </c>
      <c r="AH582" s="417" t="n">
        <f aca="false">IF(AND(L581&lt;L_rampe,Poussee&lt;Poids*SIN(M581)), g*SIN(M581), (-W581+Poussee)/m)</f>
        <v>-1.2033446607705</v>
      </c>
    </row>
    <row r="583" customFormat="false" ht="12" hidden="false" customHeight="false" outlineLevel="0" collapsed="false">
      <c r="A583" s="416" t="n">
        <f aca="false">IF(B582+0.01&lt;=T_ini+ROUNDUP(Temps_fin_propu,0), 0.01, IF(K582&gt;0, 0.1, 0.0001))</f>
        <v>0.1</v>
      </c>
      <c r="B583" s="417" t="n">
        <f aca="false">B582+pas</f>
        <v>21.9</v>
      </c>
      <c r="C583" s="401"/>
      <c r="D583" s="418" t="n">
        <f aca="false">IF(AND(L582&lt;L_rampe,Poussee&lt;Poids*SIN(M582)),0,(-W582+Poussee)/m*COS(M582)-U582/m*SIN(M582))</f>
        <v>-0.569299889187735</v>
      </c>
      <c r="E583" s="419" t="n">
        <f aca="false">IF(AND(L582&lt;L_rampe,Poussee&lt;Poids*SIN(M582)),0,(-W582+Poussee)/m*SIN(M582)+U582/m*COS(M582)-Poids/m)</f>
        <v>-8.70968667444579</v>
      </c>
      <c r="F583" s="417" t="n">
        <f aca="false">SQRT(acc_x^2+acc_z^2)</f>
        <v>8.72827270030261</v>
      </c>
      <c r="G583" s="418" t="n">
        <f aca="false">G582+acc_x*pas</f>
        <v>24.1621336602543</v>
      </c>
      <c r="H583" s="419" t="n">
        <f aca="false">H582+acc_z*pas</f>
        <v>-47.680319892951</v>
      </c>
      <c r="I583" s="417" t="n">
        <f aca="false">SQRT(vit_x^2+vit_z^2)</f>
        <v>53.452985025255</v>
      </c>
      <c r="J583" s="418" t="n">
        <f aca="false">J582+0.5*(vit_x+G582)*pas*(K582&gt;=0)</f>
        <v>646.375823333707</v>
      </c>
      <c r="K583" s="419" t="n">
        <f aca="false">K582+0.5*(vit_z+H582)*pas</f>
        <v>1344.6185398685</v>
      </c>
      <c r="L583" s="417" t="n">
        <f aca="false">SQRT(pos_x^2+pos_z^2)</f>
        <v>1491.91176774916</v>
      </c>
      <c r="M583" s="418" t="n">
        <f aca="false">IF(AND(L582&gt;L_rampe,G583&gt;0),ATAN2(G583,H583),$M$4)</f>
        <v>-1.10176111526014</v>
      </c>
      <c r="N583" s="417" t="n">
        <f aca="false">DEGREES(Beta)</f>
        <v>-63.1262619360326</v>
      </c>
      <c r="O583" s="401"/>
      <c r="P583" s="420" t="n">
        <f aca="false">MATCH(t-pas/2-T_ini,CdP_t)</f>
        <v>23</v>
      </c>
      <c r="Q583" s="417" t="n">
        <f aca="false">(INDEX(CdP,2,i_P+1)-INDEX(CdP,2,i_P+0))/(INDEX(CdP,1,i_P+1)-INDEX(CdP,1,i_P+0))*(t-pas/2-T_ini-INDEX(CdP,1,i_P+0))+INDEX(CdP,2,i_P+0)</f>
        <v>0</v>
      </c>
      <c r="R583" s="418" t="n">
        <f aca="false">Poussee/(g*ISP)</f>
        <v>0</v>
      </c>
      <c r="S583" s="419" t="n">
        <f aca="false">S582-Débit*pas</f>
        <v>7.37799999999998</v>
      </c>
      <c r="T583" s="417" t="n">
        <f aca="false">m*g</f>
        <v>72.3781799999998</v>
      </c>
      <c r="U583" s="421" t="n">
        <f aca="false">IF(pos_xz&lt;L_rampe,Poids*COS(Beta),0)</f>
        <v>0</v>
      </c>
      <c r="V583" s="418" t="n">
        <f aca="false">Rho_moyen*(20000-Alt_rampe-pos_z)/(20000+Alt_rampe+pos_z)</f>
        <v>1.07066060918238</v>
      </c>
      <c r="W583" s="417" t="n">
        <f aca="false">1/2*Rho*Sref*Cx*vit_xz^2</f>
        <v>9.40657370655038</v>
      </c>
      <c r="X583" s="401"/>
      <c r="Y583" s="422" t="str">
        <f aca="false">IF(AND(pos_z&lt;=0,K582&gt;0),"Impact balistique","") &amp; IF(AND(H584&lt;0,vit_z&gt;=0),"Apogée","") &amp; IF(AND(Poussee=0,Q582&gt;0),"Fin de propulsion","") &amp; IF(AND(L584&gt;L_rampe,pos_xz&lt;=L_rampe),"Sortie de rampe","")</f>
        <v/>
      </c>
      <c r="Z583" s="423" t="str">
        <f aca="false">IF(ABS(t-T_para)&lt;pas/2,"Para","")</f>
        <v/>
      </c>
      <c r="AA583" s="424" t="str">
        <f aca="false">IF(ABS(t-T_satellite)&lt;pas/2,"Satellite","")</f>
        <v/>
      </c>
      <c r="AB583" s="412"/>
      <c r="AC583" s="420" t="e">
        <f aca="false">IF(ABS(t-ROUND(t,0))&lt;0.001,t,NA())</f>
        <v>#N/A</v>
      </c>
      <c r="AD583" s="425" t="e">
        <f aca="false">IF(ABS(t-ROUND(t,0))&lt;0.001,pos_x,NA())</f>
        <v>#N/A</v>
      </c>
      <c r="AE583" s="426" t="e">
        <f aca="false">IF(t&lt;T_para, pos_z, NA())</f>
        <v>#N/A</v>
      </c>
      <c r="AF583" s="412"/>
      <c r="AG583" s="418" t="n">
        <f aca="false">IF(AND(L582&lt;L_rampe,Poussee&lt;Poids*SIN(M582)),0,(-W582+Poussee)/m-Poids*SIN(M582)/m)</f>
        <v>7.47399110345288</v>
      </c>
      <c r="AH583" s="417" t="n">
        <f aca="false">IF(AND(L582&lt;L_rampe,Poussee&lt;Poids*SIN(M582)), g*SIN(M582), (-W582+Poussee)/m)</f>
        <v>-1.23886713501542</v>
      </c>
    </row>
    <row r="584" customFormat="false" ht="12" hidden="false" customHeight="false" outlineLevel="0" collapsed="false">
      <c r="A584" s="416" t="n">
        <f aca="false">IF(B583+0.01&lt;=T_ini+ROUNDUP(Temps_fin_propu,0), 0.01, IF(K583&gt;0, 0.1, 0.0001))</f>
        <v>0.1</v>
      </c>
      <c r="B584" s="417" t="n">
        <f aca="false">B583+pas</f>
        <v>22</v>
      </c>
      <c r="C584" s="401"/>
      <c r="D584" s="418" t="n">
        <f aca="false">IF(AND(L583&lt;L_rampe,Poussee&lt;Poids*SIN(M583)),0,(-W583+Poussee)/m*COS(M583)-U583/m*SIN(M583))</f>
        <v>-0.576309968149713</v>
      </c>
      <c r="E584" s="419" t="n">
        <f aca="false">IF(AND(L583&lt;L_rampe,Poussee&lt;Poids*SIN(M583)),0,(-W583+Poussee)/m*SIN(M583)+U583/m*COS(M583)-Poids/m)</f>
        <v>-8.67273935798658</v>
      </c>
      <c r="F584" s="417" t="n">
        <f aca="false">SQRT(acc_x^2+acc_z^2)</f>
        <v>8.69186637903266</v>
      </c>
      <c r="G584" s="418" t="n">
        <f aca="false">G583+acc_x*pas</f>
        <v>24.1045026634393</v>
      </c>
      <c r="H584" s="419" t="n">
        <f aca="false">H583+acc_z*pas</f>
        <v>-48.5475938287497</v>
      </c>
      <c r="I584" s="417" t="n">
        <f aca="false">SQRT(vit_x^2+vit_z^2)</f>
        <v>54.2023607900339</v>
      </c>
      <c r="J584" s="418" t="n">
        <f aca="false">J583+0.5*(vit_x+G583)*pas*(K583&gt;=0)</f>
        <v>648.789155149892</v>
      </c>
      <c r="K584" s="419" t="n">
        <f aca="false">K583+0.5*(vit_z+H583)*pas</f>
        <v>1339.80714418241</v>
      </c>
      <c r="L584" s="417" t="n">
        <f aca="false">SQRT(pos_x^2+pos_z^2)</f>
        <v>1488.62706929652</v>
      </c>
      <c r="M584" s="418" t="n">
        <f aca="false">IF(AND(L583&gt;L_rampe,G584&gt;0),ATAN2(G584,H584),$M$4)</f>
        <v>-1.10994235216847</v>
      </c>
      <c r="N584" s="417" t="n">
        <f aca="false">DEGREES(Beta)</f>
        <v>-63.5950122820766</v>
      </c>
      <c r="O584" s="401"/>
      <c r="P584" s="420" t="n">
        <f aca="false">MATCH(t-pas/2-T_ini,CdP_t)</f>
        <v>23</v>
      </c>
      <c r="Q584" s="417" t="n">
        <f aca="false">(INDEX(CdP,2,i_P+1)-INDEX(CdP,2,i_P+0))/(INDEX(CdP,1,i_P+1)-INDEX(CdP,1,i_P+0))*(t-pas/2-T_ini-INDEX(CdP,1,i_P+0))+INDEX(CdP,2,i_P+0)</f>
        <v>0</v>
      </c>
      <c r="R584" s="418" t="n">
        <f aca="false">Poussee/(g*ISP)</f>
        <v>0</v>
      </c>
      <c r="S584" s="419" t="n">
        <f aca="false">S583-Débit*pas</f>
        <v>7.37799999999998</v>
      </c>
      <c r="T584" s="417" t="n">
        <f aca="false">m*g</f>
        <v>72.3781799999998</v>
      </c>
      <c r="U584" s="421" t="n">
        <f aca="false">IF(pos_xz&lt;L_rampe,Poids*COS(Beta),0)</f>
        <v>0</v>
      </c>
      <c r="V584" s="418" t="n">
        <f aca="false">Rho_moyen*(20000-Alt_rampe-pos_z)/(20000+Alt_rampe+pos_z)</f>
        <v>1.0711782020302</v>
      </c>
      <c r="W584" s="417" t="n">
        <f aca="false">1/2*Rho*Sref*Cx*vit_xz^2</f>
        <v>9.67684631953691</v>
      </c>
      <c r="X584" s="401"/>
      <c r="Y584" s="422" t="str">
        <f aca="false">IF(AND(pos_z&lt;=0,K583&gt;0),"Impact balistique","") &amp; IF(AND(H585&lt;0,vit_z&gt;=0),"Apogée","") &amp; IF(AND(Poussee=0,Q583&gt;0),"Fin de propulsion","") &amp; IF(AND(L585&gt;L_rampe,pos_xz&lt;=L_rampe),"Sortie de rampe","")</f>
        <v/>
      </c>
      <c r="Z584" s="423" t="str">
        <f aca="false">IF(ABS(t-T_para)&lt;pas/2,"Para","")</f>
        <v/>
      </c>
      <c r="AA584" s="424" t="str">
        <f aca="false">IF(ABS(t-T_satellite)&lt;pas/2,"Satellite","")</f>
        <v/>
      </c>
      <c r="AB584" s="412"/>
      <c r="AC584" s="420" t="n">
        <f aca="false">IF(ABS(t-ROUND(t,0))&lt;0.001,t,NA())</f>
        <v>22</v>
      </c>
      <c r="AD584" s="425" t="n">
        <f aca="false">IF(ABS(t-ROUND(t,0))&lt;0.001,pos_x,NA())</f>
        <v>648.789155149892</v>
      </c>
      <c r="AE584" s="426" t="e">
        <f aca="false">IF(t&lt;T_para, pos_z, NA())</f>
        <v>#N/A</v>
      </c>
      <c r="AF584" s="412"/>
      <c r="AG584" s="418" t="n">
        <f aca="false">IF(AND(L583&lt;L_rampe,Poussee&lt;Poids*SIN(M583)),0,(-W583+Poussee)/m-Poids*SIN(M583)/m)</f>
        <v>7.47561821417495</v>
      </c>
      <c r="AH584" s="417" t="n">
        <f aca="false">IF(AND(L583&lt;L_rampe,Poussee&lt;Poids*SIN(M583)), g*SIN(M583), (-W583+Poussee)/m)</f>
        <v>-1.27494899790599</v>
      </c>
    </row>
    <row r="585" customFormat="false" ht="12" hidden="false" customHeight="false" outlineLevel="0" collapsed="false">
      <c r="A585" s="416" t="n">
        <f aca="false">IF(B584+0.01&lt;=T_ini+ROUNDUP(Temps_fin_propu,0), 0.01, IF(K584&gt;0, 0.1, 0.0001))</f>
        <v>0.1</v>
      </c>
      <c r="B585" s="417" t="n">
        <f aca="false">B584+pas</f>
        <v>22.1</v>
      </c>
      <c r="C585" s="401"/>
      <c r="D585" s="418" t="n">
        <f aca="false">IF(AND(L584&lt;L_rampe,Poussee&lt;Poids*SIN(M584)),0,(-W584+Poussee)/m*COS(M584)-U584/m*SIN(M584))</f>
        <v>-0.583277421980548</v>
      </c>
      <c r="E585" s="419" t="n">
        <f aca="false">IF(AND(L584&lt;L_rampe,Poussee&lt;Poids*SIN(M584)),0,(-W584+Poussee)/m*SIN(M584)+U584/m*COS(M584)-Poids/m)</f>
        <v>-8.63525203829484</v>
      </c>
      <c r="F585" s="417" t="n">
        <f aca="false">SQRT(acc_x^2+acc_z^2)</f>
        <v>8.65492867191102</v>
      </c>
      <c r="G585" s="418" t="n">
        <f aca="false">G584+acc_x*pas</f>
        <v>24.0461749212412</v>
      </c>
      <c r="H585" s="419" t="n">
        <f aca="false">H584+acc_z*pas</f>
        <v>-49.4111190325791</v>
      </c>
      <c r="I585" s="417" t="n">
        <f aca="false">SQRT(vit_x^2+vit_z^2)</f>
        <v>54.9515897167192</v>
      </c>
      <c r="J585" s="418" t="n">
        <f aca="false">J584+0.5*(vit_x+G584)*pas*(K584&gt;=0)</f>
        <v>651.196689029126</v>
      </c>
      <c r="K585" s="419" t="n">
        <f aca="false">K584+0.5*(vit_z+H584)*pas</f>
        <v>1334.90920853935</v>
      </c>
      <c r="L585" s="417" t="n">
        <f aca="false">SQRT(pos_x^2+pos_z^2)</f>
        <v>1485.2742921244</v>
      </c>
      <c r="M585" s="418" t="n">
        <f aca="false">IF(AND(L584&gt;L_rampe,G585&gt;0),ATAN2(G585,H585),$M$4)</f>
        <v>-1.11788148889669</v>
      </c>
      <c r="N585" s="417" t="n">
        <f aca="false">DEGREES(Beta)</f>
        <v>-64.0498913095809</v>
      </c>
      <c r="O585" s="401"/>
      <c r="P585" s="420" t="n">
        <f aca="false">MATCH(t-pas/2-T_ini,CdP_t)</f>
        <v>23</v>
      </c>
      <c r="Q585" s="417" t="n">
        <f aca="false">(INDEX(CdP,2,i_P+1)-INDEX(CdP,2,i_P+0))/(INDEX(CdP,1,i_P+1)-INDEX(CdP,1,i_P+0))*(t-pas/2-T_ini-INDEX(CdP,1,i_P+0))+INDEX(CdP,2,i_P+0)</f>
        <v>0</v>
      </c>
      <c r="R585" s="418" t="n">
        <f aca="false">Poussee/(g*ISP)</f>
        <v>0</v>
      </c>
      <c r="S585" s="419" t="n">
        <f aca="false">S584-Débit*pas</f>
        <v>7.37799999999998</v>
      </c>
      <c r="T585" s="417" t="n">
        <f aca="false">m*g</f>
        <v>72.3781799999998</v>
      </c>
      <c r="U585" s="421" t="n">
        <f aca="false">IF(pos_xz&lt;L_rampe,Poids*COS(Beta),0)</f>
        <v>0</v>
      </c>
      <c r="V585" s="418" t="n">
        <f aca="false">Rho_moyen*(20000-Alt_rampe-pos_z)/(20000+Alt_rampe+pos_z)</f>
        <v>1.07170534432777</v>
      </c>
      <c r="W585" s="417" t="n">
        <f aca="false">1/2*Rho*Sref*Cx*vit_xz^2</f>
        <v>9.95111236621676</v>
      </c>
      <c r="X585" s="401"/>
      <c r="Y585" s="422" t="str">
        <f aca="false">IF(AND(pos_z&lt;=0,K584&gt;0),"Impact balistique","") &amp; IF(AND(H586&lt;0,vit_z&gt;=0),"Apogée","") &amp; IF(AND(Poussee=0,Q584&gt;0),"Fin de propulsion","") &amp; IF(AND(L586&gt;L_rampe,pos_xz&lt;=L_rampe),"Sortie de rampe","")</f>
        <v/>
      </c>
      <c r="Z585" s="423" t="str">
        <f aca="false">IF(ABS(t-T_para)&lt;pas/2,"Para","")</f>
        <v/>
      </c>
      <c r="AA585" s="424" t="str">
        <f aca="false">IF(ABS(t-T_satellite)&lt;pas/2,"Satellite","")</f>
        <v/>
      </c>
      <c r="AB585" s="412"/>
      <c r="AC585" s="420" t="e">
        <f aca="false">IF(ABS(t-ROUND(t,0))&lt;0.001,t,NA())</f>
        <v>#N/A</v>
      </c>
      <c r="AD585" s="425" t="e">
        <f aca="false">IF(ABS(t-ROUND(t,0))&lt;0.001,pos_x,NA())</f>
        <v>#N/A</v>
      </c>
      <c r="AE585" s="426" t="e">
        <f aca="false">IF(t&lt;T_para, pos_z, NA())</f>
        <v>#N/A</v>
      </c>
      <c r="AF585" s="412"/>
      <c r="AG585" s="418" t="n">
        <f aca="false">IF(AND(L584&lt;L_rampe,Poussee&lt;Poids*SIN(M584)),0,(-W584+Poussee)/m-Poids*SIN(M584)/m)</f>
        <v>7.47497139399254</v>
      </c>
      <c r="AH585" s="417" t="n">
        <f aca="false">IF(AND(L584&lt;L_rampe,Poussee&lt;Poids*SIN(M584)), g*SIN(M584), (-W584+Poussee)/m)</f>
        <v>-1.31158123062306</v>
      </c>
    </row>
    <row r="586" customFormat="false" ht="12" hidden="false" customHeight="false" outlineLevel="0" collapsed="false">
      <c r="A586" s="416" t="n">
        <f aca="false">IF(B585+0.01&lt;=T_ini+ROUNDUP(Temps_fin_propu,0), 0.01, IF(K585&gt;0, 0.1, 0.0001))</f>
        <v>0.1</v>
      </c>
      <c r="B586" s="417" t="n">
        <f aca="false">B585+pas</f>
        <v>22.2</v>
      </c>
      <c r="C586" s="401"/>
      <c r="D586" s="418" t="n">
        <f aca="false">IF(AND(L585&lt;L_rampe,Poussee&lt;Poids*SIN(M585)),0,(-W585+Poussee)/m*COS(M585)-U585/m*SIN(M585))</f>
        <v>-0.590199341406358</v>
      </c>
      <c r="E586" s="419" t="n">
        <f aca="false">IF(AND(L585&lt;L_rampe,Poussee&lt;Poids*SIN(M585)),0,(-W585+Poussee)/m*SIN(M585)+U585/m*COS(M585)-Poids/m)</f>
        <v>-8.59723289642967</v>
      </c>
      <c r="F586" s="417" t="n">
        <f aca="false">SQRT(acc_x^2+acc_z^2)</f>
        <v>8.61746765227749</v>
      </c>
      <c r="G586" s="418" t="n">
        <f aca="false">G585+acc_x*pas</f>
        <v>23.9871549871006</v>
      </c>
      <c r="H586" s="419" t="n">
        <f aca="false">H585+acc_z*pas</f>
        <v>-50.2708423222221</v>
      </c>
      <c r="I586" s="417" t="n">
        <f aca="false">SQRT(vit_x^2+vit_z^2)</f>
        <v>55.7004595327624</v>
      </c>
      <c r="J586" s="418" t="n">
        <f aca="false">J585+0.5*(vit_x+G585)*pas*(K585&gt;=0)</f>
        <v>653.598355524543</v>
      </c>
      <c r="K586" s="419" t="n">
        <f aca="false">K585+0.5*(vit_z+H585)*pas</f>
        <v>1329.92511047161</v>
      </c>
      <c r="L586" s="417" t="n">
        <f aca="false">SQRT(pos_x^2+pos_z^2)</f>
        <v>1481.8541121876</v>
      </c>
      <c r="M586" s="418" t="n">
        <f aca="false">IF(AND(L585&gt;L_rampe,G586&gt;0),ATAN2(G586,H586),$M$4)</f>
        <v>-1.12558839858241</v>
      </c>
      <c r="N586" s="417" t="n">
        <f aca="false">DEGREES(Beta)</f>
        <v>-64.491464707661</v>
      </c>
      <c r="O586" s="401"/>
      <c r="P586" s="420" t="n">
        <f aca="false">MATCH(t-pas/2-T_ini,CdP_t)</f>
        <v>23</v>
      </c>
      <c r="Q586" s="417" t="n">
        <f aca="false">(INDEX(CdP,2,i_P+1)-INDEX(CdP,2,i_P+0))/(INDEX(CdP,1,i_P+1)-INDEX(CdP,1,i_P+0))*(t-pas/2-T_ini-INDEX(CdP,1,i_P+0))+INDEX(CdP,2,i_P+0)</f>
        <v>0</v>
      </c>
      <c r="R586" s="418" t="n">
        <f aca="false">Poussee/(g*ISP)</f>
        <v>0</v>
      </c>
      <c r="S586" s="419" t="n">
        <f aca="false">S585-Débit*pas</f>
        <v>7.37799999999998</v>
      </c>
      <c r="T586" s="417" t="n">
        <f aca="false">m*g</f>
        <v>72.3781799999998</v>
      </c>
      <c r="U586" s="421" t="n">
        <f aca="false">IF(pos_xz&lt;L_rampe,Poids*COS(Beta),0)</f>
        <v>0</v>
      </c>
      <c r="V586" s="418" t="n">
        <f aca="false">Rho_moyen*(20000-Alt_rampe-pos_z)/(20000+Alt_rampe+pos_z)</f>
        <v>1.07224200840931</v>
      </c>
      <c r="W586" s="417" t="n">
        <f aca="false">1/2*Rho*Sref*Cx*vit_xz^2</f>
        <v>10.2293040263876</v>
      </c>
      <c r="X586" s="401"/>
      <c r="Y586" s="422" t="str">
        <f aca="false">IF(AND(pos_z&lt;=0,K585&gt;0),"Impact balistique","") &amp; IF(AND(H587&lt;0,vit_z&gt;=0),"Apogée","") &amp; IF(AND(Poussee=0,Q585&gt;0),"Fin de propulsion","") &amp; IF(AND(L587&gt;L_rampe,pos_xz&lt;=L_rampe),"Sortie de rampe","")</f>
        <v/>
      </c>
      <c r="Z586" s="423" t="str">
        <f aca="false">IF(ABS(t-T_para)&lt;pas/2,"Para","")</f>
        <v/>
      </c>
      <c r="AA586" s="424" t="str">
        <f aca="false">IF(ABS(t-T_satellite)&lt;pas/2,"Satellite","")</f>
        <v/>
      </c>
      <c r="AB586" s="412"/>
      <c r="AC586" s="420" t="e">
        <f aca="false">IF(ABS(t-ROUND(t,0))&lt;0.001,t,NA())</f>
        <v>#N/A</v>
      </c>
      <c r="AD586" s="425" t="e">
        <f aca="false">IF(ABS(t-ROUND(t,0))&lt;0.001,pos_x,NA())</f>
        <v>#N/A</v>
      </c>
      <c r="AE586" s="426" t="e">
        <f aca="false">IF(t&lt;T_para, pos_z, NA())</f>
        <v>#N/A</v>
      </c>
      <c r="AF586" s="412"/>
      <c r="AG586" s="418" t="n">
        <f aca="false">IF(AND(L585&lt;L_rampe,Poussee&lt;Poids*SIN(M585)),0,(-W585+Poussee)/m-Poids*SIN(M585)/m)</f>
        <v>7.47215619258972</v>
      </c>
      <c r="AH586" s="417" t="n">
        <f aca="false">IF(AND(L585&lt;L_rampe,Poussee&lt;Poids*SIN(M585)), g*SIN(M585), (-W585+Poussee)/m)</f>
        <v>-1.3487547257003</v>
      </c>
    </row>
    <row r="587" customFormat="false" ht="12" hidden="false" customHeight="false" outlineLevel="0" collapsed="false">
      <c r="A587" s="416" t="n">
        <f aca="false">IF(B586+0.01&lt;=T_ini+ROUNDUP(Temps_fin_propu,0), 0.01, IF(K586&gt;0, 0.1, 0.0001))</f>
        <v>0.1</v>
      </c>
      <c r="B587" s="417" t="n">
        <f aca="false">B586+pas</f>
        <v>22.3</v>
      </c>
      <c r="C587" s="401"/>
      <c r="D587" s="418" t="n">
        <f aca="false">IF(AND(L586&lt;L_rampe,Poussee&lt;Poids*SIN(M586)),0,(-W586+Poussee)/m*COS(M586)-U586/m*SIN(M586))</f>
        <v>-0.597072953449005</v>
      </c>
      <c r="E587" s="419" t="n">
        <f aca="false">IF(AND(L586&lt;L_rampe,Poussee&lt;Poids*SIN(M586)),0,(-W586+Poussee)/m*SIN(M586)+U586/m*COS(M586)-Poids/m)</f>
        <v>-8.55869027553124</v>
      </c>
      <c r="F587" s="417" t="n">
        <f aca="false">SQRT(acc_x^2+acc_z^2)</f>
        <v>8.57949155511055</v>
      </c>
      <c r="G587" s="418" t="n">
        <f aca="false">G586+acc_x*pas</f>
        <v>23.9274476917557</v>
      </c>
      <c r="H587" s="419" t="n">
        <f aca="false">H586+acc_z*pas</f>
        <v>-51.1267113497752</v>
      </c>
      <c r="I587" s="417" t="n">
        <f aca="false">SQRT(vit_x^2+vit_z^2)</f>
        <v>56.4487676259185</v>
      </c>
      <c r="J587" s="418" t="n">
        <f aca="false">J586+0.5*(vit_x+G586)*pas*(K586&gt;=0)</f>
        <v>655.994085658486</v>
      </c>
      <c r="K587" s="419" t="n">
        <f aca="false">K586+0.5*(vit_z+H586)*pas</f>
        <v>1324.85523278801</v>
      </c>
      <c r="L587" s="417" t="n">
        <f aca="false">SQRT(pos_x^2+pos_z^2)</f>
        <v>1478.36721698794</v>
      </c>
      <c r="M587" s="418" t="n">
        <f aca="false">IF(AND(L586&gt;L_rampe,G587&gt;0),ATAN2(G587,H587),$M$4)</f>
        <v>-1.13307248097029</v>
      </c>
      <c r="N587" s="417" t="n">
        <f aca="false">DEGREES(Beta)</f>
        <v>-64.9202710420149</v>
      </c>
      <c r="O587" s="401"/>
      <c r="P587" s="420" t="n">
        <f aca="false">MATCH(t-pas/2-T_ini,CdP_t)</f>
        <v>23</v>
      </c>
      <c r="Q587" s="417" t="n">
        <f aca="false">(INDEX(CdP,2,i_P+1)-INDEX(CdP,2,i_P+0))/(INDEX(CdP,1,i_P+1)-INDEX(CdP,1,i_P+0))*(t-pas/2-T_ini-INDEX(CdP,1,i_P+0))+INDEX(CdP,2,i_P+0)</f>
        <v>0</v>
      </c>
      <c r="R587" s="418" t="n">
        <f aca="false">Poussee/(g*ISP)</f>
        <v>0</v>
      </c>
      <c r="S587" s="419" t="n">
        <f aca="false">S586-Débit*pas</f>
        <v>7.37799999999998</v>
      </c>
      <c r="T587" s="417" t="n">
        <f aca="false">m*g</f>
        <v>72.3781799999998</v>
      </c>
      <c r="U587" s="421" t="n">
        <f aca="false">IF(pos_xz&lt;L_rampe,Poids*COS(Beta),0)</f>
        <v>0</v>
      </c>
      <c r="V587" s="418" t="n">
        <f aca="false">Rho_moyen*(20000-Alt_rampe-pos_z)/(20000+Alt_rampe+pos_z)</f>
        <v>1.07278816620805</v>
      </c>
      <c r="W587" s="417" t="n">
        <f aca="false">1/2*Rho*Sref*Cx*vit_xz^2</f>
        <v>10.5113528835485</v>
      </c>
      <c r="X587" s="401"/>
      <c r="Y587" s="422" t="str">
        <f aca="false">IF(AND(pos_z&lt;=0,K586&gt;0),"Impact balistique","") &amp; IF(AND(H588&lt;0,vit_z&gt;=0),"Apogée","") &amp; IF(AND(Poussee=0,Q586&gt;0),"Fin de propulsion","") &amp; IF(AND(L588&gt;L_rampe,pos_xz&lt;=L_rampe),"Sortie de rampe","")</f>
        <v/>
      </c>
      <c r="Z587" s="423" t="str">
        <f aca="false">IF(ABS(t-T_para)&lt;pas/2,"Para","")</f>
        <v/>
      </c>
      <c r="AA587" s="424" t="str">
        <f aca="false">IF(ABS(t-T_satellite)&lt;pas/2,"Satellite","")</f>
        <v/>
      </c>
      <c r="AB587" s="412"/>
      <c r="AC587" s="420" t="e">
        <f aca="false">IF(ABS(t-ROUND(t,0))&lt;0.001,t,NA())</f>
        <v>#N/A</v>
      </c>
      <c r="AD587" s="425" t="e">
        <f aca="false">IF(ABS(t-ROUND(t,0))&lt;0.001,pos_x,NA())</f>
        <v>#N/A</v>
      </c>
      <c r="AE587" s="426" t="e">
        <f aca="false">IF(t&lt;T_para, pos_z, NA())</f>
        <v>#N/A</v>
      </c>
      <c r="AF587" s="412"/>
      <c r="AG587" s="418" t="n">
        <f aca="false">IF(AND(L586&lt;L_rampe,Poussee&lt;Poids*SIN(M586)),0,(-W586+Poussee)/m-Poids*SIN(M586)/m)</f>
        <v>7.46727210766248</v>
      </c>
      <c r="AH587" s="417" t="n">
        <f aca="false">IF(AND(L586&lt;L_rampe,Poussee&lt;Poids*SIN(M586)), g*SIN(M586), (-W586+Poussee)/m)</f>
        <v>-1.38646029091727</v>
      </c>
    </row>
    <row r="588" customFormat="false" ht="12" hidden="false" customHeight="false" outlineLevel="0" collapsed="false">
      <c r="A588" s="416" t="n">
        <f aca="false">IF(B587+0.01&lt;=T_ini+ROUNDUP(Temps_fin_propu,0), 0.01, IF(K587&gt;0, 0.1, 0.0001))</f>
        <v>0.1</v>
      </c>
      <c r="B588" s="417" t="n">
        <f aca="false">B587+pas</f>
        <v>22.4</v>
      </c>
      <c r="C588" s="401"/>
      <c r="D588" s="418" t="n">
        <f aca="false">IF(AND(L587&lt;L_rampe,Poussee&lt;Poids*SIN(M587)),0,(-W587+Poussee)/m*COS(M587)-U587/m*SIN(M587))</f>
        <v>-0.603895614748613</v>
      </c>
      <c r="E588" s="419" t="n">
        <f aca="false">IF(AND(L587&lt;L_rampe,Poussee&lt;Poids*SIN(M587)),0,(-W587+Poussee)/m*SIN(M587)+U587/m*COS(M587)-Poids/m)</f>
        <v>-8.51963267046299</v>
      </c>
      <c r="F588" s="417" t="n">
        <f aca="false">SQRT(acc_x^2+acc_z^2)</f>
        <v>8.54100876671678</v>
      </c>
      <c r="G588" s="418" t="n">
        <f aca="false">G587+acc_x*pas</f>
        <v>23.8670581302808</v>
      </c>
      <c r="H588" s="419" t="n">
        <f aca="false">H587+acc_z*pas</f>
        <v>-51.9786746168215</v>
      </c>
      <c r="I588" s="417" t="n">
        <f aca="false">SQRT(vit_x^2+vit_z^2)</f>
        <v>57.196320499798</v>
      </c>
      <c r="J588" s="418" t="n">
        <f aca="false">J587+0.5*(vit_x+G587)*pas*(K587&gt;=0)</f>
        <v>658.383810949588</v>
      </c>
      <c r="K588" s="419" t="n">
        <f aca="false">K587+0.5*(vit_z+H587)*pas</f>
        <v>1319.69996348968</v>
      </c>
      <c r="L588" s="417" t="n">
        <f aca="false">SQRT(pos_x^2+pos_z^2)</f>
        <v>1474.81430565179</v>
      </c>
      <c r="M588" s="418" t="n">
        <f aca="false">IF(AND(L587&gt;L_rampe,G588&gt;0),ATAN2(G588,H588),$M$4)</f>
        <v>-1.14034268589865</v>
      </c>
      <c r="N588" s="417" t="n">
        <f aca="false">DEGREES(Beta)</f>
        <v>-65.3368231006052</v>
      </c>
      <c r="O588" s="401"/>
      <c r="P588" s="420" t="n">
        <f aca="false">MATCH(t-pas/2-T_ini,CdP_t)</f>
        <v>23</v>
      </c>
      <c r="Q588" s="417" t="n">
        <f aca="false">(INDEX(CdP,2,i_P+1)-INDEX(CdP,2,i_P+0))/(INDEX(CdP,1,i_P+1)-INDEX(CdP,1,i_P+0))*(t-pas/2-T_ini-INDEX(CdP,1,i_P+0))+INDEX(CdP,2,i_P+0)</f>
        <v>0</v>
      </c>
      <c r="R588" s="418" t="n">
        <f aca="false">Poussee/(g*ISP)</f>
        <v>0</v>
      </c>
      <c r="S588" s="419" t="n">
        <f aca="false">S587-Débit*pas</f>
        <v>7.37799999999998</v>
      </c>
      <c r="T588" s="417" t="n">
        <f aca="false">m*g</f>
        <v>72.3781799999998</v>
      </c>
      <c r="U588" s="421" t="n">
        <f aca="false">IF(pos_xz&lt;L_rampe,Poids*COS(Beta),0)</f>
        <v>0</v>
      </c>
      <c r="V588" s="418" t="n">
        <f aca="false">Rho_moyen*(20000-Alt_rampe-pos_z)/(20000+Alt_rampe+pos_z)</f>
        <v>1.07334378926126</v>
      </c>
      <c r="W588" s="417" t="n">
        <f aca="false">1/2*Rho*Sref*Cx*vit_xz^2</f>
        <v>10.797189954171</v>
      </c>
      <c r="X588" s="401"/>
      <c r="Y588" s="422" t="str">
        <f aca="false">IF(AND(pos_z&lt;=0,K587&gt;0),"Impact balistique","") &amp; IF(AND(H589&lt;0,vit_z&gt;=0),"Apogée","") &amp; IF(AND(Poussee=0,Q587&gt;0),"Fin de propulsion","") &amp; IF(AND(L589&gt;L_rampe,pos_xz&lt;=L_rampe),"Sortie de rampe","")</f>
        <v/>
      </c>
      <c r="Z588" s="423" t="str">
        <f aca="false">IF(ABS(t-T_para)&lt;pas/2,"Para","")</f>
        <v/>
      </c>
      <c r="AA588" s="424" t="str">
        <f aca="false">IF(ABS(t-T_satellite)&lt;pas/2,"Satellite","")</f>
        <v/>
      </c>
      <c r="AB588" s="412"/>
      <c r="AC588" s="420" t="e">
        <f aca="false">IF(ABS(t-ROUND(t,0))&lt;0.001,t,NA())</f>
        <v>#N/A</v>
      </c>
      <c r="AD588" s="425" t="e">
        <f aca="false">IF(ABS(t-ROUND(t,0))&lt;0.001,pos_x,NA())</f>
        <v>#N/A</v>
      </c>
      <c r="AE588" s="426" t="e">
        <f aca="false">IF(t&lt;T_para, pos_z, NA())</f>
        <v>#N/A</v>
      </c>
      <c r="AF588" s="412"/>
      <c r="AG588" s="418" t="n">
        <f aca="false">IF(AND(L587&lt;L_rampe,Poussee&lt;Poids*SIN(M587)),0,(-W587+Poussee)/m-Poids*SIN(M587)/m)</f>
        <v>7.46041299619684</v>
      </c>
      <c r="AH588" s="417" t="n">
        <f aca="false">IF(AND(L587&lt;L_rampe,Poussee&lt;Poids*SIN(M587)), g*SIN(M587), (-W587+Poussee)/m)</f>
        <v>-1.42468865323238</v>
      </c>
    </row>
    <row r="589" customFormat="false" ht="12" hidden="false" customHeight="false" outlineLevel="0" collapsed="false">
      <c r="A589" s="416" t="n">
        <f aca="false">IF(B588+0.01&lt;=T_ini+ROUNDUP(Temps_fin_propu,0), 0.01, IF(K588&gt;0, 0.1, 0.0001))</f>
        <v>0.1</v>
      </c>
      <c r="B589" s="417" t="n">
        <f aca="false">B588+pas</f>
        <v>22.5</v>
      </c>
      <c r="C589" s="401"/>
      <c r="D589" s="418" t="n">
        <f aca="false">IF(AND(L588&lt;L_rampe,Poussee&lt;Poids*SIN(M588)),0,(-W588+Poussee)/m*COS(M588)-U588/m*SIN(M588))</f>
        <v>-0.610664805338419</v>
      </c>
      <c r="E589" s="419" t="n">
        <f aca="false">IF(AND(L588&lt;L_rampe,Poussee&lt;Poids*SIN(M588)),0,(-W588+Poussee)/m*SIN(M588)+U588/m*COS(M588)-Poids/m)</f>
        <v>-8.48006871800597</v>
      </c>
      <c r="F589" s="417" t="n">
        <f aca="false">SQRT(acc_x^2+acc_z^2)</f>
        <v>8.50202781497347</v>
      </c>
      <c r="G589" s="418" t="n">
        <f aca="false">G588+acc_x*pas</f>
        <v>23.805991649747</v>
      </c>
      <c r="H589" s="419" t="n">
        <f aca="false">H588+acc_z*pas</f>
        <v>-52.8266814886221</v>
      </c>
      <c r="I589" s="417" t="n">
        <f aca="false">SQRT(vit_x^2+vit_z^2)</f>
        <v>57.942933266518</v>
      </c>
      <c r="J589" s="418" t="n">
        <f aca="false">J588+0.5*(vit_x+G588)*pas*(K588&gt;=0)</f>
        <v>660.767463438589</v>
      </c>
      <c r="K589" s="419" t="n">
        <f aca="false">K588+0.5*(vit_z+H588)*pas</f>
        <v>1314.4596956844</v>
      </c>
      <c r="L589" s="417" t="n">
        <f aca="false">SQRT(pos_x^2+pos_z^2)</f>
        <v>1471.19608900983</v>
      </c>
      <c r="M589" s="418" t="n">
        <f aca="false">IF(AND(L588&gt;L_rampe,G589&gt;0),ATAN2(G589,H589),$M$4)</f>
        <v>-1.14740753586095</v>
      </c>
      <c r="N589" s="417" t="n">
        <f aca="false">DEGREES(Beta)</f>
        <v>-65.741609186338</v>
      </c>
      <c r="O589" s="401"/>
      <c r="P589" s="420" t="n">
        <f aca="false">MATCH(t-pas/2-T_ini,CdP_t)</f>
        <v>23</v>
      </c>
      <c r="Q589" s="417" t="n">
        <f aca="false">(INDEX(CdP,2,i_P+1)-INDEX(CdP,2,i_P+0))/(INDEX(CdP,1,i_P+1)-INDEX(CdP,1,i_P+0))*(t-pas/2-T_ini-INDEX(CdP,1,i_P+0))+INDEX(CdP,2,i_P+0)</f>
        <v>0</v>
      </c>
      <c r="R589" s="418" t="n">
        <f aca="false">Poussee/(g*ISP)</f>
        <v>0</v>
      </c>
      <c r="S589" s="419" t="n">
        <f aca="false">S588-Débit*pas</f>
        <v>7.37799999999998</v>
      </c>
      <c r="T589" s="417" t="n">
        <f aca="false">m*g</f>
        <v>72.3781799999998</v>
      </c>
      <c r="U589" s="421" t="n">
        <f aca="false">IF(pos_xz&lt;L_rampe,Poids*COS(Beta),0)</f>
        <v>0</v>
      </c>
      <c r="V589" s="418" t="n">
        <f aca="false">Rho_moyen*(20000-Alt_rampe-pos_z)/(20000+Alt_rampe+pos_z)</f>
        <v>1.07390884871556</v>
      </c>
      <c r="W589" s="417" t="n">
        <f aca="false">1/2*Rho*Sref*Cx*vit_xz^2</f>
        <v>11.0867457171881</v>
      </c>
      <c r="X589" s="401"/>
      <c r="Y589" s="422" t="str">
        <f aca="false">IF(AND(pos_z&lt;=0,K588&gt;0),"Impact balistique","") &amp; IF(AND(H590&lt;0,vit_z&gt;=0),"Apogée","") &amp; IF(AND(Poussee=0,Q588&gt;0),"Fin de propulsion","") &amp; IF(AND(L590&gt;L_rampe,pos_xz&lt;=L_rampe),"Sortie de rampe","")</f>
        <v/>
      </c>
      <c r="Z589" s="423" t="str">
        <f aca="false">IF(ABS(t-T_para)&lt;pas/2,"Para","")</f>
        <v/>
      </c>
      <c r="AA589" s="424" t="str">
        <f aca="false">IF(ABS(t-T_satellite)&lt;pas/2,"Satellite","")</f>
        <v/>
      </c>
      <c r="AB589" s="412"/>
      <c r="AC589" s="420" t="e">
        <f aca="false">IF(ABS(t-ROUND(t,0))&lt;0.001,t,NA())</f>
        <v>#N/A</v>
      </c>
      <c r="AD589" s="425" t="e">
        <f aca="false">IF(ABS(t-ROUND(t,0))&lt;0.001,pos_x,NA())</f>
        <v>#N/A</v>
      </c>
      <c r="AE589" s="426" t="e">
        <f aca="false">IF(t&lt;T_para, pos_z, NA())</f>
        <v>#N/A</v>
      </c>
      <c r="AF589" s="412"/>
      <c r="AG589" s="418" t="n">
        <f aca="false">IF(AND(L588&lt;L_rampe,Poussee&lt;Poids*SIN(M588)),0,(-W588+Poussee)/m-Poids*SIN(M588)/m)</f>
        <v>7.45166745850192</v>
      </c>
      <c r="AH589" s="417" t="n">
        <f aca="false">IF(AND(L588&lt;L_rampe,Poussee&lt;Poids*SIN(M588)), g*SIN(M588), (-W588+Poussee)/m)</f>
        <v>-1.46343046275021</v>
      </c>
    </row>
    <row r="590" customFormat="false" ht="12" hidden="false" customHeight="false" outlineLevel="0" collapsed="false">
      <c r="A590" s="416" t="n">
        <f aca="false">IF(B589+0.01&lt;=T_ini+ROUNDUP(Temps_fin_propu,0), 0.01, IF(K589&gt;0, 0.1, 0.0001))</f>
        <v>0.1</v>
      </c>
      <c r="B590" s="417" t="n">
        <f aca="false">B589+pas</f>
        <v>22.6</v>
      </c>
      <c r="C590" s="401"/>
      <c r="D590" s="418" t="n">
        <f aca="false">IF(AND(L589&lt;L_rampe,Poussee&lt;Poids*SIN(M589)),0,(-W589+Poussee)/m*COS(M589)-U589/m*SIN(M589))</f>
        <v>-0.617378122840412</v>
      </c>
      <c r="E590" s="419" t="n">
        <f aca="false">IF(AND(L589&lt;L_rampe,Poussee&lt;Poids*SIN(M589)),0,(-W589+Poussee)/m*SIN(M589)+U589/m*COS(M589)-Poids/m)</f>
        <v>-8.4400071875527</v>
      </c>
      <c r="F590" s="417" t="n">
        <f aca="false">SQRT(acc_x^2+acc_z^2)</f>
        <v>8.46255736007167</v>
      </c>
      <c r="G590" s="418" t="n">
        <f aca="false">G589+acc_x*pas</f>
        <v>23.744253837463</v>
      </c>
      <c r="H590" s="419" t="n">
        <f aca="false">H589+acc_z*pas</f>
        <v>-53.6706822073774</v>
      </c>
      <c r="I590" s="417" t="n">
        <f aca="false">SQRT(vit_x^2+vit_z^2)</f>
        <v>58.6884291739281</v>
      </c>
      <c r="J590" s="418" t="n">
        <f aca="false">J589+0.5*(vit_x+G589)*pas*(K589&gt;=0)</f>
        <v>663.14497571295</v>
      </c>
      <c r="K590" s="419" t="n">
        <f aca="false">K589+0.5*(vit_z+H589)*pas</f>
        <v>1309.1348274996</v>
      </c>
      <c r="L590" s="417" t="n">
        <f aca="false">SQRT(pos_x^2+pos_z^2)</f>
        <v>1467.51328967943</v>
      </c>
      <c r="M590" s="418" t="n">
        <f aca="false">IF(AND(L589&gt;L_rampe,G590&gt;0),ATAN2(G590,H590),$M$4)</f>
        <v>-1.15427514762253</v>
      </c>
      <c r="N590" s="417" t="n">
        <f aca="false">DEGREES(Beta)</f>
        <v>-66.1350943556109</v>
      </c>
      <c r="O590" s="401"/>
      <c r="P590" s="420" t="n">
        <f aca="false">MATCH(t-pas/2-T_ini,CdP_t)</f>
        <v>23</v>
      </c>
      <c r="Q590" s="417" t="n">
        <f aca="false">(INDEX(CdP,2,i_P+1)-INDEX(CdP,2,i_P+0))/(INDEX(CdP,1,i_P+1)-INDEX(CdP,1,i_P+0))*(t-pas/2-T_ini-INDEX(CdP,1,i_P+0))+INDEX(CdP,2,i_P+0)</f>
        <v>0</v>
      </c>
      <c r="R590" s="418" t="n">
        <f aca="false">Poussee/(g*ISP)</f>
        <v>0</v>
      </c>
      <c r="S590" s="419" t="n">
        <f aca="false">S589-Débit*pas</f>
        <v>7.37799999999998</v>
      </c>
      <c r="T590" s="417" t="n">
        <f aca="false">m*g</f>
        <v>72.3781799999998</v>
      </c>
      <c r="U590" s="421" t="n">
        <f aca="false">IF(pos_xz&lt;L_rampe,Poids*COS(Beta),0)</f>
        <v>0</v>
      </c>
      <c r="V590" s="418" t="n">
        <f aca="false">Rho_moyen*(20000-Alt_rampe-pos_z)/(20000+Alt_rampe+pos_z)</f>
        <v>1.07448331533222</v>
      </c>
      <c r="W590" s="417" t="n">
        <f aca="false">1/2*Rho*Sref*Cx*vit_xz^2</f>
        <v>11.3799501436632</v>
      </c>
      <c r="X590" s="401"/>
      <c r="Y590" s="422" t="str">
        <f aca="false">IF(AND(pos_z&lt;=0,K589&gt;0),"Impact balistique","") &amp; IF(AND(H591&lt;0,vit_z&gt;=0),"Apogée","") &amp; IF(AND(Poussee=0,Q589&gt;0),"Fin de propulsion","") &amp; IF(AND(L591&gt;L_rampe,pos_xz&lt;=L_rampe),"Sortie de rampe","")</f>
        <v/>
      </c>
      <c r="Z590" s="423" t="str">
        <f aca="false">IF(ABS(t-T_para)&lt;pas/2,"Para","")</f>
        <v/>
      </c>
      <c r="AA590" s="424" t="str">
        <f aca="false">IF(ABS(t-T_satellite)&lt;pas/2,"Satellite","")</f>
        <v/>
      </c>
      <c r="AB590" s="412"/>
      <c r="AC590" s="420" t="e">
        <f aca="false">IF(ABS(t-ROUND(t,0))&lt;0.001,t,NA())</f>
        <v>#N/A</v>
      </c>
      <c r="AD590" s="425" t="e">
        <f aca="false">IF(ABS(t-ROUND(t,0))&lt;0.001,pos_x,NA())</f>
        <v>#N/A</v>
      </c>
      <c r="AE590" s="426" t="e">
        <f aca="false">IF(t&lt;T_para, pos_z, NA())</f>
        <v>#N/A</v>
      </c>
      <c r="AF590" s="412"/>
      <c r="AG590" s="418" t="n">
        <f aca="false">IF(AND(L589&lt;L_rampe,Poussee&lt;Poids*SIN(M589)),0,(-W589+Poussee)/m-Poids*SIN(M589)/m)</f>
        <v>7.44111919633513</v>
      </c>
      <c r="AH590" s="417" t="n">
        <f aca="false">IF(AND(L589&lt;L_rampe,Poussee&lt;Poids*SIN(M589)), g*SIN(M589), (-W589+Poussee)/m)</f>
        <v>-1.50267629671836</v>
      </c>
    </row>
    <row r="591" customFormat="false" ht="12" hidden="false" customHeight="false" outlineLevel="0" collapsed="false">
      <c r="A591" s="416" t="n">
        <f aca="false">IF(B590+0.01&lt;=T_ini+ROUNDUP(Temps_fin_propu,0), 0.01, IF(K590&gt;0, 0.1, 0.0001))</f>
        <v>0.1</v>
      </c>
      <c r="B591" s="417" t="n">
        <f aca="false">B590+pas</f>
        <v>22.7</v>
      </c>
      <c r="C591" s="401"/>
      <c r="D591" s="418" t="n">
        <f aca="false">IF(AND(L590&lt;L_rampe,Poussee&lt;Poids*SIN(M590)),0,(-W590+Poussee)/m*COS(M590)-U590/m*SIN(M590))</f>
        <v>-0.62403327705192</v>
      </c>
      <c r="E591" s="419" t="n">
        <f aca="false">IF(AND(L590&lt;L_rampe,Poussee&lt;Poids*SIN(M590)),0,(-W590+Poussee)/m*SIN(M590)+U590/m*COS(M590)-Poids/m)</f>
        <v>-8.39945697225327</v>
      </c>
      <c r="F591" s="417" t="n">
        <f aca="false">SQRT(acc_x^2+acc_z^2)</f>
        <v>8.42260618571249</v>
      </c>
      <c r="G591" s="418" t="n">
        <f aca="false">G590+acc_x*pas</f>
        <v>23.6818505097578</v>
      </c>
      <c r="H591" s="419" t="n">
        <f aca="false">H590+acc_z*pas</f>
        <v>-54.5106279046027</v>
      </c>
      <c r="I591" s="417" t="n">
        <f aca="false">SQRT(vit_x^2+vit_z^2)</f>
        <v>59.4326391650292</v>
      </c>
      <c r="J591" s="418" t="n">
        <f aca="false">J590+0.5*(vit_x+G590)*pas*(K590&gt;=0)</f>
        <v>665.516280930311</v>
      </c>
      <c r="K591" s="419" t="n">
        <f aca="false">K590+0.5*(vit_z+H590)*pas</f>
        <v>1303.72576199401</v>
      </c>
      <c r="L591" s="417" t="n">
        <f aca="false">SQRT(pos_x^2+pos_z^2)</f>
        <v>1463.76664214968</v>
      </c>
      <c r="M591" s="418" t="n">
        <f aca="false">IF(AND(L590&gt;L_rampe,G591&gt;0),ATAN2(G591,H591),$M$4)</f>
        <v>-1.1609532528864</v>
      </c>
      <c r="N591" s="417" t="n">
        <f aca="false">DEGREES(Beta)</f>
        <v>-66.517721602375</v>
      </c>
      <c r="O591" s="401"/>
      <c r="P591" s="420" t="n">
        <f aca="false">MATCH(t-pas/2-T_ini,CdP_t)</f>
        <v>23</v>
      </c>
      <c r="Q591" s="417" t="n">
        <f aca="false">(INDEX(CdP,2,i_P+1)-INDEX(CdP,2,i_P+0))/(INDEX(CdP,1,i_P+1)-INDEX(CdP,1,i_P+0))*(t-pas/2-T_ini-INDEX(CdP,1,i_P+0))+INDEX(CdP,2,i_P+0)</f>
        <v>0</v>
      </c>
      <c r="R591" s="418" t="n">
        <f aca="false">Poussee/(g*ISP)</f>
        <v>0</v>
      </c>
      <c r="S591" s="419" t="n">
        <f aca="false">S590-Débit*pas</f>
        <v>7.37799999999998</v>
      </c>
      <c r="T591" s="417" t="n">
        <f aca="false">m*g</f>
        <v>72.3781799999998</v>
      </c>
      <c r="U591" s="421" t="n">
        <f aca="false">IF(pos_xz&lt;L_rampe,Poids*COS(Beta),0)</f>
        <v>0</v>
      </c>
      <c r="V591" s="418" t="n">
        <f aca="false">Rho_moyen*(20000-Alt_rampe-pos_z)/(20000+Alt_rampe+pos_z)</f>
        <v>1.07506715949265</v>
      </c>
      <c r="W591" s="417" t="n">
        <f aca="false">1/2*Rho*Sref*Cx*vit_xz^2</f>
        <v>11.6767327266065</v>
      </c>
      <c r="X591" s="401"/>
      <c r="Y591" s="422" t="str">
        <f aca="false">IF(AND(pos_z&lt;=0,K590&gt;0),"Impact balistique","") &amp; IF(AND(H592&lt;0,vit_z&gt;=0),"Apogée","") &amp; IF(AND(Poussee=0,Q590&gt;0),"Fin de propulsion","") &amp; IF(AND(L592&gt;L_rampe,pos_xz&lt;=L_rampe),"Sortie de rampe","")</f>
        <v/>
      </c>
      <c r="Z591" s="423" t="str">
        <f aca="false">IF(ABS(t-T_para)&lt;pas/2,"Para","")</f>
        <v/>
      </c>
      <c r="AA591" s="424" t="str">
        <f aca="false">IF(ABS(t-T_satellite)&lt;pas/2,"Satellite","")</f>
        <v/>
      </c>
      <c r="AB591" s="412"/>
      <c r="AC591" s="420" t="e">
        <f aca="false">IF(ABS(t-ROUND(t,0))&lt;0.001,t,NA())</f>
        <v>#N/A</v>
      </c>
      <c r="AD591" s="425" t="e">
        <f aca="false">IF(ABS(t-ROUND(t,0))&lt;0.001,pos_x,NA())</f>
        <v>#N/A</v>
      </c>
      <c r="AE591" s="426" t="e">
        <f aca="false">IF(t&lt;T_para, pos_z, NA())</f>
        <v>#N/A</v>
      </c>
      <c r="AF591" s="412"/>
      <c r="AG591" s="418" t="n">
        <f aca="false">IF(AND(L590&lt;L_rampe,Poussee&lt;Poids*SIN(M590)),0,(-W590+Poussee)/m-Poids*SIN(M590)/m)</f>
        <v>7.42884734650021</v>
      </c>
      <c r="AH591" s="417" t="n">
        <f aca="false">IF(AND(L590&lt;L_rampe,Poussee&lt;Poids*SIN(M590)), g*SIN(M590), (-W590+Poussee)/m)</f>
        <v>-1.54241666354882</v>
      </c>
    </row>
    <row r="592" customFormat="false" ht="12" hidden="false" customHeight="false" outlineLevel="0" collapsed="false">
      <c r="A592" s="416" t="n">
        <f aca="false">IF(B591+0.01&lt;=T_ini+ROUNDUP(Temps_fin_propu,0), 0.01, IF(K591&gt;0, 0.1, 0.0001))</f>
        <v>0.1</v>
      </c>
      <c r="B592" s="417" t="n">
        <f aca="false">B591+pas</f>
        <v>22.8</v>
      </c>
      <c r="C592" s="401"/>
      <c r="D592" s="418" t="n">
        <f aca="false">IF(AND(L591&lt;L_rampe,Poussee&lt;Poids*SIN(M591)),0,(-W591+Poussee)/m*COS(M591)-U591/m*SIN(M591))</f>
        <v>-0.630628084895043</v>
      </c>
      <c r="E592" s="419" t="n">
        <f aca="false">IF(AND(L591&lt;L_rampe,Poussee&lt;Poids*SIN(M591)),0,(-W591+Poussee)/m*SIN(M591)+U591/m*COS(M591)-Poids/m)</f>
        <v>-8.35842708057203</v>
      </c>
      <c r="F592" s="417" t="n">
        <f aca="false">SQRT(acc_x^2+acc_z^2)</f>
        <v>8.38218319071459</v>
      </c>
      <c r="G592" s="418" t="n">
        <f aca="false">G591+acc_x*pas</f>
        <v>23.6187877012683</v>
      </c>
      <c r="H592" s="419" t="n">
        <f aca="false">H591+acc_z*pas</f>
        <v>-55.3464706126599</v>
      </c>
      <c r="I592" s="417" t="n">
        <f aca="false">SQRT(vit_x^2+vit_z^2)</f>
        <v>60.1754014673405</v>
      </c>
      <c r="J592" s="418" t="n">
        <f aca="false">J591+0.5*(vit_x+G591)*pas*(K591&gt;=0)</f>
        <v>667.881312840862</v>
      </c>
      <c r="K592" s="419" t="n">
        <f aca="false">K591+0.5*(vit_z+H591)*pas</f>
        <v>1298.23290706814</v>
      </c>
      <c r="L592" s="417" t="n">
        <f aca="false">SQRT(pos_x^2+pos_z^2)</f>
        <v>1459.95689286932</v>
      </c>
      <c r="M592" s="418" t="n">
        <f aca="false">IF(AND(L591&gt;L_rampe,G592&gt;0),ATAN2(G592,H592),$M$4)</f>
        <v>-1.16744921801253</v>
      </c>
      <c r="N592" s="417" t="n">
        <f aca="false">DEGREES(Beta)</f>
        <v>-66.8899129879661</v>
      </c>
      <c r="O592" s="401"/>
      <c r="P592" s="420" t="n">
        <f aca="false">MATCH(t-pas/2-T_ini,CdP_t)</f>
        <v>23</v>
      </c>
      <c r="Q592" s="417" t="n">
        <f aca="false">(INDEX(CdP,2,i_P+1)-INDEX(CdP,2,i_P+0))/(INDEX(CdP,1,i_P+1)-INDEX(CdP,1,i_P+0))*(t-pas/2-T_ini-INDEX(CdP,1,i_P+0))+INDEX(CdP,2,i_P+0)</f>
        <v>0</v>
      </c>
      <c r="R592" s="418" t="n">
        <f aca="false">Poussee/(g*ISP)</f>
        <v>0</v>
      </c>
      <c r="S592" s="419" t="n">
        <f aca="false">S591-Débit*pas</f>
        <v>7.37799999999998</v>
      </c>
      <c r="T592" s="417" t="n">
        <f aca="false">m*g</f>
        <v>72.3781799999998</v>
      </c>
      <c r="U592" s="421" t="n">
        <f aca="false">IF(pos_xz&lt;L_rampe,Poids*COS(Beta),0)</f>
        <v>0</v>
      </c>
      <c r="V592" s="418" t="n">
        <f aca="false">Rho_moyen*(20000-Alt_rampe-pos_z)/(20000+Alt_rampe+pos_z)</f>
        <v>1.075660351204</v>
      </c>
      <c r="W592" s="417" t="n">
        <f aca="false">1/2*Rho*Sref*Cx*vit_xz^2</f>
        <v>11.9770225109045</v>
      </c>
      <c r="X592" s="401"/>
      <c r="Y592" s="422" t="str">
        <f aca="false">IF(AND(pos_z&lt;=0,K591&gt;0),"Impact balistique","") &amp; IF(AND(H593&lt;0,vit_z&gt;=0),"Apogée","") &amp; IF(AND(Poussee=0,Q591&gt;0),"Fin de propulsion","") &amp; IF(AND(L593&gt;L_rampe,pos_xz&lt;=L_rampe),"Sortie de rampe","")</f>
        <v/>
      </c>
      <c r="Z592" s="423" t="str">
        <f aca="false">IF(ABS(t-T_para)&lt;pas/2,"Para","")</f>
        <v/>
      </c>
      <c r="AA592" s="424" t="str">
        <f aca="false">IF(ABS(t-T_satellite)&lt;pas/2,"Satellite","")</f>
        <v/>
      </c>
      <c r="AB592" s="412"/>
      <c r="AC592" s="420" t="e">
        <f aca="false">IF(ABS(t-ROUND(t,0))&lt;0.001,t,NA())</f>
        <v>#N/A</v>
      </c>
      <c r="AD592" s="425" t="e">
        <f aca="false">IF(ABS(t-ROUND(t,0))&lt;0.001,pos_x,NA())</f>
        <v>#N/A</v>
      </c>
      <c r="AE592" s="426" t="e">
        <f aca="false">IF(t&lt;T_para, pos_z, NA())</f>
        <v>#N/A</v>
      </c>
      <c r="AF592" s="412"/>
      <c r="AG592" s="418" t="n">
        <f aca="false">IF(AND(L591&lt;L_rampe,Poussee&lt;Poids*SIN(M591)),0,(-W591+Poussee)/m-Poids*SIN(M591)/m)</f>
        <v>7.41492679131071</v>
      </c>
      <c r="AH592" s="417" t="n">
        <f aca="false">IF(AND(L591&lt;L_rampe,Poussee&lt;Poids*SIN(M591)), g*SIN(M591), (-W591+Poussee)/m)</f>
        <v>-1.58264200685911</v>
      </c>
    </row>
    <row r="593" customFormat="false" ht="12" hidden="false" customHeight="false" outlineLevel="0" collapsed="false">
      <c r="A593" s="416" t="n">
        <f aca="false">IF(B592+0.01&lt;=T_ini+ROUNDUP(Temps_fin_propu,0), 0.01, IF(K592&gt;0, 0.1, 0.0001))</f>
        <v>0.1</v>
      </c>
      <c r="B593" s="417" t="n">
        <f aca="false">B592+pas</f>
        <v>22.9</v>
      </c>
      <c r="C593" s="401"/>
      <c r="D593" s="418" t="n">
        <f aca="false">IF(AND(L592&lt;L_rampe,Poussee&lt;Poids*SIN(M592)),0,(-W592+Poussee)/m*COS(M592)-U592/m*SIN(M592))</f>
        <v>-0.637160465702499</v>
      </c>
      <c r="E593" s="419" t="n">
        <f aca="false">IF(AND(L592&lt;L_rampe,Poussee&lt;Poids*SIN(M592)),0,(-W592+Poussee)/m*SIN(M592)+U592/m*COS(M592)-Poids/m)</f>
        <v>-8.31692662821731</v>
      </c>
      <c r="F593" s="417" t="n">
        <f aca="false">SQRT(acc_x^2+acc_z^2)</f>
        <v>8.34129738099562</v>
      </c>
      <c r="G593" s="418" t="n">
        <f aca="false">G592+acc_x*pas</f>
        <v>23.555071654698</v>
      </c>
      <c r="H593" s="419" t="n">
        <f aca="false">H592+acc_z*pas</f>
        <v>-56.1781632754817</v>
      </c>
      <c r="I593" s="417" t="n">
        <f aca="false">SQRT(vit_x^2+vit_z^2)</f>
        <v>60.9165612101063</v>
      </c>
      <c r="J593" s="418" t="n">
        <f aca="false">J592+0.5*(vit_x+G592)*pas*(K592&gt;=0)</f>
        <v>670.240005808661</v>
      </c>
      <c r="K593" s="419" t="n">
        <f aca="false">K592+0.5*(vit_z+H592)*pas</f>
        <v>1292.65667537374</v>
      </c>
      <c r="L593" s="417" t="n">
        <f aca="false">SQRT(pos_x^2+pos_z^2)</f>
        <v>1456.08480033777</v>
      </c>
      <c r="M593" s="418" t="n">
        <f aca="false">IF(AND(L592&gt;L_rampe,G593&gt;0),ATAN2(G593,H593),$M$4)</f>
        <v>-1.17377006280341</v>
      </c>
      <c r="N593" s="417" t="n">
        <f aca="false">DEGREES(Beta)</f>
        <v>-67.2520707174408</v>
      </c>
      <c r="O593" s="401"/>
      <c r="P593" s="420" t="n">
        <f aca="false">MATCH(t-pas/2-T_ini,CdP_t)</f>
        <v>23</v>
      </c>
      <c r="Q593" s="417" t="n">
        <f aca="false">(INDEX(CdP,2,i_P+1)-INDEX(CdP,2,i_P+0))/(INDEX(CdP,1,i_P+1)-INDEX(CdP,1,i_P+0))*(t-pas/2-T_ini-INDEX(CdP,1,i_P+0))+INDEX(CdP,2,i_P+0)</f>
        <v>0</v>
      </c>
      <c r="R593" s="418" t="n">
        <f aca="false">Poussee/(g*ISP)</f>
        <v>0</v>
      </c>
      <c r="S593" s="419" t="n">
        <f aca="false">S592-Débit*pas</f>
        <v>7.37799999999998</v>
      </c>
      <c r="T593" s="417" t="n">
        <f aca="false">m*g</f>
        <v>72.3781799999998</v>
      </c>
      <c r="U593" s="421" t="n">
        <f aca="false">IF(pos_xz&lt;L_rampe,Poids*COS(Beta),0)</f>
        <v>0</v>
      </c>
      <c r="V593" s="418" t="n">
        <f aca="false">Rho_moyen*(20000-Alt_rampe-pos_z)/(20000+Alt_rampe+pos_z)</f>
        <v>1.07626286010479</v>
      </c>
      <c r="W593" s="417" t="n">
        <f aca="false">1/2*Rho*Sref*Cx*vit_xz^2</f>
        <v>12.2807481233305</v>
      </c>
      <c r="X593" s="401"/>
      <c r="Y593" s="422" t="str">
        <f aca="false">IF(AND(pos_z&lt;=0,K592&gt;0),"Impact balistique","") &amp; IF(AND(H594&lt;0,vit_z&gt;=0),"Apogée","") &amp; IF(AND(Poussee=0,Q592&gt;0),"Fin de propulsion","") &amp; IF(AND(L594&gt;L_rampe,pos_xz&lt;=L_rampe),"Sortie de rampe","")</f>
        <v/>
      </c>
      <c r="Z593" s="423" t="str">
        <f aca="false">IF(ABS(t-T_para)&lt;pas/2,"Para","")</f>
        <v/>
      </c>
      <c r="AA593" s="424" t="str">
        <f aca="false">IF(ABS(t-T_satellite)&lt;pas/2,"Satellite","")</f>
        <v/>
      </c>
      <c r="AB593" s="412"/>
      <c r="AC593" s="420" t="e">
        <f aca="false">IF(ABS(t-ROUND(t,0))&lt;0.001,t,NA())</f>
        <v>#N/A</v>
      </c>
      <c r="AD593" s="425" t="e">
        <f aca="false">IF(ABS(t-ROUND(t,0))&lt;0.001,pos_x,NA())</f>
        <v>#N/A</v>
      </c>
      <c r="AE593" s="426" t="e">
        <f aca="false">IF(t&lt;T_para, pos_z, NA())</f>
        <v>#N/A</v>
      </c>
      <c r="AF593" s="412"/>
      <c r="AG593" s="418" t="n">
        <f aca="false">IF(AND(L592&lt;L_rampe,Poussee&lt;Poids*SIN(M592)),0,(-W592+Poussee)/m-Poids*SIN(M592)/m)</f>
        <v>7.3994284473012</v>
      </c>
      <c r="AH593" s="417" t="n">
        <f aca="false">IF(AND(L592&lt;L_rampe,Poussee&lt;Poids*SIN(M592)), g*SIN(M592), (-W592+Poussee)/m)</f>
        <v>-1.62334270952894</v>
      </c>
    </row>
    <row r="594" customFormat="false" ht="12" hidden="false" customHeight="false" outlineLevel="0" collapsed="false">
      <c r="A594" s="416" t="n">
        <f aca="false">IF(B593+0.01&lt;=T_ini+ROUNDUP(Temps_fin_propu,0), 0.01, IF(K593&gt;0, 0.1, 0.0001))</f>
        <v>0.1</v>
      </c>
      <c r="B594" s="417" t="n">
        <f aca="false">B593+pas</f>
        <v>23</v>
      </c>
      <c r="C594" s="401"/>
      <c r="D594" s="418" t="n">
        <f aca="false">IF(AND(L593&lt;L_rampe,Poussee&lt;Poids*SIN(M593)),0,(-W593+Poussee)/m*COS(M593)-U593/m*SIN(M593))</f>
        <v>-0.643628436815167</v>
      </c>
      <c r="E594" s="419" t="n">
        <f aca="false">IF(AND(L593&lt;L_rampe,Poussee&lt;Poids*SIN(M593)),0,(-W593+Poussee)/m*SIN(M593)+U593/m*COS(M593)-Poids/m)</f>
        <v>-8.27496483041121</v>
      </c>
      <c r="F594" s="417" t="n">
        <f aca="false">SQRT(acc_x^2+acc_z^2)</f>
        <v>8.29995786189421</v>
      </c>
      <c r="G594" s="418" t="n">
        <f aca="false">G593+acc_x*pas</f>
        <v>23.4907088110165</v>
      </c>
      <c r="H594" s="419" t="n">
        <f aca="false">H593+acc_z*pas</f>
        <v>-57.0056597585228</v>
      </c>
      <c r="I594" s="417" t="n">
        <f aca="false">SQRT(vit_x^2+vit_z^2)</f>
        <v>61.65597006737</v>
      </c>
      <c r="J594" s="418" t="n">
        <f aca="false">J593+0.5*(vit_x+G593)*pas*(K593&gt;=0)</f>
        <v>672.592294831946</v>
      </c>
      <c r="K594" s="419" t="n">
        <f aca="false">K593+0.5*(vit_z+H593)*pas</f>
        <v>1286.99748422204</v>
      </c>
      <c r="L594" s="417" t="n">
        <f aca="false">SQRT(pos_x^2+pos_z^2)</f>
        <v>1452.15113519948</v>
      </c>
      <c r="M594" s="418" t="n">
        <f aca="false">IF(AND(L593&gt;L_rampe,G594&gt;0),ATAN2(G594,H594),$M$4)</f>
        <v>-1.17992247837544</v>
      </c>
      <c r="N594" s="417" t="n">
        <f aca="false">DEGREES(Beta)</f>
        <v>-67.6045781635291</v>
      </c>
      <c r="O594" s="401"/>
      <c r="P594" s="420" t="n">
        <f aca="false">MATCH(t-pas/2-T_ini,CdP_t)</f>
        <v>23</v>
      </c>
      <c r="Q594" s="417" t="n">
        <f aca="false">(INDEX(CdP,2,i_P+1)-INDEX(CdP,2,i_P+0))/(INDEX(CdP,1,i_P+1)-INDEX(CdP,1,i_P+0))*(t-pas/2-T_ini-INDEX(CdP,1,i_P+0))+INDEX(CdP,2,i_P+0)</f>
        <v>0</v>
      </c>
      <c r="R594" s="418" t="n">
        <f aca="false">Poussee/(g*ISP)</f>
        <v>0</v>
      </c>
      <c r="S594" s="419" t="n">
        <f aca="false">S593-Débit*pas</f>
        <v>7.37799999999998</v>
      </c>
      <c r="T594" s="417" t="n">
        <f aca="false">m*g</f>
        <v>72.3781799999998</v>
      </c>
      <c r="U594" s="421" t="n">
        <f aca="false">IF(pos_xz&lt;L_rampe,Poids*COS(Beta),0)</f>
        <v>0</v>
      </c>
      <c r="V594" s="418" t="n">
        <f aca="false">Rho_moyen*(20000-Alt_rampe-pos_z)/(20000+Alt_rampe+pos_z)</f>
        <v>1.07687465547074</v>
      </c>
      <c r="W594" s="417" t="n">
        <f aca="false">1/2*Rho*Sref*Cx*vit_xz^2</f>
        <v>12.5878378026066</v>
      </c>
      <c r="X594" s="401"/>
      <c r="Y594" s="422" t="str">
        <f aca="false">IF(AND(pos_z&lt;=0,K593&gt;0),"Impact balistique","") &amp; IF(AND(H595&lt;0,vit_z&gt;=0),"Apogée","") &amp; IF(AND(Poussee=0,Q593&gt;0),"Fin de propulsion","") &amp; IF(AND(L595&gt;L_rampe,pos_xz&lt;=L_rampe),"Sortie de rampe","")</f>
        <v/>
      </c>
      <c r="Z594" s="423" t="str">
        <f aca="false">IF(ABS(t-T_para)&lt;pas/2,"Para","")</f>
        <v/>
      </c>
      <c r="AA594" s="424" t="str">
        <f aca="false">IF(ABS(t-T_satellite)&lt;pas/2,"Satellite","")</f>
        <v/>
      </c>
      <c r="AB594" s="412"/>
      <c r="AC594" s="420" t="n">
        <f aca="false">IF(ABS(t-ROUND(t,0))&lt;0.001,t,NA())</f>
        <v>23</v>
      </c>
      <c r="AD594" s="425" t="n">
        <f aca="false">IF(ABS(t-ROUND(t,0))&lt;0.001,pos_x,NA())</f>
        <v>672.592294831946</v>
      </c>
      <c r="AE594" s="426" t="e">
        <f aca="false">IF(t&lt;T_para, pos_z, NA())</f>
        <v>#N/A</v>
      </c>
      <c r="AF594" s="412"/>
      <c r="AG594" s="418" t="n">
        <f aca="false">IF(AND(L593&lt;L_rampe,Poussee&lt;Poids*SIN(M593)),0,(-W593+Poussee)/m-Poids*SIN(M593)/m)</f>
        <v>7.38241953353922</v>
      </c>
      <c r="AH594" s="417" t="n">
        <f aca="false">IF(AND(L593&lt;L_rampe,Poussee&lt;Poids*SIN(M593)), g*SIN(M593), (-W593+Poussee)/m)</f>
        <v>-1.66450909776775</v>
      </c>
    </row>
    <row r="595" customFormat="false" ht="12" hidden="false" customHeight="false" outlineLevel="0" collapsed="false">
      <c r="A595" s="416" t="n">
        <f aca="false">IF(B594+0.01&lt;=T_ini+ROUNDUP(Temps_fin_propu,0), 0.01, IF(K594&gt;0, 0.1, 0.0001))</f>
        <v>0.1</v>
      </c>
      <c r="B595" s="417" t="n">
        <f aca="false">B594+pas</f>
        <v>23.1</v>
      </c>
      <c r="C595" s="401"/>
      <c r="D595" s="418" t="n">
        <f aca="false">IF(AND(L594&lt;L_rampe,Poussee&lt;Poids*SIN(M594)),0,(-W594+Poussee)/m*COS(M594)-U594/m*SIN(M594))</f>
        <v>-0.650030109468197</v>
      </c>
      <c r="E595" s="419" t="n">
        <f aca="false">IF(AND(L594&lt;L_rampe,Poussee&lt;Poids*SIN(M594)),0,(-W594+Poussee)/m*SIN(M594)+U594/m*COS(M594)-Poids/m)</f>
        <v>-8.23255099446972</v>
      </c>
      <c r="F595" s="417" t="n">
        <f aca="false">SQRT(acc_x^2+acc_z^2)</f>
        <v>8.25817383080301</v>
      </c>
      <c r="G595" s="418" t="n">
        <f aca="false">G594+acc_x*pas</f>
        <v>23.4257058000697</v>
      </c>
      <c r="H595" s="419" t="n">
        <f aca="false">H594+acc_z*pas</f>
        <v>-57.8289148579698</v>
      </c>
      <c r="I595" s="417" t="n">
        <f aca="false">SQRT(vit_x^2+vit_z^2)</f>
        <v>62.3934859250686</v>
      </c>
      <c r="J595" s="418" t="n">
        <f aca="false">J594+0.5*(vit_x+G594)*pas*(K594&gt;=0)</f>
        <v>674.938115562501</v>
      </c>
      <c r="K595" s="419" t="n">
        <f aca="false">K594+0.5*(vit_z+H594)*pas</f>
        <v>1281.25575549121</v>
      </c>
      <c r="L595" s="417" t="n">
        <f aca="false">SQRT(pos_x^2+pos_z^2)</f>
        <v>1448.15668034174</v>
      </c>
      <c r="M595" s="418" t="n">
        <f aca="false">IF(AND(L594&gt;L_rampe,G595&gt;0),ATAN2(G595,H595),$M$4)</f>
        <v>-1.18591284414033</v>
      </c>
      <c r="N595" s="417" t="n">
        <f aca="false">DEGREES(Beta)</f>
        <v>-67.947800839597</v>
      </c>
      <c r="O595" s="401"/>
      <c r="P595" s="420" t="n">
        <f aca="false">MATCH(t-pas/2-T_ini,CdP_t)</f>
        <v>23</v>
      </c>
      <c r="Q595" s="417" t="n">
        <f aca="false">(INDEX(CdP,2,i_P+1)-INDEX(CdP,2,i_P+0))/(INDEX(CdP,1,i_P+1)-INDEX(CdP,1,i_P+0))*(t-pas/2-T_ini-INDEX(CdP,1,i_P+0))+INDEX(CdP,2,i_P+0)</f>
        <v>0</v>
      </c>
      <c r="R595" s="418" t="n">
        <f aca="false">Poussee/(g*ISP)</f>
        <v>0</v>
      </c>
      <c r="S595" s="419" t="n">
        <f aca="false">S594-Débit*pas</f>
        <v>7.37799999999998</v>
      </c>
      <c r="T595" s="417" t="n">
        <f aca="false">m*g</f>
        <v>72.3781799999998</v>
      </c>
      <c r="U595" s="421" t="n">
        <f aca="false">IF(pos_xz&lt;L_rampe,Poids*COS(Beta),0)</f>
        <v>0</v>
      </c>
      <c r="V595" s="418" t="n">
        <f aca="false">Rho_moyen*(20000-Alt_rampe-pos_z)/(20000+Alt_rampe+pos_z)</f>
        <v>1.07749570622056</v>
      </c>
      <c r="W595" s="417" t="n">
        <f aca="false">1/2*Rho*Sref*Cx*vit_xz^2</f>
        <v>12.8982194294863</v>
      </c>
      <c r="X595" s="401"/>
      <c r="Y595" s="422" t="str">
        <f aca="false">IF(AND(pos_z&lt;=0,K594&gt;0),"Impact balistique","") &amp; IF(AND(H596&lt;0,vit_z&gt;=0),"Apogée","") &amp; IF(AND(Poussee=0,Q594&gt;0),"Fin de propulsion","") &amp; IF(AND(L596&gt;L_rampe,pos_xz&lt;=L_rampe),"Sortie de rampe","")</f>
        <v/>
      </c>
      <c r="Z595" s="423" t="str">
        <f aca="false">IF(ABS(t-T_para)&lt;pas/2,"Para","")</f>
        <v/>
      </c>
      <c r="AA595" s="424" t="str">
        <f aca="false">IF(ABS(t-T_satellite)&lt;pas/2,"Satellite","")</f>
        <v/>
      </c>
      <c r="AB595" s="412"/>
      <c r="AC595" s="420" t="e">
        <f aca="false">IF(ABS(t-ROUND(t,0))&lt;0.001,t,NA())</f>
        <v>#N/A</v>
      </c>
      <c r="AD595" s="425" t="e">
        <f aca="false">IF(ABS(t-ROUND(t,0))&lt;0.001,pos_x,NA())</f>
        <v>#N/A</v>
      </c>
      <c r="AE595" s="426" t="e">
        <f aca="false">IF(t&lt;T_para, pos_z, NA())</f>
        <v>#N/A</v>
      </c>
      <c r="AF595" s="412"/>
      <c r="AG595" s="418" t="n">
        <f aca="false">IF(AND(L594&lt;L_rampe,Poussee&lt;Poids*SIN(M594)),0,(-W594+Poussee)/m-Poids*SIN(M594)/m)</f>
        <v>7.36396382084992</v>
      </c>
      <c r="AH595" s="417" t="n">
        <f aca="false">IF(AND(L594&lt;L_rampe,Poussee&lt;Poids*SIN(M594)), g*SIN(M594), (-W594+Poussee)/m)</f>
        <v>-1.70613144518929</v>
      </c>
    </row>
    <row r="596" customFormat="false" ht="12" hidden="false" customHeight="false" outlineLevel="0" collapsed="false">
      <c r="A596" s="416" t="n">
        <f aca="false">IF(B595+0.01&lt;=T_ini+ROUNDUP(Temps_fin_propu,0), 0.01, IF(K595&gt;0, 0.1, 0.0001))</f>
        <v>0.1</v>
      </c>
      <c r="B596" s="417" t="n">
        <f aca="false">B595+pas</f>
        <v>23.2</v>
      </c>
      <c r="C596" s="401"/>
      <c r="D596" s="418" t="n">
        <f aca="false">IF(AND(L595&lt;L_rampe,Poussee&lt;Poids*SIN(M595)),0,(-W595+Poussee)/m*COS(M595)-U595/m*SIN(M595))</f>
        <v>-0.656363684944135</v>
      </c>
      <c r="E596" s="419" t="n">
        <f aca="false">IF(AND(L595&lt;L_rampe,Poussee&lt;Poids*SIN(M595)),0,(-W595+Poussee)/m*SIN(M595)+U595/m*COS(M595)-Poids/m)</f>
        <v>-8.18969451266716</v>
      </c>
      <c r="F596" s="417" t="n">
        <f aca="false">SQRT(acc_x^2+acc_z^2)</f>
        <v>8.21595457008643</v>
      </c>
      <c r="G596" s="418" t="n">
        <f aca="false">G595+acc_x*pas</f>
        <v>23.3600694315753</v>
      </c>
      <c r="H596" s="419" t="n">
        <f aca="false">H595+acc_z*pas</f>
        <v>-58.6478843092365</v>
      </c>
      <c r="I596" s="417" t="n">
        <f aca="false">SQRT(vit_x^2+vit_z^2)</f>
        <v>63.128972570426</v>
      </c>
      <c r="J596" s="418" t="n">
        <f aca="false">J595+0.5*(vit_x+G595)*pas*(K595&gt;=0)</f>
        <v>677.277404324083</v>
      </c>
      <c r="K596" s="419" t="n">
        <f aca="false">K595+0.5*(vit_z+H595)*pas</f>
        <v>1275.43191553285</v>
      </c>
      <c r="L596" s="417" t="n">
        <f aca="false">SQRT(pos_x^2+pos_z^2)</f>
        <v>1444.10223099605</v>
      </c>
      <c r="M596" s="418" t="n">
        <f aca="false">IF(AND(L595&gt;L_rampe,G596&gt;0),ATAN2(G596,H596),$M$4)</f>
        <v>-1.1917472439245</v>
      </c>
      <c r="N596" s="417" t="n">
        <f aca="false">DEGREES(Beta)</f>
        <v>-68.2820873232217</v>
      </c>
      <c r="O596" s="401"/>
      <c r="P596" s="420" t="n">
        <f aca="false">MATCH(t-pas/2-T_ini,CdP_t)</f>
        <v>23</v>
      </c>
      <c r="Q596" s="417" t="n">
        <f aca="false">(INDEX(CdP,2,i_P+1)-INDEX(CdP,2,i_P+0))/(INDEX(CdP,1,i_P+1)-INDEX(CdP,1,i_P+0))*(t-pas/2-T_ini-INDEX(CdP,1,i_P+0))+INDEX(CdP,2,i_P+0)</f>
        <v>0</v>
      </c>
      <c r="R596" s="418" t="n">
        <f aca="false">Poussee/(g*ISP)</f>
        <v>0</v>
      </c>
      <c r="S596" s="419" t="n">
        <f aca="false">S595-Débit*pas</f>
        <v>7.37799999999998</v>
      </c>
      <c r="T596" s="417" t="n">
        <f aca="false">m*g</f>
        <v>72.3781799999998</v>
      </c>
      <c r="U596" s="421" t="n">
        <f aca="false">IF(pos_xz&lt;L_rampe,Poids*COS(Beta),0)</f>
        <v>0</v>
      </c>
      <c r="V596" s="418" t="n">
        <f aca="false">Rho_moyen*(20000-Alt_rampe-pos_z)/(20000+Alt_rampe+pos_z)</f>
        <v>1.07812598092196</v>
      </c>
      <c r="W596" s="417" t="n">
        <f aca="false">1/2*Rho*Sref*Cx*vit_xz^2</f>
        <v>13.2118205568294</v>
      </c>
      <c r="X596" s="401"/>
      <c r="Y596" s="422" t="str">
        <f aca="false">IF(AND(pos_z&lt;=0,K595&gt;0),"Impact balistique","") &amp; IF(AND(H597&lt;0,vit_z&gt;=0),"Apogée","") &amp; IF(AND(Poussee=0,Q595&gt;0),"Fin de propulsion","") &amp; IF(AND(L597&gt;L_rampe,pos_xz&lt;=L_rampe),"Sortie de rampe","")</f>
        <v/>
      </c>
      <c r="Z596" s="423" t="str">
        <f aca="false">IF(ABS(t-T_para)&lt;pas/2,"Para","")</f>
        <v/>
      </c>
      <c r="AA596" s="424" t="str">
        <f aca="false">IF(ABS(t-T_satellite)&lt;pas/2,"Satellite","")</f>
        <v/>
      </c>
      <c r="AB596" s="412"/>
      <c r="AC596" s="420" t="e">
        <f aca="false">IF(ABS(t-ROUND(t,0))&lt;0.001,t,NA())</f>
        <v>#N/A</v>
      </c>
      <c r="AD596" s="425" t="e">
        <f aca="false">IF(ABS(t-ROUND(t,0))&lt;0.001,pos_x,NA())</f>
        <v>#N/A</v>
      </c>
      <c r="AE596" s="426" t="e">
        <f aca="false">IF(t&lt;T_para, pos_z, NA())</f>
        <v>#N/A</v>
      </c>
      <c r="AF596" s="412"/>
      <c r="AG596" s="418" t="n">
        <f aca="false">IF(AND(L595&lt;L_rampe,Poussee&lt;Poids*SIN(M595)),0,(-W595+Poussee)/m-Poids*SIN(M595)/m)</f>
        <v>7.34412186321447</v>
      </c>
      <c r="AH596" s="417" t="n">
        <f aca="false">IF(AND(L595&lt;L_rampe,Poussee&lt;Poids*SIN(M595)), g*SIN(M595), (-W595+Poussee)/m)</f>
        <v>-1.7481999768889</v>
      </c>
    </row>
    <row r="597" customFormat="false" ht="12" hidden="false" customHeight="false" outlineLevel="0" collapsed="false">
      <c r="A597" s="416" t="n">
        <f aca="false">IF(B596+0.01&lt;=T_ini+ROUNDUP(Temps_fin_propu,0), 0.01, IF(K596&gt;0, 0.1, 0.0001))</f>
        <v>0.1</v>
      </c>
      <c r="B597" s="417" t="n">
        <f aca="false">B596+pas</f>
        <v>23.3</v>
      </c>
      <c r="C597" s="401"/>
      <c r="D597" s="418" t="n">
        <f aca="false">IF(AND(L596&lt;L_rampe,Poussee&lt;Poids*SIN(M596)),0,(-W596+Poussee)/m*COS(M596)-U596/m*SIN(M596))</f>
        <v>-0.66262745097297</v>
      </c>
      <c r="E597" s="419" t="n">
        <f aca="false">IF(AND(L596&lt;L_rampe,Poussee&lt;Poids*SIN(M596)),0,(-W596+Poussee)/m*SIN(M596)+U596/m*COS(M596)-Poids/m)</f>
        <v>-8.14640485536149</v>
      </c>
      <c r="F597" s="417" t="n">
        <f aca="false">SQRT(acc_x^2+acc_z^2)</f>
        <v>8.17330944025982</v>
      </c>
      <c r="G597" s="418" t="n">
        <f aca="false">G596+acc_x*pas</f>
        <v>23.293806686478</v>
      </c>
      <c r="H597" s="419" t="n">
        <f aca="false">H596+acc_z*pas</f>
        <v>-59.4625247947726</v>
      </c>
      <c r="I597" s="417" t="n">
        <f aca="false">SQRT(vit_x^2+vit_z^2)</f>
        <v>63.8622994020412</v>
      </c>
      <c r="J597" s="418" t="n">
        <f aca="false">J596+0.5*(vit_x+G596)*pas*(K596&gt;=0)</f>
        <v>679.610098129986</v>
      </c>
      <c r="K597" s="419" t="n">
        <f aca="false">K596+0.5*(vit_z+H596)*pas</f>
        <v>1269.52639507765</v>
      </c>
      <c r="L597" s="417" t="n">
        <f aca="false">SQRT(pos_x^2+pos_z^2)</f>
        <v>1439.98859484341</v>
      </c>
      <c r="M597" s="418" t="n">
        <f aca="false">IF(AND(L596&gt;L_rampe,G597&gt;0),ATAN2(G597,H597),$M$4)</f>
        <v>-1.19743148125716</v>
      </c>
      <c r="N597" s="417" t="n">
        <f aca="false">DEGREES(Beta)</f>
        <v>-68.6077701321335</v>
      </c>
      <c r="O597" s="401"/>
      <c r="P597" s="420" t="n">
        <f aca="false">MATCH(t-pas/2-T_ini,CdP_t)</f>
        <v>23</v>
      </c>
      <c r="Q597" s="417" t="n">
        <f aca="false">(INDEX(CdP,2,i_P+1)-INDEX(CdP,2,i_P+0))/(INDEX(CdP,1,i_P+1)-INDEX(CdP,1,i_P+0))*(t-pas/2-T_ini-INDEX(CdP,1,i_P+0))+INDEX(CdP,2,i_P+0)</f>
        <v>0</v>
      </c>
      <c r="R597" s="418" t="n">
        <f aca="false">Poussee/(g*ISP)</f>
        <v>0</v>
      </c>
      <c r="S597" s="419" t="n">
        <f aca="false">S596-Débit*pas</f>
        <v>7.37799999999998</v>
      </c>
      <c r="T597" s="417" t="n">
        <f aca="false">m*g</f>
        <v>72.3781799999998</v>
      </c>
      <c r="U597" s="421" t="n">
        <f aca="false">IF(pos_xz&lt;L_rampe,Poids*COS(Beta),0)</f>
        <v>0</v>
      </c>
      <c r="V597" s="418" t="n">
        <f aca="false">Rho_moyen*(20000-Alt_rampe-pos_z)/(20000+Alt_rampe+pos_z)</f>
        <v>1.07876544779765</v>
      </c>
      <c r="W597" s="417" t="n">
        <f aca="false">1/2*Rho*Sref*Cx*vit_xz^2</f>
        <v>13.5285684396422</v>
      </c>
      <c r="X597" s="401"/>
      <c r="Y597" s="422" t="str">
        <f aca="false">IF(AND(pos_z&lt;=0,K596&gt;0),"Impact balistique","") &amp; IF(AND(H598&lt;0,vit_z&gt;=0),"Apogée","") &amp; IF(AND(Poussee=0,Q596&gt;0),"Fin de propulsion","") &amp; IF(AND(L598&gt;L_rampe,pos_xz&lt;=L_rampe),"Sortie de rampe","")</f>
        <v/>
      </c>
      <c r="Z597" s="423" t="str">
        <f aca="false">IF(ABS(t-T_para)&lt;pas/2,"Para","")</f>
        <v/>
      </c>
      <c r="AA597" s="424" t="str">
        <f aca="false">IF(ABS(t-T_satellite)&lt;pas/2,"Satellite","")</f>
        <v/>
      </c>
      <c r="AB597" s="412"/>
      <c r="AC597" s="420" t="e">
        <f aca="false">IF(ABS(t-ROUND(t,0))&lt;0.001,t,NA())</f>
        <v>#N/A</v>
      </c>
      <c r="AD597" s="425" t="e">
        <f aca="false">IF(ABS(t-ROUND(t,0))&lt;0.001,pos_x,NA())</f>
        <v>#N/A</v>
      </c>
      <c r="AE597" s="426" t="e">
        <f aca="false">IF(t&lt;T_para, pos_z, NA())</f>
        <v>#N/A</v>
      </c>
      <c r="AF597" s="412"/>
      <c r="AG597" s="418" t="n">
        <f aca="false">IF(AND(L596&lt;L_rampe,Poussee&lt;Poids*SIN(M596)),0,(-W596+Poussee)/m-Poids*SIN(M596)/m)</f>
        <v>7.32295121254699</v>
      </c>
      <c r="AH597" s="417" t="n">
        <f aca="false">IF(AND(L596&lt;L_rampe,Poussee&lt;Poids*SIN(M596)), g*SIN(M596), (-W596+Poussee)/m)</f>
        <v>-1.79070487351985</v>
      </c>
    </row>
    <row r="598" customFormat="false" ht="12" hidden="false" customHeight="false" outlineLevel="0" collapsed="false">
      <c r="A598" s="416" t="n">
        <f aca="false">IF(B597+0.01&lt;=T_ini+ROUNDUP(Temps_fin_propu,0), 0.01, IF(K597&gt;0, 0.1, 0.0001))</f>
        <v>0.1</v>
      </c>
      <c r="B598" s="417" t="n">
        <f aca="false">B597+pas</f>
        <v>23.4</v>
      </c>
      <c r="C598" s="401"/>
      <c r="D598" s="418" t="n">
        <f aca="false">IF(AND(L597&lt;L_rampe,Poussee&lt;Poids*SIN(M597)),0,(-W597+Poussee)/m*COS(M597)-U597/m*SIN(M597))</f>
        <v>-0.668819778360474</v>
      </c>
      <c r="E598" s="419" t="n">
        <f aca="false">IF(AND(L597&lt;L_rampe,Poussee&lt;Poids*SIN(M597)),0,(-W597+Poussee)/m*SIN(M597)+U597/m*COS(M597)-Poids/m)</f>
        <v>-8.10269156435988</v>
      </c>
      <c r="F598" s="417" t="n">
        <f aca="false">SQRT(acc_x^2+acc_z^2)</f>
        <v>8.13024787340921</v>
      </c>
      <c r="G598" s="418" t="n">
        <f aca="false">G597+acc_x*pas</f>
        <v>23.2269247086419</v>
      </c>
      <c r="H598" s="419" t="n">
        <f aca="false">H597+acc_z*pas</f>
        <v>-60.2727939512086</v>
      </c>
      <c r="I598" s="417" t="n">
        <f aca="false">SQRT(vit_x^2+vit_z^2)</f>
        <v>64.5933411591765</v>
      </c>
      <c r="J598" s="418" t="n">
        <f aca="false">J597+0.5*(vit_x+G597)*pas*(K597&gt;=0)</f>
        <v>681.936134699742</v>
      </c>
      <c r="K598" s="419" t="n">
        <f aca="false">K597+0.5*(vit_z+H597)*pas</f>
        <v>1263.53962914035</v>
      </c>
      <c r="L598" s="417" t="n">
        <f aca="false">SQRT(pos_x^2+pos_z^2)</f>
        <v>1435.81659212358</v>
      </c>
      <c r="M598" s="418" t="n">
        <f aca="false">IF(AND(L597&gt;L_rampe,G598&gt;0),ATAN2(G598,H598),$M$4)</f>
        <v>-1.20297109385933</v>
      </c>
      <c r="N598" s="417" t="n">
        <f aca="false">DEGREES(Beta)</f>
        <v>-68.9251665543755</v>
      </c>
      <c r="O598" s="401"/>
      <c r="P598" s="420" t="n">
        <f aca="false">MATCH(t-pas/2-T_ini,CdP_t)</f>
        <v>23</v>
      </c>
      <c r="Q598" s="417" t="n">
        <f aca="false">(INDEX(CdP,2,i_P+1)-INDEX(CdP,2,i_P+0))/(INDEX(CdP,1,i_P+1)-INDEX(CdP,1,i_P+0))*(t-pas/2-T_ini-INDEX(CdP,1,i_P+0))+INDEX(CdP,2,i_P+0)</f>
        <v>0</v>
      </c>
      <c r="R598" s="418" t="n">
        <f aca="false">Poussee/(g*ISP)</f>
        <v>0</v>
      </c>
      <c r="S598" s="419" t="n">
        <f aca="false">S597-Débit*pas</f>
        <v>7.37799999999998</v>
      </c>
      <c r="T598" s="417" t="n">
        <f aca="false">m*g</f>
        <v>72.3781799999998</v>
      </c>
      <c r="U598" s="421" t="n">
        <f aca="false">IF(pos_xz&lt;L_rampe,Poids*COS(Beta),0)</f>
        <v>0</v>
      </c>
      <c r="V598" s="418" t="n">
        <f aca="false">Rho_moyen*(20000-Alt_rampe-pos_z)/(20000+Alt_rampe+pos_z)</f>
        <v>1.0794140747314</v>
      </c>
      <c r="W598" s="417" t="n">
        <f aca="false">1/2*Rho*Sref*Cx*vit_xz^2</f>
        <v>13.8483900650551</v>
      </c>
      <c r="X598" s="401"/>
      <c r="Y598" s="422" t="str">
        <f aca="false">IF(AND(pos_z&lt;=0,K597&gt;0),"Impact balistique","") &amp; IF(AND(H599&lt;0,vit_z&gt;=0),"Apogée","") &amp; IF(AND(Poussee=0,Q597&gt;0),"Fin de propulsion","") &amp; IF(AND(L599&gt;L_rampe,pos_xz&lt;=L_rampe),"Sortie de rampe","")</f>
        <v/>
      </c>
      <c r="Z598" s="423" t="str">
        <f aca="false">IF(ABS(t-T_para)&lt;pas/2,"Para","")</f>
        <v/>
      </c>
      <c r="AA598" s="424" t="str">
        <f aca="false">IF(ABS(t-T_satellite)&lt;pas/2,"Satellite","")</f>
        <v/>
      </c>
      <c r="AB598" s="412"/>
      <c r="AC598" s="420" t="e">
        <f aca="false">IF(ABS(t-ROUND(t,0))&lt;0.001,t,NA())</f>
        <v>#N/A</v>
      </c>
      <c r="AD598" s="425" t="e">
        <f aca="false">IF(ABS(t-ROUND(t,0))&lt;0.001,pos_x,NA())</f>
        <v>#N/A</v>
      </c>
      <c r="AE598" s="426" t="e">
        <f aca="false">IF(t&lt;T_para, pos_z, NA())</f>
        <v>#N/A</v>
      </c>
      <c r="AF598" s="412"/>
      <c r="AG598" s="418" t="n">
        <f aca="false">IF(AND(L597&lt;L_rampe,Poussee&lt;Poids*SIN(M597)),0,(-W597+Poussee)/m-Poids*SIN(M597)/m)</f>
        <v>7.3005066179941</v>
      </c>
      <c r="AH598" s="417" t="n">
        <f aca="false">IF(AND(L597&lt;L_rampe,Poussee&lt;Poids*SIN(M597)), g*SIN(M597), (-W597+Poussee)/m)</f>
        <v>-1.8336362753649</v>
      </c>
    </row>
    <row r="599" customFormat="false" ht="12" hidden="false" customHeight="false" outlineLevel="0" collapsed="false">
      <c r="A599" s="416" t="n">
        <f aca="false">IF(B598+0.01&lt;=T_ini+ROUNDUP(Temps_fin_propu,0), 0.01, IF(K598&gt;0, 0.1, 0.0001))</f>
        <v>0.1</v>
      </c>
      <c r="B599" s="417" t="n">
        <f aca="false">B598+pas</f>
        <v>23.5</v>
      </c>
      <c r="C599" s="401"/>
      <c r="D599" s="418" t="n">
        <f aca="false">IF(AND(L598&lt;L_rampe,Poussee&lt;Poids*SIN(M598)),0,(-W598+Poussee)/m*COS(M598)-U598/m*SIN(M598))</f>
        <v>-0.674939117827478</v>
      </c>
      <c r="E599" s="419" t="n">
        <f aca="false">IF(AND(L598&lt;L_rampe,Poussee&lt;Poids*SIN(M598)),0,(-W598+Poussee)/m*SIN(M598)+U598/m*COS(M598)-Poids/m)</f>
        <v>-8.05856424650611</v>
      </c>
      <c r="F599" s="417" t="n">
        <f aca="false">SQRT(acc_x^2+acc_z^2)</f>
        <v>8.08677936683327</v>
      </c>
      <c r="G599" s="418" t="n">
        <f aca="false">G598+acc_x*pas</f>
        <v>23.1594307968592</v>
      </c>
      <c r="H599" s="419" t="n">
        <f aca="false">H598+acc_z*pas</f>
        <v>-61.0786503758592</v>
      </c>
      <c r="I599" s="417" t="n">
        <f aca="false">SQRT(vit_x^2+vit_z^2)</f>
        <v>65.3219776688593</v>
      </c>
      <c r="J599" s="418" t="n">
        <f aca="false">J598+0.5*(vit_x+G598)*pas*(K598&gt;=0)</f>
        <v>684.255452475017</v>
      </c>
      <c r="K599" s="419" t="n">
        <f aca="false">K598+0.5*(vit_z+H598)*pas</f>
        <v>1257.472056924</v>
      </c>
      <c r="L599" s="417" t="n">
        <f aca="false">SQRT(pos_x^2+pos_z^2)</f>
        <v>1431.58705574843</v>
      </c>
      <c r="M599" s="418" t="n">
        <f aca="false">IF(AND(L598&gt;L_rampe,G599&gt;0),ATAN2(G599,H599),$M$4)</f>
        <v>-1.20837136736722</v>
      </c>
      <c r="N599" s="417" t="n">
        <f aca="false">DEGREES(Beta)</f>
        <v>-69.2345794345939</v>
      </c>
      <c r="O599" s="401"/>
      <c r="P599" s="420" t="n">
        <f aca="false">MATCH(t-pas/2-T_ini,CdP_t)</f>
        <v>23</v>
      </c>
      <c r="Q599" s="417" t="n">
        <f aca="false">(INDEX(CdP,2,i_P+1)-INDEX(CdP,2,i_P+0))/(INDEX(CdP,1,i_P+1)-INDEX(CdP,1,i_P+0))*(t-pas/2-T_ini-INDEX(CdP,1,i_P+0))+INDEX(CdP,2,i_P+0)</f>
        <v>0</v>
      </c>
      <c r="R599" s="418" t="n">
        <f aca="false">Poussee/(g*ISP)</f>
        <v>0</v>
      </c>
      <c r="S599" s="419" t="n">
        <f aca="false">S598-Débit*pas</f>
        <v>7.37799999999998</v>
      </c>
      <c r="T599" s="417" t="n">
        <f aca="false">m*g</f>
        <v>72.3781799999998</v>
      </c>
      <c r="U599" s="421" t="n">
        <f aca="false">IF(pos_xz&lt;L_rampe,Poids*COS(Beta),0)</f>
        <v>0</v>
      </c>
      <c r="V599" s="418" t="n">
        <f aca="false">Rho_moyen*(20000-Alt_rampe-pos_z)/(20000+Alt_rampe+pos_z)</f>
        <v>1.08007182927425</v>
      </c>
      <c r="W599" s="417" t="n">
        <f aca="false">1/2*Rho*Sref*Cx*vit_xz^2</f>
        <v>14.1712121822134</v>
      </c>
      <c r="X599" s="401"/>
      <c r="Y599" s="422" t="str">
        <f aca="false">IF(AND(pos_z&lt;=0,K598&gt;0),"Impact balistique","") &amp; IF(AND(H600&lt;0,vit_z&gt;=0),"Apogée","") &amp; IF(AND(Poussee=0,Q598&gt;0),"Fin de propulsion","") &amp; IF(AND(L600&gt;L_rampe,pos_xz&lt;=L_rampe),"Sortie de rampe","")</f>
        <v/>
      </c>
      <c r="Z599" s="423" t="str">
        <f aca="false">IF(ABS(t-T_para)&lt;pas/2,"Para","")</f>
        <v/>
      </c>
      <c r="AA599" s="424" t="str">
        <f aca="false">IF(ABS(t-T_satellite)&lt;pas/2,"Satellite","")</f>
        <v/>
      </c>
      <c r="AB599" s="412"/>
      <c r="AC599" s="420" t="e">
        <f aca="false">IF(ABS(t-ROUND(t,0))&lt;0.001,t,NA())</f>
        <v>#N/A</v>
      </c>
      <c r="AD599" s="425" t="e">
        <f aca="false">IF(ABS(t-ROUND(t,0))&lt;0.001,pos_x,NA())</f>
        <v>#N/A</v>
      </c>
      <c r="AE599" s="426" t="e">
        <f aca="false">IF(t&lt;T_para, pos_z, NA())</f>
        <v>#N/A</v>
      </c>
      <c r="AF599" s="412"/>
      <c r="AG599" s="418" t="n">
        <f aca="false">IF(AND(L598&lt;L_rampe,Poussee&lt;Poids*SIN(M598)),0,(-W598+Poussee)/m-Poids*SIN(M598)/m)</f>
        <v>7.27684021083909</v>
      </c>
      <c r="AH599" s="417" t="n">
        <f aca="false">IF(AND(L598&lt;L_rampe,Poussee&lt;Poids*SIN(M598)), g*SIN(M598), (-W598+Poussee)/m)</f>
        <v>-1.87698428639945</v>
      </c>
    </row>
    <row r="600" customFormat="false" ht="12" hidden="false" customHeight="false" outlineLevel="0" collapsed="false">
      <c r="A600" s="416" t="n">
        <f aca="false">IF(B599+0.01&lt;=T_ini+ROUNDUP(Temps_fin_propu,0), 0.01, IF(K599&gt;0, 0.1, 0.0001))</f>
        <v>0.1</v>
      </c>
      <c r="B600" s="417" t="n">
        <f aca="false">B599+pas</f>
        <v>23.6</v>
      </c>
      <c r="C600" s="401"/>
      <c r="D600" s="418" t="n">
        <f aca="false">IF(AND(L599&lt;L_rampe,Poussee&lt;Poids*SIN(M599)),0,(-W599+Poussee)/m*COS(M599)-U599/m*SIN(M599))</f>
        <v>-0.680983997044033</v>
      </c>
      <c r="E600" s="419" t="n">
        <f aca="false">IF(AND(L599&lt;L_rampe,Poussee&lt;Poids*SIN(M599)),0,(-W599+Poussee)/m*SIN(M599)+U599/m*COS(M599)-Poids/m)</f>
        <v>-8.01403256747362</v>
      </c>
      <c r="F600" s="417" t="n">
        <f aca="false">SQRT(acc_x^2+acc_z^2)</f>
        <v>8.04291347689119</v>
      </c>
      <c r="G600" s="418" t="n">
        <f aca="false">G599+acc_x*pas</f>
        <v>23.0913323971548</v>
      </c>
      <c r="H600" s="419" t="n">
        <f aca="false">H599+acc_z*pas</f>
        <v>-61.8800536326066</v>
      </c>
      <c r="I600" s="417" t="n">
        <f aca="false">SQRT(vit_x^2+vit_z^2)</f>
        <v>66.0480936095067</v>
      </c>
      <c r="J600" s="418" t="n">
        <f aca="false">J599+0.5*(vit_x+G599)*pas*(K599&gt;=0)</f>
        <v>686.567990634717</v>
      </c>
      <c r="K600" s="419" t="n">
        <f aca="false">K599+0.5*(vit_z+H599)*pas</f>
        <v>1251.32412172357</v>
      </c>
      <c r="L600" s="417" t="n">
        <f aca="false">SQRT(pos_x^2+pos_z^2)</f>
        <v>1427.30083141973</v>
      </c>
      <c r="M600" s="418" t="n">
        <f aca="false">IF(AND(L599&gt;L_rampe,G600&gt;0),ATAN2(G600,H600),$M$4)</f>
        <v>-1.21363734832375</v>
      </c>
      <c r="N600" s="417" t="n">
        <f aca="false">DEGREES(Beta)</f>
        <v>-69.5362979183996</v>
      </c>
      <c r="O600" s="401"/>
      <c r="P600" s="420" t="n">
        <f aca="false">MATCH(t-pas/2-T_ini,CdP_t)</f>
        <v>23</v>
      </c>
      <c r="Q600" s="417" t="n">
        <f aca="false">(INDEX(CdP,2,i_P+1)-INDEX(CdP,2,i_P+0))/(INDEX(CdP,1,i_P+1)-INDEX(CdP,1,i_P+0))*(t-pas/2-T_ini-INDEX(CdP,1,i_P+0))+INDEX(CdP,2,i_P+0)</f>
        <v>0</v>
      </c>
      <c r="R600" s="418" t="n">
        <f aca="false">Poussee/(g*ISP)</f>
        <v>0</v>
      </c>
      <c r="S600" s="419" t="n">
        <f aca="false">S599-Débit*pas</f>
        <v>7.37799999999998</v>
      </c>
      <c r="T600" s="417" t="n">
        <f aca="false">m*g</f>
        <v>72.3781799999998</v>
      </c>
      <c r="U600" s="421" t="n">
        <f aca="false">IF(pos_xz&lt;L_rampe,Poids*COS(Beta),0)</f>
        <v>0</v>
      </c>
      <c r="V600" s="418" t="n">
        <f aca="false">Rho_moyen*(20000-Alt_rampe-pos_z)/(20000+Alt_rampe+pos_z)</f>
        <v>1.08073867865067</v>
      </c>
      <c r="W600" s="417" t="n">
        <f aca="false">1/2*Rho*Sref*Cx*vit_xz^2</f>
        <v>14.496961332055</v>
      </c>
      <c r="X600" s="401"/>
      <c r="Y600" s="422" t="str">
        <f aca="false">IF(AND(pos_z&lt;=0,K599&gt;0),"Impact balistique","") &amp; IF(AND(H601&lt;0,vit_z&gt;=0),"Apogée","") &amp; IF(AND(Poussee=0,Q599&gt;0),"Fin de propulsion","") &amp; IF(AND(L601&gt;L_rampe,pos_xz&lt;=L_rampe),"Sortie de rampe","")</f>
        <v/>
      </c>
      <c r="Z600" s="423" t="str">
        <f aca="false">IF(ABS(t-T_para)&lt;pas/2,"Para","")</f>
        <v/>
      </c>
      <c r="AA600" s="424" t="str">
        <f aca="false">IF(ABS(t-T_satellite)&lt;pas/2,"Satellite","")</f>
        <v/>
      </c>
      <c r="AB600" s="412"/>
      <c r="AC600" s="420" t="e">
        <f aca="false">IF(ABS(t-ROUND(t,0))&lt;0.001,t,NA())</f>
        <v>#N/A</v>
      </c>
      <c r="AD600" s="425" t="e">
        <f aca="false">IF(ABS(t-ROUND(t,0))&lt;0.001,pos_x,NA())</f>
        <v>#N/A</v>
      </c>
      <c r="AE600" s="426" t="e">
        <f aca="false">IF(t&lt;T_para, pos_z, NA())</f>
        <v>#N/A</v>
      </c>
      <c r="AF600" s="412"/>
      <c r="AG600" s="418" t="n">
        <f aca="false">IF(AND(L599&lt;L_rampe,Poussee&lt;Poids*SIN(M599)),0,(-W599+Poussee)/m-Poids*SIN(M599)/m)</f>
        <v>7.25200167602998</v>
      </c>
      <c r="AH600" s="417" t="n">
        <f aca="false">IF(AND(L599&lt;L_rampe,Poussee&lt;Poids*SIN(M599)), g*SIN(M599), (-W599+Poussee)/m)</f>
        <v>-1.92073897834284</v>
      </c>
    </row>
    <row r="601" customFormat="false" ht="12" hidden="false" customHeight="false" outlineLevel="0" collapsed="false">
      <c r="A601" s="416" t="n">
        <f aca="false">IF(B600+0.01&lt;=T_ini+ROUNDUP(Temps_fin_propu,0), 0.01, IF(K600&gt;0, 0.1, 0.0001))</f>
        <v>0.1</v>
      </c>
      <c r="B601" s="417" t="n">
        <f aca="false">B600+pas</f>
        <v>23.7</v>
      </c>
      <c r="C601" s="401"/>
      <c r="D601" s="418" t="n">
        <f aca="false">IF(AND(L600&lt;L_rampe,Poussee&lt;Poids*SIN(M600)),0,(-W600+Poussee)/m*COS(M600)-U600/m*SIN(M600))</f>
        <v>-0.686953017843555</v>
      </c>
      <c r="E601" s="419" t="n">
        <f aca="false">IF(AND(L600&lt;L_rampe,Poussee&lt;Poids*SIN(M600)),0,(-W600+Poussee)/m*SIN(M600)+U600/m*COS(M600)-Poids/m)</f>
        <v>-7.96910624574969</v>
      </c>
      <c r="F601" s="417" t="n">
        <f aca="false">SQRT(acc_x^2+acc_z^2)</f>
        <v>7.99865981304187</v>
      </c>
      <c r="G601" s="418" t="n">
        <f aca="false">G600+acc_x*pas</f>
        <v>23.0226370953704</v>
      </c>
      <c r="H601" s="419" t="n">
        <f aca="false">H600+acc_z*pas</f>
        <v>-62.6769642571816</v>
      </c>
      <c r="I601" s="417" t="n">
        <f aca="false">SQRT(vit_x^2+vit_z^2)</f>
        <v>66.7715782898767</v>
      </c>
      <c r="J601" s="418" t="n">
        <f aca="false">J600+0.5*(vit_x+G600)*pas*(K600&gt;=0)</f>
        <v>688.873689109344</v>
      </c>
      <c r="K601" s="419" t="n">
        <f aca="false">K600+0.5*(vit_z+H600)*pas</f>
        <v>1245.09627082908</v>
      </c>
      <c r="L601" s="417" t="n">
        <f aca="false">SQRT(pos_x^2+pos_z^2)</f>
        <v>1422.95877775135</v>
      </c>
      <c r="M601" s="418" t="n">
        <f aca="false">IF(AND(L600&gt;L_rampe,G601&gt;0),ATAN2(G601,H601),$M$4)</f>
        <v>-1.2187738564722</v>
      </c>
      <c r="N601" s="417" t="n">
        <f aca="false">DEGREES(Beta)</f>
        <v>-69.8305981567402</v>
      </c>
      <c r="O601" s="401"/>
      <c r="P601" s="420" t="n">
        <f aca="false">MATCH(t-pas/2-T_ini,CdP_t)</f>
        <v>23</v>
      </c>
      <c r="Q601" s="417" t="n">
        <f aca="false">(INDEX(CdP,2,i_P+1)-INDEX(CdP,2,i_P+0))/(INDEX(CdP,1,i_P+1)-INDEX(CdP,1,i_P+0))*(t-pas/2-T_ini-INDEX(CdP,1,i_P+0))+INDEX(CdP,2,i_P+0)</f>
        <v>0</v>
      </c>
      <c r="R601" s="418" t="n">
        <f aca="false">Poussee/(g*ISP)</f>
        <v>0</v>
      </c>
      <c r="S601" s="419" t="n">
        <f aca="false">S600-Débit*pas</f>
        <v>7.37799999999998</v>
      </c>
      <c r="T601" s="417" t="n">
        <f aca="false">m*g</f>
        <v>72.3781799999998</v>
      </c>
      <c r="U601" s="421" t="n">
        <f aca="false">IF(pos_xz&lt;L_rampe,Poids*COS(Beta),0)</f>
        <v>0</v>
      </c>
      <c r="V601" s="418" t="n">
        <f aca="false">Rho_moyen*(20000-Alt_rampe-pos_z)/(20000+Alt_rampe+pos_z)</f>
        <v>1.0814145897649</v>
      </c>
      <c r="W601" s="417" t="n">
        <f aca="false">1/2*Rho*Sref*Cx*vit_xz^2</f>
        <v>14.8255638769516</v>
      </c>
      <c r="X601" s="401"/>
      <c r="Y601" s="422" t="str">
        <f aca="false">IF(AND(pos_z&lt;=0,K600&gt;0),"Impact balistique","") &amp; IF(AND(H602&lt;0,vit_z&gt;=0),"Apogée","") &amp; IF(AND(Poussee=0,Q600&gt;0),"Fin de propulsion","") &amp; IF(AND(L602&gt;L_rampe,pos_xz&lt;=L_rampe),"Sortie de rampe","")</f>
        <v/>
      </c>
      <c r="Z601" s="423" t="str">
        <f aca="false">IF(ABS(t-T_para)&lt;pas/2,"Para","")</f>
        <v/>
      </c>
      <c r="AA601" s="424" t="str">
        <f aca="false">IF(ABS(t-T_satellite)&lt;pas/2,"Satellite","")</f>
        <v/>
      </c>
      <c r="AB601" s="412"/>
      <c r="AC601" s="420" t="e">
        <f aca="false">IF(ABS(t-ROUND(t,0))&lt;0.001,t,NA())</f>
        <v>#N/A</v>
      </c>
      <c r="AD601" s="425" t="e">
        <f aca="false">IF(ABS(t-ROUND(t,0))&lt;0.001,pos_x,NA())</f>
        <v>#N/A</v>
      </c>
      <c r="AE601" s="426" t="e">
        <f aca="false">IF(t&lt;T_para, pos_z, NA())</f>
        <v>#N/A</v>
      </c>
      <c r="AF601" s="412"/>
      <c r="AG601" s="418" t="n">
        <f aca="false">IF(AND(L600&lt;L_rampe,Poussee&lt;Poids*SIN(M600)),0,(-W600+Poussee)/m-Poids*SIN(M600)/m)</f>
        <v>7.22603841128854</v>
      </c>
      <c r="AH601" s="417" t="n">
        <f aca="false">IF(AND(L600&lt;L_rampe,Poussee&lt;Poids*SIN(M600)), g*SIN(M600), (-W600+Poussee)/m)</f>
        <v>-1.96489039469437</v>
      </c>
    </row>
    <row r="602" customFormat="false" ht="12" hidden="false" customHeight="false" outlineLevel="0" collapsed="false">
      <c r="A602" s="416" t="n">
        <f aca="false">IF(B601+0.01&lt;=T_ini+ROUNDUP(Temps_fin_propu,0), 0.01, IF(K601&gt;0, 0.1, 0.0001))</f>
        <v>0.1</v>
      </c>
      <c r="B602" s="417" t="n">
        <f aca="false">B601+pas</f>
        <v>23.8</v>
      </c>
      <c r="C602" s="401"/>
      <c r="D602" s="418" t="n">
        <f aca="false">IF(AND(L601&lt;L_rampe,Poussee&lt;Poids*SIN(M601)),0,(-W601+Poussee)/m*COS(M601)-U601/m*SIN(M601))</f>
        <v>-0.692844853603182</v>
      </c>
      <c r="E602" s="419" t="n">
        <f aca="false">IF(AND(L601&lt;L_rampe,Poussee&lt;Poids*SIN(M601)),0,(-W601+Poussee)/m*SIN(M601)+U601/m*COS(M601)-Poids/m)</f>
        <v>-7.92379504679804</v>
      </c>
      <c r="F602" s="417" t="n">
        <f aca="false">SQRT(acc_x^2+acc_z^2)</f>
        <v>7.95402803206184</v>
      </c>
      <c r="G602" s="418" t="n">
        <f aca="false">G601+acc_x*pas</f>
        <v>22.9533526100101</v>
      </c>
      <c r="H602" s="419" t="n">
        <f aca="false">H601+acc_z*pas</f>
        <v>-63.4693437618614</v>
      </c>
      <c r="I602" s="417" t="n">
        <f aca="false">SQRT(vit_x^2+vit_z^2)</f>
        <v>67.4923254422367</v>
      </c>
      <c r="J602" s="418" t="n">
        <f aca="false">J601+0.5*(vit_x+G601)*pas*(K601&gt;=0)</f>
        <v>691.172488594613</v>
      </c>
      <c r="K602" s="419" t="n">
        <f aca="false">K601+0.5*(vit_z+H601)*pas</f>
        <v>1238.78895542813</v>
      </c>
      <c r="L602" s="417" t="n">
        <f aca="false">SQRT(pos_x^2+pos_z^2)</f>
        <v>1418.56176639609</v>
      </c>
      <c r="M602" s="418" t="n">
        <f aca="false">IF(AND(L601&gt;L_rampe,G602&gt;0),ATAN2(G602,H602),$M$4)</f>
        <v>-1.22378549638547</v>
      </c>
      <c r="N602" s="417" t="n">
        <f aca="false">DEGREES(Beta)</f>
        <v>-70.1177439722097</v>
      </c>
      <c r="O602" s="401"/>
      <c r="P602" s="420" t="n">
        <f aca="false">MATCH(t-pas/2-T_ini,CdP_t)</f>
        <v>23</v>
      </c>
      <c r="Q602" s="417" t="n">
        <f aca="false">(INDEX(CdP,2,i_P+1)-INDEX(CdP,2,i_P+0))/(INDEX(CdP,1,i_P+1)-INDEX(CdP,1,i_P+0))*(t-pas/2-T_ini-INDEX(CdP,1,i_P+0))+INDEX(CdP,2,i_P+0)</f>
        <v>0</v>
      </c>
      <c r="R602" s="418" t="n">
        <f aca="false">Poussee/(g*ISP)</f>
        <v>0</v>
      </c>
      <c r="S602" s="419" t="n">
        <f aca="false">S601-Débit*pas</f>
        <v>7.37799999999998</v>
      </c>
      <c r="T602" s="417" t="n">
        <f aca="false">m*g</f>
        <v>72.3781799999998</v>
      </c>
      <c r="U602" s="421" t="n">
        <f aca="false">IF(pos_xz&lt;L_rampe,Poids*COS(Beta),0)</f>
        <v>0</v>
      </c>
      <c r="V602" s="418" t="n">
        <f aca="false">Rho_moyen*(20000-Alt_rampe-pos_z)/(20000+Alt_rampe+pos_z)</f>
        <v>1.08209952920723</v>
      </c>
      <c r="W602" s="417" t="n">
        <f aca="false">1/2*Rho*Sref*Cx*vit_xz^2</f>
        <v>15.1569460301902</v>
      </c>
      <c r="X602" s="401"/>
      <c r="Y602" s="422" t="str">
        <f aca="false">IF(AND(pos_z&lt;=0,K601&gt;0),"Impact balistique","") &amp; IF(AND(H603&lt;0,vit_z&gt;=0),"Apogée","") &amp; IF(AND(Poussee=0,Q601&gt;0),"Fin de propulsion","") &amp; IF(AND(L603&gt;L_rampe,pos_xz&lt;=L_rampe),"Sortie de rampe","")</f>
        <v/>
      </c>
      <c r="Z602" s="423" t="str">
        <f aca="false">IF(ABS(t-T_para)&lt;pas/2,"Para","")</f>
        <v/>
      </c>
      <c r="AA602" s="424" t="str">
        <f aca="false">IF(ABS(t-T_satellite)&lt;pas/2,"Satellite","")</f>
        <v/>
      </c>
      <c r="AB602" s="412"/>
      <c r="AC602" s="420" t="e">
        <f aca="false">IF(ABS(t-ROUND(t,0))&lt;0.001,t,NA())</f>
        <v>#N/A</v>
      </c>
      <c r="AD602" s="425" t="e">
        <f aca="false">IF(ABS(t-ROUND(t,0))&lt;0.001,pos_x,NA())</f>
        <v>#N/A</v>
      </c>
      <c r="AE602" s="426" t="e">
        <f aca="false">IF(t&lt;T_para, pos_z, NA())</f>
        <v>#N/A</v>
      </c>
      <c r="AF602" s="412"/>
      <c r="AG602" s="418" t="n">
        <f aca="false">IF(AND(L601&lt;L_rampe,Poussee&lt;Poids*SIN(M601)),0,(-W601+Poussee)/m-Poids*SIN(M601)/m)</f>
        <v>7.19899567469666</v>
      </c>
      <c r="AH602" s="417" t="n">
        <f aca="false">IF(AND(L601&lt;L_rampe,Poussee&lt;Poids*SIN(M601)), g*SIN(M601), (-W601+Poussee)/m)</f>
        <v>-2.00942855475083</v>
      </c>
    </row>
    <row r="603" customFormat="false" ht="12" hidden="false" customHeight="false" outlineLevel="0" collapsed="false">
      <c r="A603" s="416" t="n">
        <f aca="false">IF(B602+0.01&lt;=T_ini+ROUNDUP(Temps_fin_propu,0), 0.01, IF(K602&gt;0, 0.1, 0.0001))</f>
        <v>0.1</v>
      </c>
      <c r="B603" s="417" t="n">
        <f aca="false">B602+pas</f>
        <v>23.9</v>
      </c>
      <c r="C603" s="401"/>
      <c r="D603" s="418" t="n">
        <f aca="false">IF(AND(L602&lt;L_rampe,Poussee&lt;Poids*SIN(M602)),0,(-W602+Poussee)/m*COS(M602)-U602/m*SIN(M602))</f>
        <v>-0.698658246777571</v>
      </c>
      <c r="E603" s="419" t="n">
        <f aca="false">IF(AND(L602&lt;L_rampe,Poussee&lt;Poids*SIN(M602)),0,(-W602+Poussee)/m*SIN(M602)+U602/m*COS(M602)-Poids/m)</f>
        <v>-7.87810877738851</v>
      </c>
      <c r="F603" s="417" t="n">
        <f aca="false">SQRT(acc_x^2+acc_z^2)</f>
        <v>7.90902783243024</v>
      </c>
      <c r="G603" s="418" t="n">
        <f aca="false">G602+acc_x*pas</f>
        <v>22.8834867853323</v>
      </c>
      <c r="H603" s="419" t="n">
        <f aca="false">H602+acc_z*pas</f>
        <v>-64.2571546396002</v>
      </c>
      <c r="I603" s="417" t="n">
        <f aca="false">SQRT(vit_x^2+vit_z^2)</f>
        <v>68.2102330287177</v>
      </c>
      <c r="J603" s="418" t="n">
        <f aca="false">J602+0.5*(vit_x+G602)*pas*(K602&gt;=0)</f>
        <v>693.46433056438</v>
      </c>
      <c r="K603" s="419" t="n">
        <f aca="false">K602+0.5*(vit_z+H602)*pas</f>
        <v>1232.40263050806</v>
      </c>
      <c r="L603" s="417" t="n">
        <f aca="false">SQRT(pos_x^2+pos_z^2)</f>
        <v>1414.11068217742</v>
      </c>
      <c r="M603" s="418" t="n">
        <f aca="false">IF(AND(L602&gt;L_rampe,G603&gt;0),ATAN2(G603,H603),$M$4)</f>
        <v>-1.22867666846399</v>
      </c>
      <c r="N603" s="417" t="n">
        <f aca="false">DEGREES(Beta)</f>
        <v>-70.3979874891814</v>
      </c>
      <c r="O603" s="401"/>
      <c r="P603" s="420" t="n">
        <f aca="false">MATCH(t-pas/2-T_ini,CdP_t)</f>
        <v>23</v>
      </c>
      <c r="Q603" s="417" t="n">
        <f aca="false">(INDEX(CdP,2,i_P+1)-INDEX(CdP,2,i_P+0))/(INDEX(CdP,1,i_P+1)-INDEX(CdP,1,i_P+0))*(t-pas/2-T_ini-INDEX(CdP,1,i_P+0))+INDEX(CdP,2,i_P+0)</f>
        <v>0</v>
      </c>
      <c r="R603" s="418" t="n">
        <f aca="false">Poussee/(g*ISP)</f>
        <v>0</v>
      </c>
      <c r="S603" s="419" t="n">
        <f aca="false">S602-Débit*pas</f>
        <v>7.37799999999998</v>
      </c>
      <c r="T603" s="417" t="n">
        <f aca="false">m*g</f>
        <v>72.3781799999998</v>
      </c>
      <c r="U603" s="421" t="n">
        <f aca="false">IF(pos_xz&lt;L_rampe,Poids*COS(Beta),0)</f>
        <v>0</v>
      </c>
      <c r="V603" s="418" t="n">
        <f aca="false">Rho_moyen*(20000-Alt_rampe-pos_z)/(20000+Alt_rampe+pos_z)</f>
        <v>1.08279346326043</v>
      </c>
      <c r="W603" s="417" t="n">
        <f aca="false">1/2*Rho*Sref*Cx*vit_xz^2</f>
        <v>15.4910338852722</v>
      </c>
      <c r="X603" s="401"/>
      <c r="Y603" s="422" t="str">
        <f aca="false">IF(AND(pos_z&lt;=0,K602&gt;0),"Impact balistique","") &amp; IF(AND(H604&lt;0,vit_z&gt;=0),"Apogée","") &amp; IF(AND(Poussee=0,Q602&gt;0),"Fin de propulsion","") &amp; IF(AND(L604&gt;L_rampe,pos_xz&lt;=L_rampe),"Sortie de rampe","")</f>
        <v/>
      </c>
      <c r="Z603" s="423" t="str">
        <f aca="false">IF(ABS(t-T_para)&lt;pas/2,"Para","")</f>
        <v/>
      </c>
      <c r="AA603" s="424" t="str">
        <f aca="false">IF(ABS(t-T_satellite)&lt;pas/2,"Satellite","")</f>
        <v/>
      </c>
      <c r="AB603" s="412"/>
      <c r="AC603" s="420" t="e">
        <f aca="false">IF(ABS(t-ROUND(t,0))&lt;0.001,t,NA())</f>
        <v>#N/A</v>
      </c>
      <c r="AD603" s="425" t="e">
        <f aca="false">IF(ABS(t-ROUND(t,0))&lt;0.001,pos_x,NA())</f>
        <v>#N/A</v>
      </c>
      <c r="AE603" s="426" t="e">
        <f aca="false">IF(t&lt;T_para, pos_z, NA())</f>
        <v>#N/A</v>
      </c>
      <c r="AF603" s="412"/>
      <c r="AG603" s="418" t="n">
        <f aca="false">IF(AND(L602&lt;L_rampe,Poussee&lt;Poids*SIN(M602)),0,(-W602+Poussee)/m-Poids*SIN(M602)/m)</f>
        <v>7.17091672159745</v>
      </c>
      <c r="AH603" s="417" t="n">
        <f aca="false">IF(AND(L602&lt;L_rampe,Poussee&lt;Poids*SIN(M602)), g*SIN(M602), (-W602+Poussee)/m)</f>
        <v>-2.05434345760236</v>
      </c>
    </row>
    <row r="604" customFormat="false" ht="12" hidden="false" customHeight="false" outlineLevel="0" collapsed="false">
      <c r="A604" s="416" t="n">
        <f aca="false">IF(B603+0.01&lt;=T_ini+ROUNDUP(Temps_fin_propu,0), 0.01, IF(K603&gt;0, 0.1, 0.0001))</f>
        <v>0.1</v>
      </c>
      <c r="B604" s="417" t="n">
        <f aca="false">B603+pas</f>
        <v>24</v>
      </c>
      <c r="C604" s="401"/>
      <c r="D604" s="418" t="n">
        <f aca="false">IF(AND(L603&lt;L_rampe,Poussee&lt;Poids*SIN(M603)),0,(-W603+Poussee)/m*COS(M603)-U603/m*SIN(M603))</f>
        <v>-0.704392006574366</v>
      </c>
      <c r="E604" s="419" t="n">
        <f aca="false">IF(AND(L603&lt;L_rampe,Poussee&lt;Poids*SIN(M603)),0,(-W603+Poussee)/m*SIN(M603)+U603/m*COS(M603)-Poids/m)</f>
        <v>-7.83205728008377</v>
      </c>
      <c r="F604" s="417" t="n">
        <f aca="false">SQRT(acc_x^2+acc_z^2)</f>
        <v>7.86366894887107</v>
      </c>
      <c r="G604" s="418" t="n">
        <f aca="false">G603+acc_x*pas</f>
        <v>22.8130475846749</v>
      </c>
      <c r="H604" s="419" t="n">
        <f aca="false">H603+acc_z*pas</f>
        <v>-65.0403603676086</v>
      </c>
      <c r="I604" s="417" t="n">
        <f aca="false">SQRT(vit_x^2+vit_z^2)</f>
        <v>68.9252030599042</v>
      </c>
      <c r="J604" s="418" t="n">
        <f aca="false">J603+0.5*(vit_x+G603)*pas*(K603&gt;=0)</f>
        <v>695.74915728288</v>
      </c>
      <c r="K604" s="419" t="n">
        <f aca="false">K603+0.5*(vit_z+H603)*pas</f>
        <v>1225.9377547577</v>
      </c>
      <c r="L604" s="417" t="n">
        <f aca="false">SQRT(pos_x^2+pos_z^2)</f>
        <v>1409.60642322607</v>
      </c>
      <c r="M604" s="418" t="n">
        <f aca="false">IF(AND(L603&gt;L_rampe,G604&gt;0),ATAN2(G604,H604),$M$4)</f>
        <v>-1.23345157933445</v>
      </c>
      <c r="N604" s="417" t="n">
        <f aca="false">DEGREES(Beta)</f>
        <v>-70.6715697296101</v>
      </c>
      <c r="O604" s="401"/>
      <c r="P604" s="420" t="n">
        <f aca="false">MATCH(t-pas/2-T_ini,CdP_t)</f>
        <v>23</v>
      </c>
      <c r="Q604" s="417" t="n">
        <f aca="false">(INDEX(CdP,2,i_P+1)-INDEX(CdP,2,i_P+0))/(INDEX(CdP,1,i_P+1)-INDEX(CdP,1,i_P+0))*(t-pas/2-T_ini-INDEX(CdP,1,i_P+0))+INDEX(CdP,2,i_P+0)</f>
        <v>0</v>
      </c>
      <c r="R604" s="418" t="n">
        <f aca="false">Poussee/(g*ISP)</f>
        <v>0</v>
      </c>
      <c r="S604" s="419" t="n">
        <f aca="false">S603-Débit*pas</f>
        <v>7.37799999999998</v>
      </c>
      <c r="T604" s="417" t="n">
        <f aca="false">m*g</f>
        <v>72.3781799999998</v>
      </c>
      <c r="U604" s="421" t="n">
        <f aca="false">IF(pos_xz&lt;L_rampe,Poids*COS(Beta),0)</f>
        <v>0</v>
      </c>
      <c r="V604" s="418" t="n">
        <f aca="false">Rho_moyen*(20000-Alt_rampe-pos_z)/(20000+Alt_rampe+pos_z)</f>
        <v>1.08349635790611</v>
      </c>
      <c r="W604" s="417" t="n">
        <f aca="false">1/2*Rho*Sref*Cx*vit_xz^2</f>
        <v>15.8277534450087</v>
      </c>
      <c r="X604" s="401"/>
      <c r="Y604" s="422" t="str">
        <f aca="false">IF(AND(pos_z&lt;=0,K603&gt;0),"Impact balistique","") &amp; IF(AND(H605&lt;0,vit_z&gt;=0),"Apogée","") &amp; IF(AND(Poussee=0,Q603&gt;0),"Fin de propulsion","") &amp; IF(AND(L605&gt;L_rampe,pos_xz&lt;=L_rampe),"Sortie de rampe","")</f>
        <v/>
      </c>
      <c r="Z604" s="423" t="str">
        <f aca="false">IF(ABS(t-T_para)&lt;pas/2,"Para","")</f>
        <v/>
      </c>
      <c r="AA604" s="424" t="str">
        <f aca="false">IF(ABS(t-T_satellite)&lt;pas/2,"Satellite","")</f>
        <v/>
      </c>
      <c r="AB604" s="412"/>
      <c r="AC604" s="420" t="n">
        <f aca="false">IF(ABS(t-ROUND(t,0))&lt;0.001,t,NA())</f>
        <v>24</v>
      </c>
      <c r="AD604" s="425" t="n">
        <f aca="false">IF(ABS(t-ROUND(t,0))&lt;0.001,pos_x,NA())</f>
        <v>695.74915728288</v>
      </c>
      <c r="AE604" s="426" t="e">
        <f aca="false">IF(t&lt;T_para, pos_z, NA())</f>
        <v>#N/A</v>
      </c>
      <c r="AF604" s="412"/>
      <c r="AG604" s="418" t="n">
        <f aca="false">IF(AND(L603&lt;L_rampe,Poussee&lt;Poids*SIN(M603)),0,(-W603+Poussee)/m-Poids*SIN(M603)/m)</f>
        <v>7.1418429315923</v>
      </c>
      <c r="AH604" s="417" t="n">
        <f aca="false">IF(AND(L603&lt;L_rampe,Poussee&lt;Poids*SIN(M603)), g*SIN(M603), (-W603+Poussee)/m)</f>
        <v>-2.09962508610358</v>
      </c>
    </row>
    <row r="605" customFormat="false" ht="12" hidden="false" customHeight="false" outlineLevel="0" collapsed="false">
      <c r="A605" s="416" t="n">
        <f aca="false">IF(B604+0.01&lt;=T_ini+ROUNDUP(Temps_fin_propu,0), 0.01, IF(K604&gt;0, 0.1, 0.0001))</f>
        <v>0.1</v>
      </c>
      <c r="B605" s="417" t="n">
        <f aca="false">B604+pas</f>
        <v>24.1</v>
      </c>
      <c r="C605" s="401"/>
      <c r="D605" s="418" t="n">
        <f aca="false">IF(AND(L604&lt;L_rampe,Poussee&lt;Poids*SIN(M604)),0,(-W604+Poussee)/m*COS(M604)-U604/m*SIN(M604))</f>
        <v>-0.71004500676042</v>
      </c>
      <c r="E605" s="419" t="n">
        <f aca="false">IF(AND(L604&lt;L_rampe,Poussee&lt;Poids*SIN(M604)),0,(-W604+Poussee)/m*SIN(M604)+U604/m*COS(M604)-Poids/m)</f>
        <v>-7.78565042787435</v>
      </c>
      <c r="F605" s="417" t="n">
        <f aca="false">SQRT(acc_x^2+acc_z^2)</f>
        <v>7.81796114704374</v>
      </c>
      <c r="G605" s="418" t="n">
        <f aca="false">G604+acc_x*pas</f>
        <v>22.7420430839989</v>
      </c>
      <c r="H605" s="419" t="n">
        <f aca="false">H604+acc_z*pas</f>
        <v>-65.818925410396</v>
      </c>
      <c r="I605" s="417" t="n">
        <f aca="false">SQRT(vit_x^2+vit_z^2)</f>
        <v>69.6371414247723</v>
      </c>
      <c r="J605" s="418" t="n">
        <f aca="false">J604+0.5*(vit_x+G604)*pas*(K604&gt;=0)</f>
        <v>698.026911816314</v>
      </c>
      <c r="K605" s="419" t="n">
        <f aca="false">K604+0.5*(vit_z+H604)*pas</f>
        <v>1219.3947904688</v>
      </c>
      <c r="L605" s="417" t="n">
        <f aca="false">SQRT(pos_x^2+pos_z^2)</f>
        <v>1405.04990112176</v>
      </c>
      <c r="M605" s="418" t="n">
        <f aca="false">IF(AND(L604&gt;L_rampe,G605&gt;0),ATAN2(G605,H605),$M$4)</f>
        <v>-1.23811425168049</v>
      </c>
      <c r="N605" s="417" t="n">
        <f aca="false">DEGREES(Beta)</f>
        <v>-70.9387211762901</v>
      </c>
      <c r="O605" s="401"/>
      <c r="P605" s="420" t="n">
        <f aca="false">MATCH(t-pas/2-T_ini,CdP_t)</f>
        <v>23</v>
      </c>
      <c r="Q605" s="417" t="n">
        <f aca="false">(INDEX(CdP,2,i_P+1)-INDEX(CdP,2,i_P+0))/(INDEX(CdP,1,i_P+1)-INDEX(CdP,1,i_P+0))*(t-pas/2-T_ini-INDEX(CdP,1,i_P+0))+INDEX(CdP,2,i_P+0)</f>
        <v>0</v>
      </c>
      <c r="R605" s="418" t="n">
        <f aca="false">Poussee/(g*ISP)</f>
        <v>0</v>
      </c>
      <c r="S605" s="419" t="n">
        <f aca="false">S604-Débit*pas</f>
        <v>7.37799999999998</v>
      </c>
      <c r="T605" s="417" t="n">
        <f aca="false">m*g</f>
        <v>72.3781799999998</v>
      </c>
      <c r="U605" s="421" t="n">
        <f aca="false">IF(pos_xz&lt;L_rampe,Poids*COS(Beta),0)</f>
        <v>0</v>
      </c>
      <c r="V605" s="418" t="n">
        <f aca="false">Rho_moyen*(20000-Alt_rampe-pos_z)/(20000+Alt_rampe+pos_z)</f>
        <v>1.08420817883126</v>
      </c>
      <c r="W605" s="417" t="n">
        <f aca="false">1/2*Rho*Sref*Cx*vit_xz^2</f>
        <v>16.1670306503907</v>
      </c>
      <c r="X605" s="401"/>
      <c r="Y605" s="422" t="str">
        <f aca="false">IF(AND(pos_z&lt;=0,K604&gt;0),"Impact balistique","") &amp; IF(AND(H606&lt;0,vit_z&gt;=0),"Apogée","") &amp; IF(AND(Poussee=0,Q604&gt;0),"Fin de propulsion","") &amp; IF(AND(L606&gt;L_rampe,pos_xz&lt;=L_rampe),"Sortie de rampe","")</f>
        <v/>
      </c>
      <c r="Z605" s="423" t="str">
        <f aca="false">IF(ABS(t-T_para)&lt;pas/2,"Para","")</f>
        <v/>
      </c>
      <c r="AA605" s="424" t="str">
        <f aca="false">IF(ABS(t-T_satellite)&lt;pas/2,"Satellite","")</f>
        <v/>
      </c>
      <c r="AB605" s="412"/>
      <c r="AC605" s="420" t="e">
        <f aca="false">IF(ABS(t-ROUND(t,0))&lt;0.001,t,NA())</f>
        <v>#N/A</v>
      </c>
      <c r="AD605" s="425" t="e">
        <f aca="false">IF(ABS(t-ROUND(t,0))&lt;0.001,pos_x,NA())</f>
        <v>#N/A</v>
      </c>
      <c r="AE605" s="426" t="e">
        <f aca="false">IF(t&lt;T_para, pos_z, NA())</f>
        <v>#N/A</v>
      </c>
      <c r="AF605" s="412"/>
      <c r="AG605" s="418" t="n">
        <f aca="false">IF(AND(L604&lt;L_rampe,Poussee&lt;Poids*SIN(M604)),0,(-W604+Poussee)/m-Poids*SIN(M604)/m)</f>
        <v>7.11181392636101</v>
      </c>
      <c r="AH605" s="417" t="n">
        <f aca="false">IF(AND(L604&lt;L_rampe,Poussee&lt;Poids*SIN(M604)), g*SIN(M604), (-W604+Poussee)/m)</f>
        <v>-2.14526341081712</v>
      </c>
    </row>
    <row r="606" customFormat="false" ht="12" hidden="false" customHeight="false" outlineLevel="0" collapsed="false">
      <c r="A606" s="416" t="n">
        <f aca="false">IF(B605+0.01&lt;=T_ini+ROUNDUP(Temps_fin_propu,0), 0.01, IF(K605&gt;0, 0.1, 0.0001))</f>
        <v>0.1</v>
      </c>
      <c r="B606" s="417" t="n">
        <f aca="false">B605+pas</f>
        <v>24.2</v>
      </c>
      <c r="C606" s="401"/>
      <c r="D606" s="418" t="n">
        <f aca="false">IF(AND(L605&lt;L_rampe,Poussee&lt;Poids*SIN(M605)),0,(-W605+Poussee)/m*COS(M605)-U605/m*SIN(M605))</f>
        <v>-0.715616183588713</v>
      </c>
      <c r="E606" s="419" t="n">
        <f aca="false">IF(AND(L605&lt;L_rampe,Poussee&lt;Poids*SIN(M605)),0,(-W605+Poussee)/m*SIN(M605)+U605/m*COS(M605)-Poids/m)</f>
        <v>-7.73889811895407</v>
      </c>
      <c r="F606" s="417" t="n">
        <f aca="false">SQRT(acc_x^2+acc_z^2)</f>
        <v>7.77191421837406</v>
      </c>
      <c r="G606" s="418" t="n">
        <f aca="false">G605+acc_x*pas</f>
        <v>22.67048146564</v>
      </c>
      <c r="H606" s="419" t="n">
        <f aca="false">H605+acc_z*pas</f>
        <v>-66.5928152222914</v>
      </c>
      <c r="I606" s="417" t="n">
        <f aca="false">SQRT(vit_x^2+vit_z^2)</f>
        <v>70.3459577311602</v>
      </c>
      <c r="J606" s="418" t="n">
        <f aca="false">J605+0.5*(vit_x+G605)*pas*(K605&gt;=0)</f>
        <v>700.297538043796</v>
      </c>
      <c r="K606" s="419" t="n">
        <f aca="false">K605+0.5*(vit_z+H605)*pas</f>
        <v>1212.77420343716</v>
      </c>
      <c r="L606" s="417" t="n">
        <f aca="false">SQRT(pos_x^2+pos_z^2)</f>
        <v>1400.4420410402</v>
      </c>
      <c r="M606" s="418" t="n">
        <f aca="false">IF(AND(L605&gt;L_rampe,G606&gt;0),ATAN2(G606,H606),$M$4)</f>
        <v>-1.24266853353552</v>
      </c>
      <c r="N606" s="417" t="n">
        <f aca="false">DEGREES(Beta)</f>
        <v>-71.1996623052964</v>
      </c>
      <c r="O606" s="401"/>
      <c r="P606" s="420" t="n">
        <f aca="false">MATCH(t-pas/2-T_ini,CdP_t)</f>
        <v>23</v>
      </c>
      <c r="Q606" s="417" t="n">
        <f aca="false">(INDEX(CdP,2,i_P+1)-INDEX(CdP,2,i_P+0))/(INDEX(CdP,1,i_P+1)-INDEX(CdP,1,i_P+0))*(t-pas/2-T_ini-INDEX(CdP,1,i_P+0))+INDEX(CdP,2,i_P+0)</f>
        <v>0</v>
      </c>
      <c r="R606" s="418" t="n">
        <f aca="false">Poussee/(g*ISP)</f>
        <v>0</v>
      </c>
      <c r="S606" s="419" t="n">
        <f aca="false">S605-Débit*pas</f>
        <v>7.37799999999998</v>
      </c>
      <c r="T606" s="417" t="n">
        <f aca="false">m*g</f>
        <v>72.3781799999998</v>
      </c>
      <c r="U606" s="421" t="n">
        <f aca="false">IF(pos_xz&lt;L_rampe,Poids*COS(Beta),0)</f>
        <v>0</v>
      </c>
      <c r="V606" s="418" t="n">
        <f aca="false">Rho_moyen*(20000-Alt_rampe-pos_z)/(20000+Alt_rampe+pos_z)</f>
        <v>1.08492889143469</v>
      </c>
      <c r="W606" s="417" t="n">
        <f aca="false">1/2*Rho*Sref*Cx*vit_xz^2</f>
        <v>16.5087914092146</v>
      </c>
      <c r="X606" s="401"/>
      <c r="Y606" s="422" t="str">
        <f aca="false">IF(AND(pos_z&lt;=0,K605&gt;0),"Impact balistique","") &amp; IF(AND(H607&lt;0,vit_z&gt;=0),"Apogée","") &amp; IF(AND(Poussee=0,Q605&gt;0),"Fin de propulsion","") &amp; IF(AND(L607&gt;L_rampe,pos_xz&lt;=L_rampe),"Sortie de rampe","")</f>
        <v/>
      </c>
      <c r="Z606" s="423" t="str">
        <f aca="false">IF(ABS(t-T_para)&lt;pas/2,"Para","")</f>
        <v/>
      </c>
      <c r="AA606" s="424" t="str">
        <f aca="false">IF(ABS(t-T_satellite)&lt;pas/2,"Satellite","")</f>
        <v/>
      </c>
      <c r="AB606" s="412"/>
      <c r="AC606" s="420" t="e">
        <f aca="false">IF(ABS(t-ROUND(t,0))&lt;0.001,t,NA())</f>
        <v>#N/A</v>
      </c>
      <c r="AD606" s="425" t="e">
        <f aca="false">IF(ABS(t-ROUND(t,0))&lt;0.001,pos_x,NA())</f>
        <v>#N/A</v>
      </c>
      <c r="AE606" s="426" t="e">
        <f aca="false">IF(t&lt;T_para, pos_z, NA())</f>
        <v>#N/A</v>
      </c>
      <c r="AF606" s="412"/>
      <c r="AG606" s="418" t="n">
        <f aca="false">IF(AND(L605&lt;L_rampe,Poussee&lt;Poids*SIN(M605)),0,(-W605+Poussee)/m-Poids*SIN(M605)/m)</f>
        <v>7.08086767898116</v>
      </c>
      <c r="AH606" s="417" t="n">
        <f aca="false">IF(AND(L605&lt;L_rampe,Poussee&lt;Poids*SIN(M605)), g*SIN(M605), (-W605+Poussee)/m)</f>
        <v>-2.19124839392664</v>
      </c>
    </row>
    <row r="607" customFormat="false" ht="12" hidden="false" customHeight="false" outlineLevel="0" collapsed="false">
      <c r="A607" s="416" t="n">
        <f aca="false">IF(B606+0.01&lt;=T_ini+ROUNDUP(Temps_fin_propu,0), 0.01, IF(K606&gt;0, 0.1, 0.0001))</f>
        <v>0.1</v>
      </c>
      <c r="B607" s="417" t="n">
        <f aca="false">B606+pas</f>
        <v>24.3</v>
      </c>
      <c r="C607" s="401"/>
      <c r="D607" s="418" t="n">
        <f aca="false">IF(AND(L606&lt;L_rampe,Poussee&lt;Poids*SIN(M606)),0,(-W606+Poussee)/m*COS(M606)-U606/m*SIN(M606))</f>
        <v>-0.721104533836682</v>
      </c>
      <c r="E607" s="419" t="n">
        <f aca="false">IF(AND(L606&lt;L_rampe,Poussee&lt;Poids*SIN(M606)),0,(-W606+Poussee)/m*SIN(M606)+U606/m*COS(M606)-Poids/m)</f>
        <v>-7.69181027162904</v>
      </c>
      <c r="F607" s="417" t="n">
        <f aca="false">SQRT(acc_x^2+acc_z^2)</f>
        <v>7.72553797501882</v>
      </c>
      <c r="G607" s="418" t="n">
        <f aca="false">G606+acc_x*pas</f>
        <v>22.5983710122563</v>
      </c>
      <c r="H607" s="419" t="n">
        <f aca="false">H606+acc_z*pas</f>
        <v>-67.3619962494543</v>
      </c>
      <c r="I607" s="417" t="n">
        <f aca="false">SQRT(vit_x^2+vit_z^2)</f>
        <v>71.0515651560125</v>
      </c>
      <c r="J607" s="418" t="n">
        <f aca="false">J606+0.5*(vit_x+G606)*pas*(K606&gt;=0)</f>
        <v>702.56098066769</v>
      </c>
      <c r="K607" s="419" t="n">
        <f aca="false">K606+0.5*(vit_z+H606)*pas</f>
        <v>1206.07646286358</v>
      </c>
      <c r="L607" s="417" t="n">
        <f aca="false">SQRT(pos_x^2+pos_z^2)</f>
        <v>1395.78378190544</v>
      </c>
      <c r="M607" s="418" t="n">
        <f aca="false">IF(AND(L606&gt;L_rampe,G607&gt;0),ATAN2(G607,H607),$M$4)</f>
        <v>-1.24711810706675</v>
      </c>
      <c r="N607" s="417" t="n">
        <f aca="false">DEGREES(Beta)</f>
        <v>-71.4546040892689</v>
      </c>
      <c r="O607" s="401"/>
      <c r="P607" s="420" t="n">
        <f aca="false">MATCH(t-pas/2-T_ini,CdP_t)</f>
        <v>23</v>
      </c>
      <c r="Q607" s="417" t="n">
        <f aca="false">(INDEX(CdP,2,i_P+1)-INDEX(CdP,2,i_P+0))/(INDEX(CdP,1,i_P+1)-INDEX(CdP,1,i_P+0))*(t-pas/2-T_ini-INDEX(CdP,1,i_P+0))+INDEX(CdP,2,i_P+0)</f>
        <v>0</v>
      </c>
      <c r="R607" s="418" t="n">
        <f aca="false">Poussee/(g*ISP)</f>
        <v>0</v>
      </c>
      <c r="S607" s="419" t="n">
        <f aca="false">S606-Débit*pas</f>
        <v>7.37799999999998</v>
      </c>
      <c r="T607" s="417" t="n">
        <f aca="false">m*g</f>
        <v>72.3781799999998</v>
      </c>
      <c r="U607" s="421" t="n">
        <f aca="false">IF(pos_xz&lt;L_rampe,Poids*COS(Beta),0)</f>
        <v>0</v>
      </c>
      <c r="V607" s="418" t="n">
        <f aca="false">Rho_moyen*(20000-Alt_rampe-pos_z)/(20000+Alt_rampe+pos_z)</f>
        <v>1.0856584608336</v>
      </c>
      <c r="W607" s="417" t="n">
        <f aca="false">1/2*Rho*Sref*Cx*vit_xz^2</f>
        <v>16.8529616244428</v>
      </c>
      <c r="X607" s="401"/>
      <c r="Y607" s="422" t="str">
        <f aca="false">IF(AND(pos_z&lt;=0,K606&gt;0),"Impact balistique","") &amp; IF(AND(H608&lt;0,vit_z&gt;=0),"Apogée","") &amp; IF(AND(Poussee=0,Q606&gt;0),"Fin de propulsion","") &amp; IF(AND(L608&gt;L_rampe,pos_xz&lt;=L_rampe),"Sortie de rampe","")</f>
        <v/>
      </c>
      <c r="Z607" s="423" t="str">
        <f aca="false">IF(ABS(t-T_para)&lt;pas/2,"Para","")</f>
        <v/>
      </c>
      <c r="AA607" s="424" t="str">
        <f aca="false">IF(ABS(t-T_satellite)&lt;pas/2,"Satellite","")</f>
        <v/>
      </c>
      <c r="AB607" s="412"/>
      <c r="AC607" s="420" t="e">
        <f aca="false">IF(ABS(t-ROUND(t,0))&lt;0.001,t,NA())</f>
        <v>#N/A</v>
      </c>
      <c r="AD607" s="425" t="e">
        <f aca="false">IF(ABS(t-ROUND(t,0))&lt;0.001,pos_x,NA())</f>
        <v>#N/A</v>
      </c>
      <c r="AE607" s="426" t="e">
        <f aca="false">IF(t&lt;T_para, pos_z, NA())</f>
        <v>#N/A</v>
      </c>
      <c r="AF607" s="412"/>
      <c r="AG607" s="418" t="n">
        <f aca="false">IF(AND(L606&lt;L_rampe,Poussee&lt;Poids*SIN(M606)),0,(-W606+Poussee)/m-Poids*SIN(M606)/m)</f>
        <v>7.04904061537474</v>
      </c>
      <c r="AH607" s="417" t="n">
        <f aca="false">IF(AND(L606&lt;L_rampe,Poussee&lt;Poids*SIN(M606)), g*SIN(M606), (-W606+Poussee)/m)</f>
        <v>-2.23756999311665</v>
      </c>
    </row>
    <row r="608" customFormat="false" ht="12" hidden="false" customHeight="false" outlineLevel="0" collapsed="false">
      <c r="A608" s="416" t="n">
        <f aca="false">IF(B607+0.01&lt;=T_ini+ROUNDUP(Temps_fin_propu,0), 0.01, IF(K607&gt;0, 0.1, 0.0001))</f>
        <v>0.1</v>
      </c>
      <c r="B608" s="417" t="n">
        <f aca="false">B607+pas</f>
        <v>24.4</v>
      </c>
      <c r="C608" s="401"/>
      <c r="D608" s="418" t="n">
        <f aca="false">IF(AND(L607&lt;L_rampe,Poussee&lt;Poids*SIN(M607)),0,(-W607+Poussee)/m*COS(M607)-U607/m*SIN(M607))</f>
        <v>-0.726509112947374</v>
      </c>
      <c r="E608" s="419" t="n">
        <f aca="false">IF(AND(L607&lt;L_rampe,Poussee&lt;Poids*SIN(M607)),0,(-W607+Poussee)/m*SIN(M607)+U607/m*COS(M607)-Poids/m)</f>
        <v>-7.64439681935423</v>
      </c>
      <c r="F608" s="417" t="n">
        <f aca="false">SQRT(acc_x^2+acc_z^2)</f>
        <v>7.67884224495781</v>
      </c>
      <c r="G608" s="418" t="n">
        <f aca="false">G607+acc_x*pas</f>
        <v>22.5257201009616</v>
      </c>
      <c r="H608" s="419" t="n">
        <f aca="false">H607+acc_z*pas</f>
        <v>-68.1264359313898</v>
      </c>
      <c r="I608" s="417" t="n">
        <f aca="false">SQRT(vit_x^2+vit_z^2)</f>
        <v>71.7538803046959</v>
      </c>
      <c r="J608" s="418" t="n">
        <f aca="false">J607+0.5*(vit_x+G607)*pas*(K607&gt;=0)</f>
        <v>704.817185223351</v>
      </c>
      <c r="K608" s="419" t="n">
        <f aca="false">K607+0.5*(vit_z+H607)*pas</f>
        <v>1199.30204125453</v>
      </c>
      <c r="L608" s="417" t="n">
        <f aca="false">SQRT(pos_x^2+pos_z^2)</f>
        <v>1391.07607654774</v>
      </c>
      <c r="M608" s="418" t="n">
        <f aca="false">IF(AND(L607&gt;L_rampe,G608&gt;0),ATAN2(G608,H608),$M$4)</f>
        <v>-1.251466496878</v>
      </c>
      <c r="N608" s="417" t="n">
        <f aca="false">DEGREES(Beta)</f>
        <v>-71.7037484731315</v>
      </c>
      <c r="O608" s="401"/>
      <c r="P608" s="420" t="n">
        <f aca="false">MATCH(t-pas/2-T_ini,CdP_t)</f>
        <v>23</v>
      </c>
      <c r="Q608" s="417" t="n">
        <f aca="false">(INDEX(CdP,2,i_P+1)-INDEX(CdP,2,i_P+0))/(INDEX(CdP,1,i_P+1)-INDEX(CdP,1,i_P+0))*(t-pas/2-T_ini-INDEX(CdP,1,i_P+0))+INDEX(CdP,2,i_P+0)</f>
        <v>0</v>
      </c>
      <c r="R608" s="418" t="n">
        <f aca="false">Poussee/(g*ISP)</f>
        <v>0</v>
      </c>
      <c r="S608" s="419" t="n">
        <f aca="false">S607-Débit*pas</f>
        <v>7.37799999999998</v>
      </c>
      <c r="T608" s="417" t="n">
        <f aca="false">m*g</f>
        <v>72.3781799999998</v>
      </c>
      <c r="U608" s="421" t="n">
        <f aca="false">IF(pos_xz&lt;L_rampe,Poids*COS(Beta),0)</f>
        <v>0</v>
      </c>
      <c r="V608" s="418" t="n">
        <f aca="false">Rho_moyen*(20000-Alt_rampe-pos_z)/(20000+Alt_rampe+pos_z)</f>
        <v>1.08639685187014</v>
      </c>
      <c r="W608" s="417" t="n">
        <f aca="false">1/2*Rho*Sref*Cx*vit_xz^2</f>
        <v>17.1994672222816</v>
      </c>
      <c r="X608" s="401"/>
      <c r="Y608" s="422" t="str">
        <f aca="false">IF(AND(pos_z&lt;=0,K607&gt;0),"Impact balistique","") &amp; IF(AND(H609&lt;0,vit_z&gt;=0),"Apogée","") &amp; IF(AND(Poussee=0,Q607&gt;0),"Fin de propulsion","") &amp; IF(AND(L609&gt;L_rampe,pos_xz&lt;=L_rampe),"Sortie de rampe","")</f>
        <v/>
      </c>
      <c r="Z608" s="423" t="str">
        <f aca="false">IF(ABS(t-T_para)&lt;pas/2,"Para","")</f>
        <v/>
      </c>
      <c r="AA608" s="424" t="str">
        <f aca="false">IF(ABS(t-T_satellite)&lt;pas/2,"Satellite","")</f>
        <v/>
      </c>
      <c r="AB608" s="412"/>
      <c r="AC608" s="420" t="e">
        <f aca="false">IF(ABS(t-ROUND(t,0))&lt;0.001,t,NA())</f>
        <v>#N/A</v>
      </c>
      <c r="AD608" s="425" t="e">
        <f aca="false">IF(ABS(t-ROUND(t,0))&lt;0.001,pos_x,NA())</f>
        <v>#N/A</v>
      </c>
      <c r="AE608" s="426" t="e">
        <f aca="false">IF(t&lt;T_para, pos_z, NA())</f>
        <v>#N/A</v>
      </c>
      <c r="AF608" s="412"/>
      <c r="AG608" s="418" t="n">
        <f aca="false">IF(AND(L607&lt;L_rampe,Poussee&lt;Poids*SIN(M607)),0,(-W607+Poussee)/m-Poids*SIN(M607)/m)</f>
        <v>7.01636770846454</v>
      </c>
      <c r="AH608" s="417" t="n">
        <f aca="false">IF(AND(L607&lt;L_rampe,Poussee&lt;Poids*SIN(M607)), g*SIN(M607), (-W607+Poussee)/m)</f>
        <v>-2.28421816541649</v>
      </c>
    </row>
    <row r="609" customFormat="false" ht="12" hidden="false" customHeight="false" outlineLevel="0" collapsed="false">
      <c r="A609" s="416" t="n">
        <f aca="false">IF(B608+0.01&lt;=T_ini+ROUNDUP(Temps_fin_propu,0), 0.01, IF(K608&gt;0, 0.1, 0.0001))</f>
        <v>0.1</v>
      </c>
      <c r="B609" s="417" t="n">
        <f aca="false">B608+pas</f>
        <v>24.5</v>
      </c>
      <c r="C609" s="401"/>
      <c r="D609" s="418" t="n">
        <f aca="false">IF(AND(L608&lt;L_rampe,Poussee&lt;Poids*SIN(M608)),0,(-W608+Poussee)/m*COS(M608)-U608/m*SIN(M608))</f>
        <v>-0.731829033265516</v>
      </c>
      <c r="E609" s="419" t="n">
        <f aca="false">IF(AND(L608&lt;L_rampe,Poussee&lt;Poids*SIN(M608)),0,(-W608+Poussee)/m*SIN(M608)+U608/m*COS(M608)-Poids/m)</f>
        <v>-7.59666770589208</v>
      </c>
      <c r="F609" s="417" t="n">
        <f aca="false">SQRT(acc_x^2+acc_z^2)</f>
        <v>7.63183686720792</v>
      </c>
      <c r="G609" s="418" t="n">
        <f aca="false">G608+acc_x*pas</f>
        <v>22.452537197635</v>
      </c>
      <c r="H609" s="419" t="n">
        <f aca="false">H608+acc_z*pas</f>
        <v>-68.886102701979</v>
      </c>
      <c r="I609" s="417" t="n">
        <f aca="false">SQRT(vit_x^2+vit_z^2)</f>
        <v>72.4528230787371</v>
      </c>
      <c r="J609" s="418" t="n">
        <f aca="false">J608+0.5*(vit_x+G608)*pas*(K608&gt;=0)</f>
        <v>707.066098088281</v>
      </c>
      <c r="K609" s="419" t="n">
        <f aca="false">K608+0.5*(vit_z+H608)*pas</f>
        <v>1192.45141432287</v>
      </c>
      <c r="L609" s="417" t="n">
        <f aca="false">SQRT(pos_x^2+pos_z^2)</f>
        <v>1386.31989186709</v>
      </c>
      <c r="M609" s="418" t="n">
        <f aca="false">IF(AND(L608&gt;L_rampe,G609&gt;0),ATAN2(G609,H609),$M$4)</f>
        <v>-1.25571707785804</v>
      </c>
      <c r="N609" s="417" t="n">
        <f aca="false">DEGREES(Beta)</f>
        <v>-71.9472888237664</v>
      </c>
      <c r="O609" s="401"/>
      <c r="P609" s="420" t="n">
        <f aca="false">MATCH(t-pas/2-T_ini,CdP_t)</f>
        <v>23</v>
      </c>
      <c r="Q609" s="417" t="n">
        <f aca="false">(INDEX(CdP,2,i_P+1)-INDEX(CdP,2,i_P+0))/(INDEX(CdP,1,i_P+1)-INDEX(CdP,1,i_P+0))*(t-pas/2-T_ini-INDEX(CdP,1,i_P+0))+INDEX(CdP,2,i_P+0)</f>
        <v>0</v>
      </c>
      <c r="R609" s="418" t="n">
        <f aca="false">Poussee/(g*ISP)</f>
        <v>0</v>
      </c>
      <c r="S609" s="419" t="n">
        <f aca="false">S608-Débit*pas</f>
        <v>7.37799999999998</v>
      </c>
      <c r="T609" s="417" t="n">
        <f aca="false">m*g</f>
        <v>72.3781799999998</v>
      </c>
      <c r="U609" s="421" t="n">
        <f aca="false">IF(pos_xz&lt;L_rampe,Poids*COS(Beta),0)</f>
        <v>0</v>
      </c>
      <c r="V609" s="418" t="n">
        <f aca="false">Rho_moyen*(20000-Alt_rampe-pos_z)/(20000+Alt_rampe+pos_z)</f>
        <v>1.087144029118</v>
      </c>
      <c r="W609" s="417" t="n">
        <f aca="false">1/2*Rho*Sref*Cx*vit_xz^2</f>
        <v>17.5482341799573</v>
      </c>
      <c r="X609" s="401"/>
      <c r="Y609" s="422" t="str">
        <f aca="false">IF(AND(pos_z&lt;=0,K608&gt;0),"Impact balistique","") &amp; IF(AND(H610&lt;0,vit_z&gt;=0),"Apogée","") &amp; IF(AND(Poussee=0,Q608&gt;0),"Fin de propulsion","") &amp; IF(AND(L610&gt;L_rampe,pos_xz&lt;=L_rampe),"Sortie de rampe","")</f>
        <v/>
      </c>
      <c r="Z609" s="423" t="str">
        <f aca="false">IF(ABS(t-T_para)&lt;pas/2,"Para","")</f>
        <v/>
      </c>
      <c r="AA609" s="424" t="str">
        <f aca="false">IF(ABS(t-T_satellite)&lt;pas/2,"Satellite","")</f>
        <v/>
      </c>
      <c r="AB609" s="412"/>
      <c r="AC609" s="420" t="e">
        <f aca="false">IF(ABS(t-ROUND(t,0))&lt;0.001,t,NA())</f>
        <v>#N/A</v>
      </c>
      <c r="AD609" s="425" t="e">
        <f aca="false">IF(ABS(t-ROUND(t,0))&lt;0.001,pos_x,NA())</f>
        <v>#N/A</v>
      </c>
      <c r="AE609" s="426" t="e">
        <f aca="false">IF(t&lt;T_para, pos_z, NA())</f>
        <v>#N/A</v>
      </c>
      <c r="AF609" s="412"/>
      <c r="AG609" s="418" t="n">
        <f aca="false">IF(AND(L608&lt;L_rampe,Poussee&lt;Poids*SIN(M608)),0,(-W608+Poussee)/m-Poids*SIN(M608)/m)</f>
        <v>6.98288256558061</v>
      </c>
      <c r="AH609" s="417" t="n">
        <f aca="false">IF(AND(L608&lt;L_rampe,Poussee&lt;Poids*SIN(M608)), g*SIN(M608), (-W608+Poussee)/m)</f>
        <v>-2.33118287100591</v>
      </c>
    </row>
    <row r="610" customFormat="false" ht="12" hidden="false" customHeight="false" outlineLevel="0" collapsed="false">
      <c r="A610" s="416" t="n">
        <f aca="false">IF(B609+0.01&lt;=T_ini+ROUNDUP(Temps_fin_propu,0), 0.01, IF(K609&gt;0, 0.1, 0.0001))</f>
        <v>0.1</v>
      </c>
      <c r="B610" s="417" t="n">
        <f aca="false">B609+pas</f>
        <v>24.6</v>
      </c>
      <c r="C610" s="401"/>
      <c r="D610" s="418" t="n">
        <f aca="false">IF(AND(L609&lt;L_rampe,Poussee&lt;Poids*SIN(M609)),0,(-W609+Poussee)/m*COS(M609)-U609/m*SIN(M609))</f>
        <v>-0.73706346236119</v>
      </c>
      <c r="E610" s="419" t="n">
        <f aca="false">IF(AND(L609&lt;L_rampe,Poussee&lt;Poids*SIN(M609)),0,(-W609+Poussee)/m*SIN(M609)+U609/m*COS(M609)-Poids/m)</f>
        <v>-7.54863288058878</v>
      </c>
      <c r="F610" s="417" t="n">
        <f aca="false">SQRT(acc_x^2+acc_z^2)</f>
        <v>7.58453168715472</v>
      </c>
      <c r="G610" s="418" t="n">
        <f aca="false">G609+acc_x*pas</f>
        <v>22.3788308513989</v>
      </c>
      <c r="H610" s="419" t="n">
        <f aca="false">H609+acc_z*pas</f>
        <v>-69.6409659900378</v>
      </c>
      <c r="I610" s="417" t="n">
        <f aca="false">SQRT(vit_x^2+vit_z^2)</f>
        <v>73.1483165513816</v>
      </c>
      <c r="J610" s="418" t="n">
        <f aca="false">J609+0.5*(vit_x+G609)*pas*(K609&gt;=0)</f>
        <v>709.307666490733</v>
      </c>
      <c r="K610" s="419" t="n">
        <f aca="false">K609+0.5*(vit_z+H609)*pas</f>
        <v>1185.52506088827</v>
      </c>
      <c r="L610" s="417" t="n">
        <f aca="false">SQRT(pos_x^2+pos_z^2)</f>
        <v>1381.51620900251</v>
      </c>
      <c r="M610" s="418" t="n">
        <f aca="false">IF(AND(L609&gt;L_rampe,G610&gt;0),ATAN2(G610,H610),$M$4)</f>
        <v>-1.25987308259962</v>
      </c>
      <c r="N610" s="417" t="n">
        <f aca="false">DEGREES(Beta)</f>
        <v>-72.1854103550953</v>
      </c>
      <c r="O610" s="401"/>
      <c r="P610" s="420" t="n">
        <f aca="false">MATCH(t-pas/2-T_ini,CdP_t)</f>
        <v>23</v>
      </c>
      <c r="Q610" s="417" t="n">
        <f aca="false">(INDEX(CdP,2,i_P+1)-INDEX(CdP,2,i_P+0))/(INDEX(CdP,1,i_P+1)-INDEX(CdP,1,i_P+0))*(t-pas/2-T_ini-INDEX(CdP,1,i_P+0))+INDEX(CdP,2,i_P+0)</f>
        <v>0</v>
      </c>
      <c r="R610" s="418" t="n">
        <f aca="false">Poussee/(g*ISP)</f>
        <v>0</v>
      </c>
      <c r="S610" s="419" t="n">
        <f aca="false">S609-Débit*pas</f>
        <v>7.37799999999998</v>
      </c>
      <c r="T610" s="417" t="n">
        <f aca="false">m*g</f>
        <v>72.3781799999998</v>
      </c>
      <c r="U610" s="421" t="n">
        <f aca="false">IF(pos_xz&lt;L_rampe,Poids*COS(Beta),0)</f>
        <v>0</v>
      </c>
      <c r="V610" s="418" t="n">
        <f aca="false">Rho_moyen*(20000-Alt_rampe-pos_z)/(20000+Alt_rampe+pos_z)</f>
        <v>1.08789995688903</v>
      </c>
      <c r="W610" s="417" t="n">
        <f aca="false">1/2*Rho*Sref*Cx*vit_xz^2</f>
        <v>17.8991885531744</v>
      </c>
      <c r="X610" s="401"/>
      <c r="Y610" s="422" t="str">
        <f aca="false">IF(AND(pos_z&lt;=0,K609&gt;0),"Impact balistique","") &amp; IF(AND(H611&lt;0,vit_z&gt;=0),"Apogée","") &amp; IF(AND(Poussee=0,Q609&gt;0),"Fin de propulsion","") &amp; IF(AND(L611&gt;L_rampe,pos_xz&lt;=L_rampe),"Sortie de rampe","")</f>
        <v/>
      </c>
      <c r="Z610" s="423" t="str">
        <f aca="false">IF(ABS(t-T_para)&lt;pas/2,"Para","")</f>
        <v/>
      </c>
      <c r="AA610" s="424" t="str">
        <f aca="false">IF(ABS(t-T_satellite)&lt;pas/2,"Satellite","")</f>
        <v/>
      </c>
      <c r="AB610" s="412"/>
      <c r="AC610" s="420" t="e">
        <f aca="false">IF(ABS(t-ROUND(t,0))&lt;0.001,t,NA())</f>
        <v>#N/A</v>
      </c>
      <c r="AD610" s="425" t="e">
        <f aca="false">IF(ABS(t-ROUND(t,0))&lt;0.001,pos_x,NA())</f>
        <v>#N/A</v>
      </c>
      <c r="AE610" s="426" t="e">
        <f aca="false">IF(t&lt;T_para, pos_z, NA())</f>
        <v>#N/A</v>
      </c>
      <c r="AF610" s="412"/>
      <c r="AG610" s="418" t="n">
        <f aca="false">IF(AND(L609&lt;L_rampe,Poussee&lt;Poids*SIN(M609)),0,(-W609+Poussee)/m-Poids*SIN(M609)/m)</f>
        <v>6.94861750961695</v>
      </c>
      <c r="AH610" s="417" t="n">
        <f aca="false">IF(AND(L609&lt;L_rampe,Poussee&lt;Poids*SIN(M609)), g*SIN(M609), (-W609+Poussee)/m)</f>
        <v>-2.37845407697985</v>
      </c>
    </row>
    <row r="611" customFormat="false" ht="12" hidden="false" customHeight="false" outlineLevel="0" collapsed="false">
      <c r="A611" s="416" t="n">
        <f aca="false">IF(B610+0.01&lt;=T_ini+ROUNDUP(Temps_fin_propu,0), 0.01, IF(K610&gt;0, 0.1, 0.0001))</f>
        <v>0.1</v>
      </c>
      <c r="B611" s="417" t="n">
        <f aca="false">B610+pas</f>
        <v>24.7</v>
      </c>
      <c r="C611" s="401"/>
      <c r="D611" s="418" t="n">
        <f aca="false">IF(AND(L610&lt;L_rampe,Poussee&lt;Poids*SIN(M610)),0,(-W610+Poussee)/m*COS(M610)-U610/m*SIN(M610))</f>
        <v>-0.74221162143441</v>
      </c>
      <c r="E611" s="419" t="n">
        <f aca="false">IF(AND(L610&lt;L_rampe,Poussee&lt;Poids*SIN(M610)),0,(-W610+Poussee)/m*SIN(M610)+U610/m*COS(M610)-Poids/m)</f>
        <v>-7.50030229376377</v>
      </c>
      <c r="F611" s="417" t="n">
        <f aca="false">SQRT(acc_x^2+acc_z^2)</f>
        <v>7.53693655199713</v>
      </c>
      <c r="G611" s="418" t="n">
        <f aca="false">G610+acc_x*pas</f>
        <v>22.3046096892555</v>
      </c>
      <c r="H611" s="419" t="n">
        <f aca="false">H610+acc_z*pas</f>
        <v>-70.3909962194142</v>
      </c>
      <c r="I611" s="417" t="n">
        <f aca="false">SQRT(vit_x^2+vit_z^2)</f>
        <v>73.8402868504153</v>
      </c>
      <c r="J611" s="418" t="n">
        <f aca="false">J610+0.5*(vit_x+G610)*pas*(K610&gt;=0)</f>
        <v>711.541838517766</v>
      </c>
      <c r="K611" s="419" t="n">
        <f aca="false">K610+0.5*(vit_z+H610)*pas</f>
        <v>1178.52346277779</v>
      </c>
      <c r="L611" s="417" t="n">
        <f aca="false">SQRT(pos_x^2+pos_z^2)</f>
        <v>1376.66602350715</v>
      </c>
      <c r="M611" s="418" t="n">
        <f aca="false">IF(AND(L610&gt;L_rampe,G611&gt;0),ATAN2(G611,H611),$M$4)</f>
        <v>-1.26393760841337</v>
      </c>
      <c r="N611" s="417" t="n">
        <f aca="false">DEGREES(Beta)</f>
        <v>-72.4182905299449</v>
      </c>
      <c r="O611" s="401"/>
      <c r="P611" s="420" t="n">
        <f aca="false">MATCH(t-pas/2-T_ini,CdP_t)</f>
        <v>23</v>
      </c>
      <c r="Q611" s="417" t="n">
        <f aca="false">(INDEX(CdP,2,i_P+1)-INDEX(CdP,2,i_P+0))/(INDEX(CdP,1,i_P+1)-INDEX(CdP,1,i_P+0))*(t-pas/2-T_ini-INDEX(CdP,1,i_P+0))+INDEX(CdP,2,i_P+0)</f>
        <v>0</v>
      </c>
      <c r="R611" s="418" t="n">
        <f aca="false">Poussee/(g*ISP)</f>
        <v>0</v>
      </c>
      <c r="S611" s="419" t="n">
        <f aca="false">S610-Débit*pas</f>
        <v>7.37799999999998</v>
      </c>
      <c r="T611" s="417" t="n">
        <f aca="false">m*g</f>
        <v>72.3781799999998</v>
      </c>
      <c r="U611" s="421" t="n">
        <f aca="false">IF(pos_xz&lt;L_rampe,Poids*COS(Beta),0)</f>
        <v>0</v>
      </c>
      <c r="V611" s="418" t="n">
        <f aca="false">Rho_moyen*(20000-Alt_rampe-pos_z)/(20000+Alt_rampe+pos_z)</f>
        <v>1.08866459923987</v>
      </c>
      <c r="W611" s="417" t="n">
        <f aca="false">1/2*Rho*Sref*Cx*vit_xz^2</f>
        <v>18.2522565032383</v>
      </c>
      <c r="X611" s="401"/>
      <c r="Y611" s="422" t="str">
        <f aca="false">IF(AND(pos_z&lt;=0,K610&gt;0),"Impact balistique","") &amp; IF(AND(H612&lt;0,vit_z&gt;=0),"Apogée","") &amp; IF(AND(Poussee=0,Q610&gt;0),"Fin de propulsion","") &amp; IF(AND(L612&gt;L_rampe,pos_xz&lt;=L_rampe),"Sortie de rampe","")</f>
        <v/>
      </c>
      <c r="Z611" s="423" t="str">
        <f aca="false">IF(ABS(t-T_para)&lt;pas/2,"Para","")</f>
        <v/>
      </c>
      <c r="AA611" s="424" t="str">
        <f aca="false">IF(ABS(t-T_satellite)&lt;pas/2,"Satellite","")</f>
        <v/>
      </c>
      <c r="AB611" s="412"/>
      <c r="AC611" s="420" t="e">
        <f aca="false">IF(ABS(t-ROUND(t,0))&lt;0.001,t,NA())</f>
        <v>#N/A</v>
      </c>
      <c r="AD611" s="425" t="e">
        <f aca="false">IF(ABS(t-ROUND(t,0))&lt;0.001,pos_x,NA())</f>
        <v>#N/A</v>
      </c>
      <c r="AE611" s="426" t="e">
        <f aca="false">IF(t&lt;T_para, pos_z, NA())</f>
        <v>#N/A</v>
      </c>
      <c r="AF611" s="412"/>
      <c r="AG611" s="418" t="n">
        <f aca="false">IF(AND(L610&lt;L_rampe,Poussee&lt;Poids*SIN(M610)),0,(-W610+Poussee)/m-Poids*SIN(M610)/m)</f>
        <v>6.91360365440195</v>
      </c>
      <c r="AH611" s="417" t="n">
        <f aca="false">IF(AND(L610&lt;L_rampe,Poussee&lt;Poids*SIN(M610)), g*SIN(M610), (-W610+Poussee)/m)</f>
        <v>-2.42602176107</v>
      </c>
    </row>
    <row r="612" customFormat="false" ht="12" hidden="false" customHeight="false" outlineLevel="0" collapsed="false">
      <c r="A612" s="416" t="n">
        <f aca="false">IF(B611+0.01&lt;=T_ini+ROUNDUP(Temps_fin_propu,0), 0.01, IF(K611&gt;0, 0.1, 0.0001))</f>
        <v>0.1</v>
      </c>
      <c r="B612" s="417" t="n">
        <f aca="false">B611+pas</f>
        <v>24.8</v>
      </c>
      <c r="C612" s="401"/>
      <c r="D612" s="418" t="n">
        <f aca="false">IF(AND(L611&lt;L_rampe,Poussee&lt;Poids*SIN(M611)),0,(-W611+Poussee)/m*COS(M611)-U611/m*SIN(M611))</f>
        <v>-0.747272783794366</v>
      </c>
      <c r="E612" s="419" t="n">
        <f aca="false">IF(AND(L611&lt;L_rampe,Poussee&lt;Poids*SIN(M611)),0,(-W611+Poussee)/m*SIN(M611)+U611/m*COS(M611)-Poids/m)</f>
        <v>-7.45168589220912</v>
      </c>
      <c r="F612" s="417" t="n">
        <f aca="false">SQRT(acc_x^2+acc_z^2)</f>
        <v>7.48906130630189</v>
      </c>
      <c r="G612" s="418" t="n">
        <f aca="false">G611+acc_x*pas</f>
        <v>22.229882410876</v>
      </c>
      <c r="H612" s="419" t="n">
        <f aca="false">H611+acc_z*pas</f>
        <v>-71.1361648086351</v>
      </c>
      <c r="I612" s="417" t="n">
        <f aca="false">SQRT(vit_x^2+vit_z^2)</f>
        <v>74.528663047734</v>
      </c>
      <c r="J612" s="418" t="n">
        <f aca="false">J611+0.5*(vit_x+G611)*pas*(K611&gt;=0)</f>
        <v>713.768563122772</v>
      </c>
      <c r="K612" s="419" t="n">
        <f aca="false">K611+0.5*(vit_z+H611)*pas</f>
        <v>1171.44710472639</v>
      </c>
      <c r="L612" s="417" t="n">
        <f aca="false">SQRT(pos_x^2+pos_z^2)</f>
        <v>1371.77034552952</v>
      </c>
      <c r="M612" s="418" t="n">
        <f aca="false">IF(AND(L611&gt;L_rampe,G612&gt;0),ATAN2(G612,H612),$M$4)</f>
        <v>-1.26791362395936</v>
      </c>
      <c r="N612" s="417" t="n">
        <f aca="false">DEGREES(Beta)</f>
        <v>-72.6460994400088</v>
      </c>
      <c r="O612" s="401"/>
      <c r="P612" s="420" t="n">
        <f aca="false">MATCH(t-pas/2-T_ini,CdP_t)</f>
        <v>23</v>
      </c>
      <c r="Q612" s="417" t="n">
        <f aca="false">(INDEX(CdP,2,i_P+1)-INDEX(CdP,2,i_P+0))/(INDEX(CdP,1,i_P+1)-INDEX(CdP,1,i_P+0))*(t-pas/2-T_ini-INDEX(CdP,1,i_P+0))+INDEX(CdP,2,i_P+0)</f>
        <v>0</v>
      </c>
      <c r="R612" s="418" t="n">
        <f aca="false">Poussee/(g*ISP)</f>
        <v>0</v>
      </c>
      <c r="S612" s="419" t="n">
        <f aca="false">S611-Débit*pas</f>
        <v>7.37799999999998</v>
      </c>
      <c r="T612" s="417" t="n">
        <f aca="false">m*g</f>
        <v>72.3781799999998</v>
      </c>
      <c r="U612" s="421" t="n">
        <f aca="false">IF(pos_xz&lt;L_rampe,Poids*COS(Beta),0)</f>
        <v>0</v>
      </c>
      <c r="V612" s="418" t="n">
        <f aca="false">Rho_moyen*(20000-Alt_rampe-pos_z)/(20000+Alt_rampe+pos_z)</f>
        <v>1.0894379199786</v>
      </c>
      <c r="W612" s="417" t="n">
        <f aca="false">1/2*Rho*Sref*Cx*vit_xz^2</f>
        <v>18.6073643238263</v>
      </c>
      <c r="X612" s="401"/>
      <c r="Y612" s="422" t="str">
        <f aca="false">IF(AND(pos_z&lt;=0,K611&gt;0),"Impact balistique","") &amp; IF(AND(H613&lt;0,vit_z&gt;=0),"Apogée","") &amp; IF(AND(Poussee=0,Q611&gt;0),"Fin de propulsion","") &amp; IF(AND(L613&gt;L_rampe,pos_xz&lt;=L_rampe),"Sortie de rampe","")</f>
        <v/>
      </c>
      <c r="Z612" s="423" t="str">
        <f aca="false">IF(ABS(t-T_para)&lt;pas/2,"Para","")</f>
        <v/>
      </c>
      <c r="AA612" s="424" t="str">
        <f aca="false">IF(ABS(t-T_satellite)&lt;pas/2,"Satellite","")</f>
        <v/>
      </c>
      <c r="AB612" s="412"/>
      <c r="AC612" s="420" t="e">
        <f aca="false">IF(ABS(t-ROUND(t,0))&lt;0.001,t,NA())</f>
        <v>#N/A</v>
      </c>
      <c r="AD612" s="425" t="e">
        <f aca="false">IF(ABS(t-ROUND(t,0))&lt;0.001,pos_x,NA())</f>
        <v>#N/A</v>
      </c>
      <c r="AE612" s="426" t="e">
        <f aca="false">IF(t&lt;T_para, pos_z, NA())</f>
        <v>#N/A</v>
      </c>
      <c r="AF612" s="412"/>
      <c r="AG612" s="418" t="n">
        <f aca="false">IF(AND(L611&lt;L_rampe,Poussee&lt;Poids*SIN(M611)),0,(-W611+Poussee)/m-Poids*SIN(M611)/m)</f>
        <v>6.87787097471116</v>
      </c>
      <c r="AH612" s="417" t="n">
        <f aca="false">IF(AND(L611&lt;L_rampe,Poussee&lt;Poids*SIN(M611)), g*SIN(M611), (-W611+Poussee)/m)</f>
        <v>-2.47387591532099</v>
      </c>
    </row>
    <row r="613" customFormat="false" ht="12" hidden="false" customHeight="false" outlineLevel="0" collapsed="false">
      <c r="A613" s="416" t="n">
        <f aca="false">IF(B612+0.01&lt;=T_ini+ROUNDUP(Temps_fin_propu,0), 0.01, IF(K612&gt;0, 0.1, 0.0001))</f>
        <v>0.1</v>
      </c>
      <c r="B613" s="417" t="n">
        <f aca="false">B612+pas</f>
        <v>24.9</v>
      </c>
      <c r="C613" s="401"/>
      <c r="D613" s="418" t="n">
        <f aca="false">IF(AND(L612&lt;L_rampe,Poussee&lt;Poids*SIN(M612)),0,(-W612+Poussee)/m*COS(M612)-U612/m*SIN(M612))</f>
        <v>-0.752246273407635</v>
      </c>
      <c r="E613" s="419" t="n">
        <f aca="false">IF(AND(L612&lt;L_rampe,Poussee&lt;Poids*SIN(M612)),0,(-W612+Poussee)/m*SIN(M612)+U612/m*COS(M612)-Poids/m)</f>
        <v>-7.40279361479545</v>
      </c>
      <c r="F613" s="417" t="n">
        <f aca="false">SQRT(acc_x^2+acc_z^2)</f>
        <v>7.44091578766431</v>
      </c>
      <c r="G613" s="418" t="n">
        <f aca="false">G612+acc_x*pas</f>
        <v>22.1546577835353</v>
      </c>
      <c r="H613" s="419" t="n">
        <f aca="false">H612+acc_z*pas</f>
        <v>-71.8764441701147</v>
      </c>
      <c r="I613" s="417" t="n">
        <f aca="false">SQRT(vit_x^2+vit_z^2)</f>
        <v>75.2133770551833</v>
      </c>
      <c r="J613" s="418" t="n">
        <f aca="false">J612+0.5*(vit_x+G612)*pas*(K612&gt;=0)</f>
        <v>715.987790132493</v>
      </c>
      <c r="K613" s="419" t="n">
        <f aca="false">K612+0.5*(vit_z+H612)*pas</f>
        <v>1164.29647427745</v>
      </c>
      <c r="L613" s="417" t="n">
        <f aca="false">SQRT(pos_x^2+pos_z^2)</f>
        <v>1366.83020000061</v>
      </c>
      <c r="M613" s="418" t="n">
        <f aca="false">IF(AND(L612&gt;L_rampe,G613&gt;0),ATAN2(G613,H613),$M$4)</f>
        <v>-1.27180397551811</v>
      </c>
      <c r="N613" s="417" t="n">
        <f aca="false">DEGREES(Beta)</f>
        <v>-72.8690001651471</v>
      </c>
      <c r="O613" s="401"/>
      <c r="P613" s="420" t="n">
        <f aca="false">MATCH(t-pas/2-T_ini,CdP_t)</f>
        <v>23</v>
      </c>
      <c r="Q613" s="417" t="n">
        <f aca="false">(INDEX(CdP,2,i_P+1)-INDEX(CdP,2,i_P+0))/(INDEX(CdP,1,i_P+1)-INDEX(CdP,1,i_P+0))*(t-pas/2-T_ini-INDEX(CdP,1,i_P+0))+INDEX(CdP,2,i_P+0)</f>
        <v>0</v>
      </c>
      <c r="R613" s="418" t="n">
        <f aca="false">Poussee/(g*ISP)</f>
        <v>0</v>
      </c>
      <c r="S613" s="419" t="n">
        <f aca="false">S612-Débit*pas</f>
        <v>7.37799999999998</v>
      </c>
      <c r="T613" s="417" t="n">
        <f aca="false">m*g</f>
        <v>72.3781799999998</v>
      </c>
      <c r="U613" s="421" t="n">
        <f aca="false">IF(pos_xz&lt;L_rampe,Poids*COS(Beta),0)</f>
        <v>0</v>
      </c>
      <c r="V613" s="418" t="n">
        <f aca="false">Rho_moyen*(20000-Alt_rampe-pos_z)/(20000+Alt_rampe+pos_z)</f>
        <v>1.09021988267143</v>
      </c>
      <c r="W613" s="417" t="n">
        <f aca="false">1/2*Rho*Sref*Cx*vit_xz^2</f>
        <v>18.9644384673936</v>
      </c>
      <c r="X613" s="401"/>
      <c r="Y613" s="422" t="str">
        <f aca="false">IF(AND(pos_z&lt;=0,K612&gt;0),"Impact balistique","") &amp; IF(AND(H614&lt;0,vit_z&gt;=0),"Apogée","") &amp; IF(AND(Poussee=0,Q612&gt;0),"Fin de propulsion","") &amp; IF(AND(L614&gt;L_rampe,pos_xz&lt;=L_rampe),"Sortie de rampe","")</f>
        <v/>
      </c>
      <c r="Z613" s="423" t="str">
        <f aca="false">IF(ABS(t-T_para)&lt;pas/2,"Para","")</f>
        <v/>
      </c>
      <c r="AA613" s="424" t="str">
        <f aca="false">IF(ABS(t-T_satellite)&lt;pas/2,"Satellite","")</f>
        <v/>
      </c>
      <c r="AB613" s="412"/>
      <c r="AC613" s="420" t="e">
        <f aca="false">IF(ABS(t-ROUND(t,0))&lt;0.001,t,NA())</f>
        <v>#N/A</v>
      </c>
      <c r="AD613" s="425" t="e">
        <f aca="false">IF(ABS(t-ROUND(t,0))&lt;0.001,pos_x,NA())</f>
        <v>#N/A</v>
      </c>
      <c r="AE613" s="426" t="e">
        <f aca="false">IF(t&lt;T_para, pos_z, NA())</f>
        <v>#N/A</v>
      </c>
      <c r="AF613" s="412"/>
      <c r="AG613" s="418" t="n">
        <f aca="false">IF(AND(L612&lt;L_rampe,Poussee&lt;Poids*SIN(M612)),0,(-W612+Poussee)/m-Poids*SIN(M612)/m)</f>
        <v>6.84144837131936</v>
      </c>
      <c r="AH613" s="417" t="n">
        <f aca="false">IF(AND(L612&lt;L_rampe,Poussee&lt;Poids*SIN(M612)), g*SIN(M612), (-W612+Poussee)/m)</f>
        <v>-2.52200654971894</v>
      </c>
    </row>
    <row r="614" customFormat="false" ht="12" hidden="false" customHeight="false" outlineLevel="0" collapsed="false">
      <c r="A614" s="416" t="n">
        <f aca="false">IF(B613+0.01&lt;=T_ini+ROUNDUP(Temps_fin_propu,0), 0.01, IF(K613&gt;0, 0.1, 0.0001))</f>
        <v>0.1</v>
      </c>
      <c r="B614" s="417" t="n">
        <f aca="false">B613+pas</f>
        <v>25</v>
      </c>
      <c r="C614" s="401"/>
      <c r="D614" s="418" t="n">
        <f aca="false">IF(AND(L613&lt;L_rampe,Poussee&lt;Poids*SIN(M613)),0,(-W613+Poussee)/m*COS(M613)-U613/m*SIN(M613))</f>
        <v>-0.75713146351008</v>
      </c>
      <c r="E614" s="419" t="n">
        <f aca="false">IF(AND(L613&lt;L_rampe,Poussee&lt;Poids*SIN(M613)),0,(-W613+Poussee)/m*SIN(M613)+U613/m*COS(M613)-Poids/m)</f>
        <v>-7.35363538818177</v>
      </c>
      <c r="F614" s="417" t="n">
        <f aca="false">SQRT(acc_x^2+acc_z^2)</f>
        <v>7.39250982247275</v>
      </c>
      <c r="G614" s="418" t="n">
        <f aca="false">G613+acc_x*pas</f>
        <v>22.0789446371843</v>
      </c>
      <c r="H614" s="419" t="n">
        <f aca="false">H613+acc_z*pas</f>
        <v>-72.6118077089329</v>
      </c>
      <c r="I614" s="417" t="n">
        <f aca="false">SQRT(vit_x^2+vit_z^2)</f>
        <v>75.8943635262256</v>
      </c>
      <c r="J614" s="418" t="n">
        <f aca="false">J613+0.5*(vit_x+G613)*pas*(K613&gt;=0)</f>
        <v>718.199470253529</v>
      </c>
      <c r="K614" s="419" t="n">
        <f aca="false">K613+0.5*(vit_z+H613)*pas</f>
        <v>1157.0720616835</v>
      </c>
      <c r="L614" s="417" t="n">
        <f aca="false">SQRT(pos_x^2+pos_z^2)</f>
        <v>1361.84662682732</v>
      </c>
      <c r="M614" s="418" t="n">
        <f aca="false">IF(AND(L613&gt;L_rampe,G614&gt;0),ATAN2(G614,H614),$M$4)</f>
        <v>-1.27561139292141</v>
      </c>
      <c r="N614" s="417" t="n">
        <f aca="false">DEGREES(Beta)</f>
        <v>-73.0871491132007</v>
      </c>
      <c r="O614" s="401"/>
      <c r="P614" s="420" t="n">
        <f aca="false">MATCH(t-pas/2-T_ini,CdP_t)</f>
        <v>23</v>
      </c>
      <c r="Q614" s="417" t="n">
        <f aca="false">(INDEX(CdP,2,i_P+1)-INDEX(CdP,2,i_P+0))/(INDEX(CdP,1,i_P+1)-INDEX(CdP,1,i_P+0))*(t-pas/2-T_ini-INDEX(CdP,1,i_P+0))+INDEX(CdP,2,i_P+0)</f>
        <v>0</v>
      </c>
      <c r="R614" s="418" t="n">
        <f aca="false">Poussee/(g*ISP)</f>
        <v>0</v>
      </c>
      <c r="S614" s="419" t="n">
        <f aca="false">S613-Débit*pas</f>
        <v>7.37799999999998</v>
      </c>
      <c r="T614" s="417" t="n">
        <f aca="false">m*g</f>
        <v>72.3781799999998</v>
      </c>
      <c r="U614" s="421" t="n">
        <f aca="false">IF(pos_xz&lt;L_rampe,Poids*COS(Beta),0)</f>
        <v>0</v>
      </c>
      <c r="V614" s="418" t="n">
        <f aca="false">Rho_moyen*(20000-Alt_rampe-pos_z)/(20000+Alt_rampe+pos_z)</f>
        <v>1.09101045064933</v>
      </c>
      <c r="W614" s="417" t="n">
        <f aca="false">1/2*Rho*Sref*Cx*vit_xz^2</f>
        <v>19.3234055711968</v>
      </c>
      <c r="X614" s="401"/>
      <c r="Y614" s="422" t="str">
        <f aca="false">IF(AND(pos_z&lt;=0,K613&gt;0),"Impact balistique","") &amp; IF(AND(H615&lt;0,vit_z&gt;=0),"Apogée","") &amp; IF(AND(Poussee=0,Q613&gt;0),"Fin de propulsion","") &amp; IF(AND(L615&gt;L_rampe,pos_xz&lt;=L_rampe),"Sortie de rampe","")</f>
        <v/>
      </c>
      <c r="Z614" s="423" t="str">
        <f aca="false">IF(ABS(t-T_para)&lt;pas/2,"Para","")</f>
        <v/>
      </c>
      <c r="AA614" s="424" t="str">
        <f aca="false">IF(ABS(t-T_satellite)&lt;pas/2,"Satellite","")</f>
        <v/>
      </c>
      <c r="AB614" s="412"/>
      <c r="AC614" s="420" t="n">
        <f aca="false">IF(ABS(t-ROUND(t,0))&lt;0.001,t,NA())</f>
        <v>25</v>
      </c>
      <c r="AD614" s="425" t="n">
        <f aca="false">IF(ABS(t-ROUND(t,0))&lt;0.001,pos_x,NA())</f>
        <v>718.199470253529</v>
      </c>
      <c r="AE614" s="426" t="e">
        <f aca="false">IF(t&lt;T_para, pos_z, NA())</f>
        <v>#N/A</v>
      </c>
      <c r="AF614" s="412"/>
      <c r="AG614" s="418" t="n">
        <f aca="false">IF(AND(L613&lt;L_rampe,Poussee&lt;Poids*SIN(M613)),0,(-W613+Poussee)/m-Poids*SIN(M613)/m)</f>
        <v>6.80436373145865</v>
      </c>
      <c r="AH614" s="417" t="n">
        <f aca="false">IF(AND(L613&lt;L_rampe,Poussee&lt;Poids*SIN(M613)), g*SIN(M613), (-W613+Poussee)/m)</f>
        <v>-2.57040369577035</v>
      </c>
    </row>
    <row r="615" customFormat="false" ht="12" hidden="false" customHeight="false" outlineLevel="0" collapsed="false">
      <c r="A615" s="416" t="n">
        <f aca="false">IF(B614+0.01&lt;=T_ini+ROUNDUP(Temps_fin_propu,0), 0.01, IF(K614&gt;0, 0.1, 0.0001))</f>
        <v>0.1</v>
      </c>
      <c r="B615" s="417" t="n">
        <f aca="false">B614+pas</f>
        <v>25.1</v>
      </c>
      <c r="C615" s="401"/>
      <c r="D615" s="418" t="n">
        <f aca="false">IF(AND(L614&lt;L_rampe,Poussee&lt;Poids*SIN(M614)),0,(-W614+Poussee)/m*COS(M614)-U614/m*SIN(M614))</f>
        <v>-0.761927775277595</v>
      </c>
      <c r="E615" s="419" t="n">
        <f aca="false">IF(AND(L614&lt;L_rampe,Poussee&lt;Poids*SIN(M614)),0,(-W614+Poussee)/m*SIN(M614)+U614/m*COS(M614)-Poids/m)</f>
        <v>-7.30422112262666</v>
      </c>
      <c r="F615" s="417" t="n">
        <f aca="false">SQRT(acc_x^2+acc_z^2)</f>
        <v>7.34385322177431</v>
      </c>
      <c r="G615" s="418" t="n">
        <f aca="false">G614+acc_x*pas</f>
        <v>22.0027518596565</v>
      </c>
      <c r="H615" s="419" t="n">
        <f aca="false">H614+acc_z*pas</f>
        <v>-73.3422298211955</v>
      </c>
      <c r="I615" s="417" t="n">
        <f aca="false">SQRT(vit_x^2+vit_z^2)</f>
        <v>76.5715597630261</v>
      </c>
      <c r="J615" s="418" t="n">
        <f aca="false">J614+0.5*(vit_x+G614)*pas*(K614&gt;=0)</f>
        <v>720.403555078371</v>
      </c>
      <c r="K615" s="419" t="n">
        <f aca="false">K614+0.5*(vit_z+H614)*pas</f>
        <v>1149.77435980699</v>
      </c>
      <c r="L615" s="417" t="n">
        <f aca="false">SQRT(pos_x^2+pos_z^2)</f>
        <v>1356.82068109207</v>
      </c>
      <c r="M615" s="418" t="n">
        <f aca="false">IF(AND(L614&gt;L_rampe,G615&gt;0),ATAN2(G615,H615),$M$4)</f>
        <v>-1.27933849516255</v>
      </c>
      <c r="N615" s="417" t="n">
        <f aca="false">DEGREES(Beta)</f>
        <v>-73.3006963414321</v>
      </c>
      <c r="O615" s="401"/>
      <c r="P615" s="420" t="n">
        <f aca="false">MATCH(t-pas/2-T_ini,CdP_t)</f>
        <v>23</v>
      </c>
      <c r="Q615" s="417" t="n">
        <f aca="false">(INDEX(CdP,2,i_P+1)-INDEX(CdP,2,i_P+0))/(INDEX(CdP,1,i_P+1)-INDEX(CdP,1,i_P+0))*(t-pas/2-T_ini-INDEX(CdP,1,i_P+0))+INDEX(CdP,2,i_P+0)</f>
        <v>0</v>
      </c>
      <c r="R615" s="418" t="n">
        <f aca="false">Poussee/(g*ISP)</f>
        <v>0</v>
      </c>
      <c r="S615" s="419" t="n">
        <f aca="false">S614-Débit*pas</f>
        <v>7.37799999999998</v>
      </c>
      <c r="T615" s="417" t="n">
        <f aca="false">m*g</f>
        <v>72.3781799999998</v>
      </c>
      <c r="U615" s="421" t="n">
        <f aca="false">IF(pos_xz&lt;L_rampe,Poids*COS(Beta),0)</f>
        <v>0</v>
      </c>
      <c r="V615" s="418" t="n">
        <f aca="false">Rho_moyen*(20000-Alt_rampe-pos_z)/(20000+Alt_rampe+pos_z)</f>
        <v>1.09180958701477</v>
      </c>
      <c r="W615" s="417" t="n">
        <f aca="false">1/2*Rho*Sref*Cx*vit_xz^2</f>
        <v>19.6841924829235</v>
      </c>
      <c r="X615" s="401"/>
      <c r="Y615" s="422" t="str">
        <f aca="false">IF(AND(pos_z&lt;=0,K614&gt;0),"Impact balistique","") &amp; IF(AND(H616&lt;0,vit_z&gt;=0),"Apogée","") &amp; IF(AND(Poussee=0,Q614&gt;0),"Fin de propulsion","") &amp; IF(AND(L616&gt;L_rampe,pos_xz&lt;=L_rampe),"Sortie de rampe","")</f>
        <v/>
      </c>
      <c r="Z615" s="423" t="str">
        <f aca="false">IF(ABS(t-T_para)&lt;pas/2,"Para","")</f>
        <v/>
      </c>
      <c r="AA615" s="424" t="str">
        <f aca="false">IF(ABS(t-T_satellite)&lt;pas/2,"Satellite","")</f>
        <v/>
      </c>
      <c r="AB615" s="412"/>
      <c r="AC615" s="420" t="e">
        <f aca="false">IF(ABS(t-ROUND(t,0))&lt;0.001,t,NA())</f>
        <v>#N/A</v>
      </c>
      <c r="AD615" s="425" t="e">
        <f aca="false">IF(ABS(t-ROUND(t,0))&lt;0.001,pos_x,NA())</f>
        <v>#N/A</v>
      </c>
      <c r="AE615" s="426" t="e">
        <f aca="false">IF(t&lt;T_para, pos_z, NA())</f>
        <v>#N/A</v>
      </c>
      <c r="AF615" s="412"/>
      <c r="AG615" s="418" t="n">
        <f aca="false">IF(AND(L614&lt;L_rampe,Poussee&lt;Poids*SIN(M614)),0,(-W614+Poussee)/m-Poids*SIN(M614)/m)</f>
        <v>6.76664398502197</v>
      </c>
      <c r="AH615" s="417" t="n">
        <f aca="false">IF(AND(L614&lt;L_rampe,Poussee&lt;Poids*SIN(M614)), g*SIN(M614), (-W614+Poussee)/m)</f>
        <v>-2.61905741002939</v>
      </c>
    </row>
    <row r="616" customFormat="false" ht="12" hidden="false" customHeight="false" outlineLevel="0" collapsed="false">
      <c r="A616" s="416" t="n">
        <f aca="false">IF(B615+0.01&lt;=T_ini+ROUNDUP(Temps_fin_propu,0), 0.01, IF(K615&gt;0, 0.1, 0.0001))</f>
        <v>0.1</v>
      </c>
      <c r="B616" s="417" t="n">
        <f aca="false">B615+pas</f>
        <v>25.2</v>
      </c>
      <c r="C616" s="401"/>
      <c r="D616" s="418" t="n">
        <f aca="false">IF(AND(L615&lt;L_rampe,Poussee&lt;Poids*SIN(M615)),0,(-W615+Poussee)/m*COS(M615)-U615/m*SIN(M615))</f>
        <v>-0.766634676551211</v>
      </c>
      <c r="E616" s="419" t="n">
        <f aca="false">IF(AND(L615&lt;L_rampe,Poussee&lt;Poids*SIN(M615)),0,(-W615+Poussee)/m*SIN(M615)+U615/m*COS(M615)-Poids/m)</f>
        <v>-7.2545607078989</v>
      </c>
      <c r="F616" s="417" t="n">
        <f aca="false">SQRT(acc_x^2+acc_z^2)</f>
        <v>7.2949557772396</v>
      </c>
      <c r="G616" s="418" t="n">
        <f aca="false">G615+acc_x*pas</f>
        <v>21.9260883920014</v>
      </c>
      <c r="H616" s="419" t="n">
        <f aca="false">H615+acc_z*pas</f>
        <v>-74.0676858919854</v>
      </c>
      <c r="I616" s="417" t="n">
        <f aca="false">SQRT(vit_x^2+vit_z^2)</f>
        <v>77.2449056285764</v>
      </c>
      <c r="J616" s="418" t="n">
        <f aca="false">J615+0.5*(vit_x+G615)*pas*(K615&gt;=0)</f>
        <v>722.599997090954</v>
      </c>
      <c r="K616" s="419" t="n">
        <f aca="false">K615+0.5*(vit_z+H615)*pas</f>
        <v>1142.40386402133</v>
      </c>
      <c r="L616" s="417" t="n">
        <f aca="false">SQRT(pos_x^2+pos_z^2)</f>
        <v>1351.75343325871</v>
      </c>
      <c r="M616" s="418" t="n">
        <f aca="false">IF(AND(L615&gt;L_rampe,G616&gt;0),ATAN2(G616,H616),$M$4)</f>
        <v>-1.28298779570423</v>
      </c>
      <c r="N616" s="417" t="n">
        <f aca="false">DEGREES(Beta)</f>
        <v>-73.509785860645</v>
      </c>
      <c r="O616" s="401"/>
      <c r="P616" s="420" t="n">
        <f aca="false">MATCH(t-pas/2-T_ini,CdP_t)</f>
        <v>23</v>
      </c>
      <c r="Q616" s="417" t="n">
        <f aca="false">(INDEX(CdP,2,i_P+1)-INDEX(CdP,2,i_P+0))/(INDEX(CdP,1,i_P+1)-INDEX(CdP,1,i_P+0))*(t-pas/2-T_ini-INDEX(CdP,1,i_P+0))+INDEX(CdP,2,i_P+0)</f>
        <v>0</v>
      </c>
      <c r="R616" s="418" t="n">
        <f aca="false">Poussee/(g*ISP)</f>
        <v>0</v>
      </c>
      <c r="S616" s="419" t="n">
        <f aca="false">S615-Débit*pas</f>
        <v>7.37799999999998</v>
      </c>
      <c r="T616" s="417" t="n">
        <f aca="false">m*g</f>
        <v>72.3781799999998</v>
      </c>
      <c r="U616" s="421" t="n">
        <f aca="false">IF(pos_xz&lt;L_rampe,Poids*COS(Beta),0)</f>
        <v>0</v>
      </c>
      <c r="V616" s="418" t="n">
        <f aca="false">Rho_moyen*(20000-Alt_rampe-pos_z)/(20000+Alt_rampe+pos_z)</f>
        <v>1.09261725464836</v>
      </c>
      <c r="W616" s="417" t="n">
        <f aca="false">1/2*Rho*Sref*Cx*vit_xz^2</f>
        <v>20.0467262859128</v>
      </c>
      <c r="X616" s="401"/>
      <c r="Y616" s="422" t="str">
        <f aca="false">IF(AND(pos_z&lt;=0,K615&gt;0),"Impact balistique","") &amp; IF(AND(H617&lt;0,vit_z&gt;=0),"Apogée","") &amp; IF(AND(Poussee=0,Q615&gt;0),"Fin de propulsion","") &amp; IF(AND(L617&gt;L_rampe,pos_xz&lt;=L_rampe),"Sortie de rampe","")</f>
        <v/>
      </c>
      <c r="Z616" s="423" t="str">
        <f aca="false">IF(ABS(t-T_para)&lt;pas/2,"Para","")</f>
        <v/>
      </c>
      <c r="AA616" s="424" t="str">
        <f aca="false">IF(ABS(t-T_satellite)&lt;pas/2,"Satellite","")</f>
        <v/>
      </c>
      <c r="AB616" s="412"/>
      <c r="AC616" s="420" t="e">
        <f aca="false">IF(ABS(t-ROUND(t,0))&lt;0.001,t,NA())</f>
        <v>#N/A</v>
      </c>
      <c r="AD616" s="425" t="e">
        <f aca="false">IF(ABS(t-ROUND(t,0))&lt;0.001,pos_x,NA())</f>
        <v>#N/A</v>
      </c>
      <c r="AE616" s="426" t="e">
        <f aca="false">IF(t&lt;T_para, pos_z, NA())</f>
        <v>#N/A</v>
      </c>
      <c r="AF616" s="412"/>
      <c r="AG616" s="418" t="n">
        <f aca="false">IF(AND(L615&lt;L_rampe,Poussee&lt;Poids*SIN(M615)),0,(-W615+Poussee)/m-Poids*SIN(M615)/m)</f>
        <v>6.72831515682593</v>
      </c>
      <c r="AH616" s="417" t="n">
        <f aca="false">IF(AND(L615&lt;L_rampe,Poussee&lt;Poids*SIN(M615)), g*SIN(M615), (-W615+Poussee)/m)</f>
        <v>-2.66795777757163</v>
      </c>
    </row>
    <row r="617" customFormat="false" ht="12" hidden="false" customHeight="false" outlineLevel="0" collapsed="false">
      <c r="A617" s="416" t="n">
        <f aca="false">IF(B616+0.01&lt;=T_ini+ROUNDUP(Temps_fin_propu,0), 0.01, IF(K616&gt;0, 0.1, 0.0001))</f>
        <v>0.1</v>
      </c>
      <c r="B617" s="417" t="n">
        <f aca="false">B616+pas</f>
        <v>25.3</v>
      </c>
      <c r="C617" s="401"/>
      <c r="D617" s="418" t="n">
        <f aca="false">IF(AND(L616&lt;L_rampe,Poussee&lt;Poids*SIN(M616)),0,(-W616+Poussee)/m*COS(M616)-U616/m*SIN(M616))</f>
        <v>-0.771251680612458</v>
      </c>
      <c r="E617" s="419" t="n">
        <f aca="false">IF(AND(L616&lt;L_rampe,Poussee&lt;Poids*SIN(M616)),0,(-W616+Poussee)/m*SIN(M616)+U616/m*COS(M616)-Poids/m)</f>
        <v>-7.20466400928547</v>
      </c>
      <c r="F617" s="417" t="n">
        <f aca="false">SQRT(acc_x^2+acc_z^2)</f>
        <v>7.24582725722473</v>
      </c>
      <c r="G617" s="418" t="n">
        <f aca="false">G616+acc_x*pas</f>
        <v>21.8489632239401</v>
      </c>
      <c r="H617" s="419" t="n">
        <f aca="false">H616+acc_z*pas</f>
        <v>-74.788152292914</v>
      </c>
      <c r="I617" s="417" t="n">
        <f aca="false">SQRT(vit_x^2+vit_z^2)</f>
        <v>77.914343463506</v>
      </c>
      <c r="J617" s="418" t="n">
        <f aca="false">J616+0.5*(vit_x+G616)*pas*(K616&gt;=0)</f>
        <v>724.788749671751</v>
      </c>
      <c r="K617" s="419" t="n">
        <f aca="false">K616+0.5*(vit_z+H616)*pas</f>
        <v>1134.96107211209</v>
      </c>
      <c r="L617" s="417" t="n">
        <f aca="false">SQRT(pos_x^2+pos_z^2)</f>
        <v>1346.64596938489</v>
      </c>
      <c r="M617" s="418" t="n">
        <f aca="false">IF(AND(L616&gt;L_rampe,G617&gt;0),ATAN2(G617,H617),$M$4)</f>
        <v>-1.28656170750138</v>
      </c>
      <c r="N617" s="417" t="n">
        <f aca="false">DEGREES(Beta)</f>
        <v>-73.7145559229737</v>
      </c>
      <c r="O617" s="401"/>
      <c r="P617" s="420" t="n">
        <f aca="false">MATCH(t-pas/2-T_ini,CdP_t)</f>
        <v>23</v>
      </c>
      <c r="Q617" s="417" t="n">
        <f aca="false">(INDEX(CdP,2,i_P+1)-INDEX(CdP,2,i_P+0))/(INDEX(CdP,1,i_P+1)-INDEX(CdP,1,i_P+0))*(t-pas/2-T_ini-INDEX(CdP,1,i_P+0))+INDEX(CdP,2,i_P+0)</f>
        <v>0</v>
      </c>
      <c r="R617" s="418" t="n">
        <f aca="false">Poussee/(g*ISP)</f>
        <v>0</v>
      </c>
      <c r="S617" s="419" t="n">
        <f aca="false">S616-Débit*pas</f>
        <v>7.37799999999998</v>
      </c>
      <c r="T617" s="417" t="n">
        <f aca="false">m*g</f>
        <v>72.3781799999998</v>
      </c>
      <c r="U617" s="421" t="n">
        <f aca="false">IF(pos_xz&lt;L_rampe,Poids*COS(Beta),0)</f>
        <v>0</v>
      </c>
      <c r="V617" s="418" t="n">
        <f aca="false">Rho_moyen*(20000-Alt_rampe-pos_z)/(20000+Alt_rampe+pos_z)</f>
        <v>1.09343341621557</v>
      </c>
      <c r="W617" s="417" t="n">
        <f aca="false">1/2*Rho*Sref*Cx*vit_xz^2</f>
        <v>20.4109343239558</v>
      </c>
      <c r="X617" s="401"/>
      <c r="Y617" s="422" t="str">
        <f aca="false">IF(AND(pos_z&lt;=0,K616&gt;0),"Impact balistique","") &amp; IF(AND(H618&lt;0,vit_z&gt;=0),"Apogée","") &amp; IF(AND(Poussee=0,Q616&gt;0),"Fin de propulsion","") &amp; IF(AND(L618&gt;L_rampe,pos_xz&lt;=L_rampe),"Sortie de rampe","")</f>
        <v/>
      </c>
      <c r="Z617" s="423" t="str">
        <f aca="false">IF(ABS(t-T_para)&lt;pas/2,"Para","")</f>
        <v/>
      </c>
      <c r="AA617" s="424" t="str">
        <f aca="false">IF(ABS(t-T_satellite)&lt;pas/2,"Satellite","")</f>
        <v/>
      </c>
      <c r="AB617" s="412"/>
      <c r="AC617" s="420" t="e">
        <f aca="false">IF(ABS(t-ROUND(t,0))&lt;0.001,t,NA())</f>
        <v>#N/A</v>
      </c>
      <c r="AD617" s="425" t="e">
        <f aca="false">IF(ABS(t-ROUND(t,0))&lt;0.001,pos_x,NA())</f>
        <v>#N/A</v>
      </c>
      <c r="AE617" s="426" t="e">
        <f aca="false">IF(t&lt;T_para, pos_z, NA())</f>
        <v>#N/A</v>
      </c>
      <c r="AF617" s="412"/>
      <c r="AG617" s="418" t="n">
        <f aca="false">IF(AND(L616&lt;L_rampe,Poussee&lt;Poids*SIN(M616)),0,(-W616+Poussee)/m-Poids*SIN(M616)/m)</f>
        <v>6.68940241522285</v>
      </c>
      <c r="AH617" s="417" t="n">
        <f aca="false">IF(AND(L616&lt;L_rampe,Poussee&lt;Poids*SIN(M616)), g*SIN(M616), (-W616+Poussee)/m)</f>
        <v>-2.71709491541242</v>
      </c>
    </row>
    <row r="618" customFormat="false" ht="12" hidden="false" customHeight="false" outlineLevel="0" collapsed="false">
      <c r="A618" s="416" t="n">
        <f aca="false">IF(B617+0.01&lt;=T_ini+ROUNDUP(Temps_fin_propu,0), 0.01, IF(K617&gt;0, 0.1, 0.0001))</f>
        <v>0.1</v>
      </c>
      <c r="B618" s="417" t="n">
        <f aca="false">B617+pas</f>
        <v>25.4000000000001</v>
      </c>
      <c r="C618" s="401"/>
      <c r="D618" s="418" t="n">
        <f aca="false">IF(AND(L617&lt;L_rampe,Poussee&lt;Poids*SIN(M617)),0,(-W617+Poussee)/m*COS(M617)-U617/m*SIN(M617))</f>
        <v>-0.775778345005183</v>
      </c>
      <c r="E618" s="419" t="n">
        <f aca="false">IF(AND(L617&lt;L_rampe,Poussee&lt;Poids*SIN(M617)),0,(-W617+Poussee)/m*SIN(M617)+U617/m*COS(M617)-Poids/m)</f>
        <v>-7.15454086369552</v>
      </c>
      <c r="F618" s="417" t="n">
        <f aca="false">SQRT(acc_x^2+acc_z^2)</f>
        <v>7.19647740292902</v>
      </c>
      <c r="G618" s="418" t="n">
        <f aca="false">G617+acc_x*pas</f>
        <v>21.7713853894396</v>
      </c>
      <c r="H618" s="419" t="n">
        <f aca="false">H617+acc_z*pas</f>
        <v>-75.5036063792835</v>
      </c>
      <c r="I618" s="417" t="n">
        <f aca="false">SQRT(vit_x^2+vit_z^2)</f>
        <v>78.5798180072548</v>
      </c>
      <c r="J618" s="418" t="n">
        <f aca="false">J617+0.5*(vit_x+G617)*pas*(K617&gt;=0)</f>
        <v>726.96976710242</v>
      </c>
      <c r="K618" s="419" t="n">
        <f aca="false">K617+0.5*(vit_z+H617)*pas</f>
        <v>1127.44648417848</v>
      </c>
      <c r="L618" s="417" t="n">
        <f aca="false">SQRT(pos_x^2+pos_z^2)</f>
        <v>1341.49939134066</v>
      </c>
      <c r="M618" s="418" t="n">
        <f aca="false">IF(AND(L617&gt;L_rampe,G618&gt;0),ATAN2(G618,H618),$M$4)</f>
        <v>-1.29006254775543</v>
      </c>
      <c r="N618" s="417" t="n">
        <f aca="false">DEGREES(Beta)</f>
        <v>-73.9151392942806</v>
      </c>
      <c r="O618" s="401"/>
      <c r="P618" s="420" t="n">
        <f aca="false">MATCH(t-pas/2-T_ini,CdP_t)</f>
        <v>23</v>
      </c>
      <c r="Q618" s="417" t="n">
        <f aca="false">(INDEX(CdP,2,i_P+1)-INDEX(CdP,2,i_P+0))/(INDEX(CdP,1,i_P+1)-INDEX(CdP,1,i_P+0))*(t-pas/2-T_ini-INDEX(CdP,1,i_P+0))+INDEX(CdP,2,i_P+0)</f>
        <v>0</v>
      </c>
      <c r="R618" s="418" t="n">
        <f aca="false">Poussee/(g*ISP)</f>
        <v>0</v>
      </c>
      <c r="S618" s="419" t="n">
        <f aca="false">S617-Débit*pas</f>
        <v>7.37799999999998</v>
      </c>
      <c r="T618" s="417" t="n">
        <f aca="false">m*g</f>
        <v>72.3781799999998</v>
      </c>
      <c r="U618" s="421" t="n">
        <f aca="false">IF(pos_xz&lt;L_rampe,Poids*COS(Beta),0)</f>
        <v>0</v>
      </c>
      <c r="V618" s="418" t="n">
        <f aca="false">Rho_moyen*(20000-Alt_rampe-pos_z)/(20000+Alt_rampe+pos_z)</f>
        <v>1.09425803417342</v>
      </c>
      <c r="W618" s="417" t="n">
        <f aca="false">1/2*Rho*Sref*Cx*vit_xz^2</f>
        <v>20.7767442256624</v>
      </c>
      <c r="X618" s="401"/>
      <c r="Y618" s="422" t="str">
        <f aca="false">IF(AND(pos_z&lt;=0,K617&gt;0),"Impact balistique","") &amp; IF(AND(H619&lt;0,vit_z&gt;=0),"Apogée","") &amp; IF(AND(Poussee=0,Q617&gt;0),"Fin de propulsion","") &amp; IF(AND(L619&gt;L_rampe,pos_xz&lt;=L_rampe),"Sortie de rampe","")</f>
        <v/>
      </c>
      <c r="Z618" s="423" t="str">
        <f aca="false">IF(ABS(t-T_para)&lt;pas/2,"Para","")</f>
        <v/>
      </c>
      <c r="AA618" s="424" t="str">
        <f aca="false">IF(ABS(t-T_satellite)&lt;pas/2,"Satellite","")</f>
        <v/>
      </c>
      <c r="AB618" s="412"/>
      <c r="AC618" s="420" t="e">
        <f aca="false">IF(ABS(t-ROUND(t,0))&lt;0.001,t,NA())</f>
        <v>#N/A</v>
      </c>
      <c r="AD618" s="425" t="e">
        <f aca="false">IF(ABS(t-ROUND(t,0))&lt;0.001,pos_x,NA())</f>
        <v>#N/A</v>
      </c>
      <c r="AE618" s="426" t="e">
        <f aca="false">IF(t&lt;T_para, pos_z, NA())</f>
        <v>#N/A</v>
      </c>
      <c r="AF618" s="412"/>
      <c r="AG618" s="418" t="n">
        <f aca="false">IF(AND(L617&lt;L_rampe,Poussee&lt;Poids*SIN(M617)),0,(-W617+Poussee)/m-Poids*SIN(M617)/m)</f>
        <v>6.64993011733035</v>
      </c>
      <c r="AH618" s="417" t="n">
        <f aca="false">IF(AND(L617&lt;L_rampe,Poussee&lt;Poids*SIN(M617)), g*SIN(M617), (-W617+Poussee)/m)</f>
        <v>-2.76645897586823</v>
      </c>
    </row>
    <row r="619" customFormat="false" ht="12" hidden="false" customHeight="false" outlineLevel="0" collapsed="false">
      <c r="A619" s="416" t="n">
        <f aca="false">IF(B618+0.01&lt;=T_ini+ROUNDUP(Temps_fin_propu,0), 0.01, IF(K618&gt;0, 0.1, 0.0001))</f>
        <v>0.1</v>
      </c>
      <c r="B619" s="417" t="n">
        <f aca="false">B618+pas</f>
        <v>25.5000000000001</v>
      </c>
      <c r="C619" s="401"/>
      <c r="D619" s="418" t="n">
        <f aca="false">IF(AND(L618&lt;L_rampe,Poussee&lt;Poids*SIN(M618)),0,(-W618+Poussee)/m*COS(M618)-U618/m*SIN(M618))</f>
        <v>-0.780214270400365</v>
      </c>
      <c r="E619" s="419" t="n">
        <f aca="false">IF(AND(L618&lt;L_rampe,Poussee&lt;Poids*SIN(M618)),0,(-W618+Poussee)/m*SIN(M618)+U618/m*COS(M618)-Poids/m)</f>
        <v>-7.10420107585881</v>
      </c>
      <c r="F619" s="417" t="n">
        <f aca="false">SQRT(acc_x^2+acc_z^2)</f>
        <v>7.14691592464678</v>
      </c>
      <c r="G619" s="418" t="n">
        <f aca="false">G618+acc_x*pas</f>
        <v>21.6933639623996</v>
      </c>
      <c r="H619" s="419" t="n">
        <f aca="false">H618+acc_z*pas</f>
        <v>-76.2140264868694</v>
      </c>
      <c r="I619" s="417" t="n">
        <f aca="false">SQRT(vit_x^2+vit_z^2)</f>
        <v>79.2412763233049</v>
      </c>
      <c r="J619" s="418" t="n">
        <f aca="false">J618+0.5*(vit_x+G618)*pas*(K618&gt;=0)</f>
        <v>729.143004570012</v>
      </c>
      <c r="K619" s="419" t="n">
        <f aca="false">K618+0.5*(vit_z+H618)*pas</f>
        <v>1119.86060253517</v>
      </c>
      <c r="L619" s="417" t="n">
        <f aca="false">SQRT(pos_x^2+pos_z^2)</f>
        <v>1336.3148170337</v>
      </c>
      <c r="M619" s="418" t="n">
        <f aca="false">IF(AND(L618&gt;L_rampe,G619&gt;0),ATAN2(G619,H619),$M$4)</f>
        <v>-1.29349254241528</v>
      </c>
      <c r="N619" s="417" t="n">
        <f aca="false">DEGREES(Beta)</f>
        <v>-74.1116635120419</v>
      </c>
      <c r="O619" s="401"/>
      <c r="P619" s="420" t="n">
        <f aca="false">MATCH(t-pas/2-T_ini,CdP_t)</f>
        <v>23</v>
      </c>
      <c r="Q619" s="417" t="n">
        <f aca="false">(INDEX(CdP,2,i_P+1)-INDEX(CdP,2,i_P+0))/(INDEX(CdP,1,i_P+1)-INDEX(CdP,1,i_P+0))*(t-pas/2-T_ini-INDEX(CdP,1,i_P+0))+INDEX(CdP,2,i_P+0)</f>
        <v>0</v>
      </c>
      <c r="R619" s="418" t="n">
        <f aca="false">Poussee/(g*ISP)</f>
        <v>0</v>
      </c>
      <c r="S619" s="419" t="n">
        <f aca="false">S618-Débit*pas</f>
        <v>7.37799999999998</v>
      </c>
      <c r="T619" s="417" t="n">
        <f aca="false">m*g</f>
        <v>72.3781799999998</v>
      </c>
      <c r="U619" s="421" t="n">
        <f aca="false">IF(pos_xz&lt;L_rampe,Poids*COS(Beta),0)</f>
        <v>0</v>
      </c>
      <c r="V619" s="418" t="n">
        <f aca="false">Rho_moyen*(20000-Alt_rampe-pos_z)/(20000+Alt_rampe+pos_z)</f>
        <v>1.09509107077715</v>
      </c>
      <c r="W619" s="417" t="n">
        <f aca="false">1/2*Rho*Sref*Cx*vit_xz^2</f>
        <v>21.1440839283846</v>
      </c>
      <c r="X619" s="401"/>
      <c r="Y619" s="422" t="str">
        <f aca="false">IF(AND(pos_z&lt;=0,K618&gt;0),"Impact balistique","") &amp; IF(AND(H620&lt;0,vit_z&gt;=0),"Apogée","") &amp; IF(AND(Poussee=0,Q618&gt;0),"Fin de propulsion","") &amp; IF(AND(L620&gt;L_rampe,pos_xz&lt;=L_rampe),"Sortie de rampe","")</f>
        <v/>
      </c>
      <c r="Z619" s="423" t="str">
        <f aca="false">IF(ABS(t-T_para)&lt;pas/2,"Para","")</f>
        <v/>
      </c>
      <c r="AA619" s="424" t="str">
        <f aca="false">IF(ABS(t-T_satellite)&lt;pas/2,"Satellite","")</f>
        <v/>
      </c>
      <c r="AB619" s="412"/>
      <c r="AC619" s="420" t="e">
        <f aca="false">IF(ABS(t-ROUND(t,0))&lt;0.001,t,NA())</f>
        <v>#N/A</v>
      </c>
      <c r="AD619" s="425" t="e">
        <f aca="false">IF(ABS(t-ROUND(t,0))&lt;0.001,pos_x,NA())</f>
        <v>#N/A</v>
      </c>
      <c r="AE619" s="426" t="e">
        <f aca="false">IF(t&lt;T_para, pos_z, NA())</f>
        <v>#N/A</v>
      </c>
      <c r="AF619" s="412"/>
      <c r="AG619" s="418" t="n">
        <f aca="false">IF(AND(L618&lt;L_rampe,Poussee&lt;Poids*SIN(M618)),0,(-W618+Poussee)/m-Poids*SIN(M618)/m)</f>
        <v>6.60992185112652</v>
      </c>
      <c r="AH619" s="417" t="n">
        <f aca="false">IF(AND(L618&lt;L_rampe,Poussee&lt;Poids*SIN(M618)), g*SIN(M618), (-W618+Poussee)/m)</f>
        <v>-2.81604014985938</v>
      </c>
    </row>
    <row r="620" customFormat="false" ht="12" hidden="false" customHeight="false" outlineLevel="0" collapsed="false">
      <c r="A620" s="416" t="n">
        <f aca="false">IF(B619+0.01&lt;=T_ini+ROUNDUP(Temps_fin_propu,0), 0.01, IF(K619&gt;0, 0.1, 0.0001))</f>
        <v>0.1</v>
      </c>
      <c r="B620" s="417" t="n">
        <f aca="false">B619+pas</f>
        <v>25.6000000000001</v>
      </c>
      <c r="C620" s="401"/>
      <c r="D620" s="418" t="n">
        <f aca="false">IF(AND(L619&lt;L_rampe,Poussee&lt;Poids*SIN(M619)),0,(-W619+Poussee)/m*COS(M619)-U619/m*SIN(M619))</f>
        <v>-0.784559099500674</v>
      </c>
      <c r="E620" s="419" t="n">
        <f aca="false">IF(AND(L619&lt;L_rampe,Poussee&lt;Poids*SIN(M619)),0,(-W619+Poussee)/m*SIN(M619)+U619/m*COS(M619)-Poids/m)</f>
        <v>-7.05365441461737</v>
      </c>
      <c r="F620" s="417" t="n">
        <f aca="false">SQRT(acc_x^2+acc_z^2)</f>
        <v>7.09715249811221</v>
      </c>
      <c r="G620" s="418" t="n">
        <f aca="false">G619+acc_x*pas</f>
        <v>21.6149080524495</v>
      </c>
      <c r="H620" s="419" t="n">
        <f aca="false">H619+acc_z*pas</f>
        <v>-76.9193919283311</v>
      </c>
      <c r="I620" s="417" t="n">
        <f aca="false">SQRT(vit_x^2+vit_z^2)</f>
        <v>79.8986677281922</v>
      </c>
      <c r="J620" s="418" t="n">
        <f aca="false">J619+0.5*(vit_x+G619)*pas*(K619&gt;=0)</f>
        <v>731.308418170754</v>
      </c>
      <c r="K620" s="419" t="n">
        <f aca="false">K619+0.5*(vit_z+H619)*pas</f>
        <v>1112.20393161441</v>
      </c>
      <c r="L620" s="417" t="n">
        <f aca="false">SQRT(pos_x^2+pos_z^2)</f>
        <v>1331.09338064088</v>
      </c>
      <c r="M620" s="418" t="n">
        <f aca="false">IF(AND(L619&gt;L_rampe,G620&gt;0),ATAN2(G620,H620),$M$4)</f>
        <v>-1.29685383043946</v>
      </c>
      <c r="N620" s="417" t="n">
        <f aca="false">DEGREES(Beta)</f>
        <v>-74.3042511295556</v>
      </c>
      <c r="O620" s="401"/>
      <c r="P620" s="420" t="n">
        <f aca="false">MATCH(t-pas/2-T_ini,CdP_t)</f>
        <v>23</v>
      </c>
      <c r="Q620" s="417" t="n">
        <f aca="false">(INDEX(CdP,2,i_P+1)-INDEX(CdP,2,i_P+0))/(INDEX(CdP,1,i_P+1)-INDEX(CdP,1,i_P+0))*(t-pas/2-T_ini-INDEX(CdP,1,i_P+0))+INDEX(CdP,2,i_P+0)</f>
        <v>0</v>
      </c>
      <c r="R620" s="418" t="n">
        <f aca="false">Poussee/(g*ISP)</f>
        <v>0</v>
      </c>
      <c r="S620" s="419" t="n">
        <f aca="false">S619-Débit*pas</f>
        <v>7.37799999999998</v>
      </c>
      <c r="T620" s="417" t="n">
        <f aca="false">m*g</f>
        <v>72.3781799999998</v>
      </c>
      <c r="U620" s="421" t="n">
        <f aca="false">IF(pos_xz&lt;L_rampe,Poids*COS(Beta),0)</f>
        <v>0</v>
      </c>
      <c r="V620" s="418" t="n">
        <f aca="false">Rho_moyen*(20000-Alt_rampe-pos_z)/(20000+Alt_rampe+pos_z)</f>
        <v>1.09593248808691</v>
      </c>
      <c r="W620" s="417" t="n">
        <f aca="false">1/2*Rho*Sref*Cx*vit_xz^2</f>
        <v>21.5128817016836</v>
      </c>
      <c r="X620" s="401"/>
      <c r="Y620" s="422" t="str">
        <f aca="false">IF(AND(pos_z&lt;=0,K619&gt;0),"Impact balistique","") &amp; IF(AND(H621&lt;0,vit_z&gt;=0),"Apogée","") &amp; IF(AND(Poussee=0,Q619&gt;0),"Fin de propulsion","") &amp; IF(AND(L621&gt;L_rampe,pos_xz&lt;=L_rampe),"Sortie de rampe","")</f>
        <v/>
      </c>
      <c r="Z620" s="423" t="str">
        <f aca="false">IF(ABS(t-T_para)&lt;pas/2,"Para","")</f>
        <v/>
      </c>
      <c r="AA620" s="424" t="str">
        <f aca="false">IF(ABS(t-T_satellite)&lt;pas/2,"Satellite","")</f>
        <v/>
      </c>
      <c r="AB620" s="412"/>
      <c r="AC620" s="420" t="e">
        <f aca="false">IF(ABS(t-ROUND(t,0))&lt;0.001,t,NA())</f>
        <v>#N/A</v>
      </c>
      <c r="AD620" s="425" t="e">
        <f aca="false">IF(ABS(t-ROUND(t,0))&lt;0.001,pos_x,NA())</f>
        <v>#N/A</v>
      </c>
      <c r="AE620" s="426" t="e">
        <f aca="false">IF(t&lt;T_para, pos_z, NA())</f>
        <v>#N/A</v>
      </c>
      <c r="AF620" s="412"/>
      <c r="AG620" s="418" t="n">
        <f aca="false">IF(AND(L619&lt;L_rampe,Poussee&lt;Poids*SIN(M619)),0,(-W619+Poussee)/m-Poids*SIN(M619)/m)</f>
        <v>6.5694004746399</v>
      </c>
      <c r="AH620" s="417" t="n">
        <f aca="false">IF(AND(L619&lt;L_rampe,Poussee&lt;Poids*SIN(M619)), g*SIN(M619), (-W619+Poussee)/m)</f>
        <v>-2.86582867015243</v>
      </c>
    </row>
    <row r="621" customFormat="false" ht="12" hidden="false" customHeight="false" outlineLevel="0" collapsed="false">
      <c r="A621" s="416" t="n">
        <f aca="false">IF(B620+0.01&lt;=T_ini+ROUNDUP(Temps_fin_propu,0), 0.01, IF(K620&gt;0, 0.1, 0.0001))</f>
        <v>0.1</v>
      </c>
      <c r="B621" s="417" t="n">
        <f aca="false">B620+pas</f>
        <v>25.7000000000001</v>
      </c>
      <c r="C621" s="401"/>
      <c r="D621" s="418" t="n">
        <f aca="false">IF(AND(L620&lt;L_rampe,Poussee&lt;Poids*SIN(M620)),0,(-W620+Poussee)/m*COS(M620)-U620/m*SIN(M620))</f>
        <v>-0.788812515981866</v>
      </c>
      <c r="E621" s="419" t="n">
        <f aca="false">IF(AND(L620&lt;L_rampe,Poussee&lt;Poids*SIN(M620)),0,(-W620+Poussee)/m*SIN(M620)+U620/m*COS(M620)-Poids/m)</f>
        <v>-7.00291060930948</v>
      </c>
      <c r="F621" s="417" t="n">
        <f aca="false">SQRT(acc_x^2+acc_z^2)</f>
        <v>7.04719676093615</v>
      </c>
      <c r="G621" s="418" t="n">
        <f aca="false">G620+acc_x*pas</f>
        <v>21.5360268008513</v>
      </c>
      <c r="H621" s="419" t="n">
        <f aca="false">H620+acc_z*pas</f>
        <v>-77.6196829892621</v>
      </c>
      <c r="I621" s="417" t="n">
        <f aca="false">SQRT(vit_x^2+vit_z^2)</f>
        <v>80.5519437240376</v>
      </c>
      <c r="J621" s="418" t="n">
        <f aca="false">J620+0.5*(vit_x+G620)*pas*(K620&gt;=0)</f>
        <v>733.465964913419</v>
      </c>
      <c r="K621" s="419" t="n">
        <f aca="false">K620+0.5*(vit_z+H620)*pas</f>
        <v>1104.47697786853</v>
      </c>
      <c r="L621" s="417" t="n">
        <f aca="false">SQRT(pos_x^2+pos_z^2)</f>
        <v>1325.83623284627</v>
      </c>
      <c r="M621" s="418" t="n">
        <f aca="false">IF(AND(L620&gt;L_rampe,G621&gt;0),ATAN2(G621,H621),$M$4)</f>
        <v>-1.30014846783338</v>
      </c>
      <c r="N621" s="417" t="n">
        <f aca="false">DEGREES(Beta)</f>
        <v>-74.493019947253</v>
      </c>
      <c r="O621" s="401"/>
      <c r="P621" s="420" t="n">
        <f aca="false">MATCH(t-pas/2-T_ini,CdP_t)</f>
        <v>23</v>
      </c>
      <c r="Q621" s="417" t="n">
        <f aca="false">(INDEX(CdP,2,i_P+1)-INDEX(CdP,2,i_P+0))/(INDEX(CdP,1,i_P+1)-INDEX(CdP,1,i_P+0))*(t-pas/2-T_ini-INDEX(CdP,1,i_P+0))+INDEX(CdP,2,i_P+0)</f>
        <v>0</v>
      </c>
      <c r="R621" s="418" t="n">
        <f aca="false">Poussee/(g*ISP)</f>
        <v>0</v>
      </c>
      <c r="S621" s="419" t="n">
        <f aca="false">S620-Débit*pas</f>
        <v>7.37799999999998</v>
      </c>
      <c r="T621" s="417" t="n">
        <f aca="false">m*g</f>
        <v>72.3781799999998</v>
      </c>
      <c r="U621" s="421" t="n">
        <f aca="false">IF(pos_xz&lt;L_rampe,Poids*COS(Beta),0)</f>
        <v>0</v>
      </c>
      <c r="V621" s="418" t="n">
        <f aca="false">Rho_moyen*(20000-Alt_rampe-pos_z)/(20000+Alt_rampe+pos_z)</f>
        <v>1.09678224797442</v>
      </c>
      <c r="W621" s="417" t="n">
        <f aca="false">1/2*Rho*Sref*Cx*vit_xz^2</f>
        <v>21.8830661703338</v>
      </c>
      <c r="X621" s="401"/>
      <c r="Y621" s="422" t="str">
        <f aca="false">IF(AND(pos_z&lt;=0,K620&gt;0),"Impact balistique","") &amp; IF(AND(H622&lt;0,vit_z&gt;=0),"Apogée","") &amp; IF(AND(Poussee=0,Q620&gt;0),"Fin de propulsion","") &amp; IF(AND(L622&gt;L_rampe,pos_xz&lt;=L_rampe),"Sortie de rampe","")</f>
        <v/>
      </c>
      <c r="Z621" s="423" t="str">
        <f aca="false">IF(ABS(t-T_para)&lt;pas/2,"Para","")</f>
        <v/>
      </c>
      <c r="AA621" s="424" t="str">
        <f aca="false">IF(ABS(t-T_satellite)&lt;pas/2,"Satellite","")</f>
        <v/>
      </c>
      <c r="AB621" s="412"/>
      <c r="AC621" s="420" t="e">
        <f aca="false">IF(ABS(t-ROUND(t,0))&lt;0.001,t,NA())</f>
        <v>#N/A</v>
      </c>
      <c r="AD621" s="425" t="e">
        <f aca="false">IF(ABS(t-ROUND(t,0))&lt;0.001,pos_x,NA())</f>
        <v>#N/A</v>
      </c>
      <c r="AE621" s="426" t="e">
        <f aca="false">IF(t&lt;T_para, pos_z, NA())</f>
        <v>#N/A</v>
      </c>
      <c r="AF621" s="412"/>
      <c r="AG621" s="418" t="n">
        <f aca="false">IF(AND(L620&lt;L_rampe,Poussee&lt;Poids*SIN(M620)),0,(-W620+Poussee)/m-Poids*SIN(M620)/m)</f>
        <v>6.52838815244632</v>
      </c>
      <c r="AH621" s="417" t="n">
        <f aca="false">IF(AND(L620&lt;L_rampe,Poussee&lt;Poids*SIN(M620)), g*SIN(M620), (-W620+Poussee)/m)</f>
        <v>-2.91581481454103</v>
      </c>
    </row>
    <row r="622" customFormat="false" ht="12" hidden="false" customHeight="false" outlineLevel="0" collapsed="false">
      <c r="A622" s="416" t="n">
        <f aca="false">IF(B621+0.01&lt;=T_ini+ROUNDUP(Temps_fin_propu,0), 0.01, IF(K621&gt;0, 0.1, 0.0001))</f>
        <v>0.1</v>
      </c>
      <c r="B622" s="417" t="n">
        <f aca="false">B621+pas</f>
        <v>25.8000000000001</v>
      </c>
      <c r="C622" s="401"/>
      <c r="D622" s="418" t="n">
        <f aca="false">IF(AND(L621&lt;L_rampe,Poussee&lt;Poids*SIN(M621)),0,(-W621+Poussee)/m*COS(M621)-U621/m*SIN(M621))</f>
        <v>-0.792974243468292</v>
      </c>
      <c r="E622" s="419" t="n">
        <f aca="false">IF(AND(L621&lt;L_rampe,Poussee&lt;Poids*SIN(M621)),0,(-W621+Poussee)/m*SIN(M621)+U621/m*COS(M621)-Poids/m)</f>
        <v>-6.9519793462448</v>
      </c>
      <c r="F622" s="417" t="n">
        <f aca="false">SQRT(acc_x^2+acc_z^2)</f>
        <v>6.9970583091338</v>
      </c>
      <c r="G622" s="418" t="n">
        <f aca="false">G621+acc_x*pas</f>
        <v>21.4567293765045</v>
      </c>
      <c r="H622" s="419" t="n">
        <f aca="false">H621+acc_z*pas</f>
        <v>-78.3148809238866</v>
      </c>
      <c r="I622" s="417" t="n">
        <f aca="false">SQRT(vit_x^2+vit_z^2)</f>
        <v>81.2010579343587</v>
      </c>
      <c r="J622" s="418" t="n">
        <f aca="false">J621+0.5*(vit_x+G621)*pas*(K621&gt;=0)</f>
        <v>735.615602722287</v>
      </c>
      <c r="K622" s="419" t="n">
        <f aca="false">K621+0.5*(vit_z+H621)*pas</f>
        <v>1096.68024967288</v>
      </c>
      <c r="L622" s="417" t="n">
        <f aca="false">SQRT(pos_x^2+pos_z^2)</f>
        <v>1320.54454108562</v>
      </c>
      <c r="M622" s="418" t="n">
        <f aca="false">IF(AND(L621&gt;L_rampe,G622&gt;0),ATAN2(G622,H622),$M$4)</f>
        <v>-1.30337843147419</v>
      </c>
      <c r="N622" s="417" t="n">
        <f aca="false">DEGREES(Beta)</f>
        <v>-74.6780832318524</v>
      </c>
      <c r="O622" s="401"/>
      <c r="P622" s="420" t="n">
        <f aca="false">MATCH(t-pas/2-T_ini,CdP_t)</f>
        <v>23</v>
      </c>
      <c r="Q622" s="417" t="n">
        <f aca="false">(INDEX(CdP,2,i_P+1)-INDEX(CdP,2,i_P+0))/(INDEX(CdP,1,i_P+1)-INDEX(CdP,1,i_P+0))*(t-pas/2-T_ini-INDEX(CdP,1,i_P+0))+INDEX(CdP,2,i_P+0)</f>
        <v>0</v>
      </c>
      <c r="R622" s="418" t="n">
        <f aca="false">Poussee/(g*ISP)</f>
        <v>0</v>
      </c>
      <c r="S622" s="419" t="n">
        <f aca="false">S621-Débit*pas</f>
        <v>7.37799999999998</v>
      </c>
      <c r="T622" s="417" t="n">
        <f aca="false">m*g</f>
        <v>72.3781799999998</v>
      </c>
      <c r="U622" s="421" t="n">
        <f aca="false">IF(pos_xz&lt;L_rampe,Poids*COS(Beta),0)</f>
        <v>0</v>
      </c>
      <c r="V622" s="418" t="n">
        <f aca="false">Rho_moyen*(20000-Alt_rampe-pos_z)/(20000+Alt_rampe+pos_z)</f>
        <v>1.09764031212967</v>
      </c>
      <c r="W622" s="417" t="n">
        <f aca="false">1/2*Rho*Sref*Cx*vit_xz^2</f>
        <v>22.2545663368502</v>
      </c>
      <c r="X622" s="401"/>
      <c r="Y622" s="422" t="str">
        <f aca="false">IF(AND(pos_z&lt;=0,K621&gt;0),"Impact balistique","") &amp; IF(AND(H623&lt;0,vit_z&gt;=0),"Apogée","") &amp; IF(AND(Poussee=0,Q621&gt;0),"Fin de propulsion","") &amp; IF(AND(L623&gt;L_rampe,pos_xz&lt;=L_rampe),"Sortie de rampe","")</f>
        <v/>
      </c>
      <c r="Z622" s="423" t="str">
        <f aca="false">IF(ABS(t-T_para)&lt;pas/2,"Para","")</f>
        <v/>
      </c>
      <c r="AA622" s="424" t="str">
        <f aca="false">IF(ABS(t-T_satellite)&lt;pas/2,"Satellite","")</f>
        <v/>
      </c>
      <c r="AB622" s="412"/>
      <c r="AC622" s="420" t="e">
        <f aca="false">IF(ABS(t-ROUND(t,0))&lt;0.001,t,NA())</f>
        <v>#N/A</v>
      </c>
      <c r="AD622" s="425" t="e">
        <f aca="false">IF(ABS(t-ROUND(t,0))&lt;0.001,pos_x,NA())</f>
        <v>#N/A</v>
      </c>
      <c r="AE622" s="426" t="e">
        <f aca="false">IF(t&lt;T_para, pos_z, NA())</f>
        <v>#N/A</v>
      </c>
      <c r="AF622" s="412"/>
      <c r="AG622" s="418" t="n">
        <f aca="false">IF(AND(L621&lt;L_rampe,Poussee&lt;Poids*SIN(M621)),0,(-W621+Poussee)/m-Poids*SIN(M621)/m)</f>
        <v>6.48690638966879</v>
      </c>
      <c r="AH622" s="417" t="n">
        <f aca="false">IF(AND(L621&lt;L_rampe,Poussee&lt;Poids*SIN(M621)), g*SIN(M621), (-W621+Poussee)/m)</f>
        <v>-2.96598890896366</v>
      </c>
    </row>
    <row r="623" customFormat="false" ht="12" hidden="false" customHeight="false" outlineLevel="0" collapsed="false">
      <c r="A623" s="416" t="n">
        <f aca="false">IF(B622+0.01&lt;=T_ini+ROUNDUP(Temps_fin_propu,0), 0.01, IF(K622&gt;0, 0.1, 0.0001))</f>
        <v>0.1</v>
      </c>
      <c r="B623" s="417" t="n">
        <f aca="false">B622+pas</f>
        <v>25.9000000000001</v>
      </c>
      <c r="C623" s="401"/>
      <c r="D623" s="418" t="n">
        <f aca="false">IF(AND(L622&lt;L_rampe,Poussee&lt;Poids*SIN(M622)),0,(-W622+Poussee)/m*COS(M622)-U622/m*SIN(M622))</f>
        <v>-0.797044044540011</v>
      </c>
      <c r="E623" s="419" t="n">
        <f aca="false">IF(AND(L622&lt;L_rampe,Poussee&lt;Poids*SIN(M622)),0,(-W622+Poussee)/m*SIN(M622)+U622/m*COS(M622)-Poids/m)</f>
        <v>-6.90087026527</v>
      </c>
      <c r="F623" s="417" t="n">
        <f aca="false">SQRT(acc_x^2+acc_z^2)</f>
        <v>6.94674669374265</v>
      </c>
      <c r="G623" s="418" t="n">
        <f aca="false">G622+acc_x*pas</f>
        <v>21.3770249720505</v>
      </c>
      <c r="H623" s="419" t="n">
        <f aca="false">H622+acc_z*pas</f>
        <v>-79.0049679504135</v>
      </c>
      <c r="I623" s="417" t="n">
        <f aca="false">SQRT(vit_x^2+vit_z^2)</f>
        <v>81.8459660429367</v>
      </c>
      <c r="J623" s="418" t="n">
        <f aca="false">J622+0.5*(vit_x+G622)*pas*(K622&gt;=0)</f>
        <v>737.757290439715</v>
      </c>
      <c r="K623" s="419" t="n">
        <f aca="false">K622+0.5*(vit_z+H622)*pas</f>
        <v>1088.81425722916</v>
      </c>
      <c r="L623" s="417" t="n">
        <f aca="false">SQRT(pos_x^2+pos_z^2)</f>
        <v>1315.21948979721</v>
      </c>
      <c r="M623" s="418" t="n">
        <f aca="false">IF(AND(L622&gt;L_rampe,G623&gt;0),ATAN2(G623,H623),$M$4)</f>
        <v>-1.30654562273573</v>
      </c>
      <c r="N623" s="417" t="n">
        <f aca="false">DEGREES(Beta)</f>
        <v>-74.859549924049</v>
      </c>
      <c r="O623" s="401"/>
      <c r="P623" s="420" t="n">
        <f aca="false">MATCH(t-pas/2-T_ini,CdP_t)</f>
        <v>23</v>
      </c>
      <c r="Q623" s="417" t="n">
        <f aca="false">(INDEX(CdP,2,i_P+1)-INDEX(CdP,2,i_P+0))/(INDEX(CdP,1,i_P+1)-INDEX(CdP,1,i_P+0))*(t-pas/2-T_ini-INDEX(CdP,1,i_P+0))+INDEX(CdP,2,i_P+0)</f>
        <v>0</v>
      </c>
      <c r="R623" s="418" t="n">
        <f aca="false">Poussee/(g*ISP)</f>
        <v>0</v>
      </c>
      <c r="S623" s="419" t="n">
        <f aca="false">S622-Débit*pas</f>
        <v>7.37799999999998</v>
      </c>
      <c r="T623" s="417" t="n">
        <f aca="false">m*g</f>
        <v>72.3781799999998</v>
      </c>
      <c r="U623" s="421" t="n">
        <f aca="false">IF(pos_xz&lt;L_rampe,Poids*COS(Beta),0)</f>
        <v>0</v>
      </c>
      <c r="V623" s="418" t="n">
        <f aca="false">Rho_moyen*(20000-Alt_rampe-pos_z)/(20000+Alt_rampe+pos_z)</f>
        <v>1.09850664206751</v>
      </c>
      <c r="W623" s="417" t="n">
        <f aca="false">1/2*Rho*Sref*Cx*vit_xz^2</f>
        <v>22.6273116035335</v>
      </c>
      <c r="X623" s="401"/>
      <c r="Y623" s="422" t="str">
        <f aca="false">IF(AND(pos_z&lt;=0,K622&gt;0),"Impact balistique","") &amp; IF(AND(H624&lt;0,vit_z&gt;=0),"Apogée","") &amp; IF(AND(Poussee=0,Q622&gt;0),"Fin de propulsion","") &amp; IF(AND(L624&gt;L_rampe,pos_xz&lt;=L_rampe),"Sortie de rampe","")</f>
        <v/>
      </c>
      <c r="Z623" s="423" t="str">
        <f aca="false">IF(ABS(t-T_para)&lt;pas/2,"Para","")</f>
        <v/>
      </c>
      <c r="AA623" s="424" t="str">
        <f aca="false">IF(ABS(t-T_satellite)&lt;pas/2,"Satellite","")</f>
        <v/>
      </c>
      <c r="AB623" s="412"/>
      <c r="AC623" s="420" t="e">
        <f aca="false">IF(ABS(t-ROUND(t,0))&lt;0.001,t,NA())</f>
        <v>#N/A</v>
      </c>
      <c r="AD623" s="425" t="e">
        <f aca="false">IF(ABS(t-ROUND(t,0))&lt;0.001,pos_x,NA())</f>
        <v>#N/A</v>
      </c>
      <c r="AE623" s="426" t="e">
        <f aca="false">IF(t&lt;T_para, pos_z, NA())</f>
        <v>#N/A</v>
      </c>
      <c r="AF623" s="412"/>
      <c r="AG623" s="418" t="n">
        <f aca="false">IF(AND(L622&lt;L_rampe,Poussee&lt;Poids*SIN(M622)),0,(-W622+Poussee)/m-Poids*SIN(M622)/m)</f>
        <v>6.44497606366184</v>
      </c>
      <c r="AH623" s="417" t="n">
        <f aca="false">IF(AND(L622&lt;L_rampe,Poussee&lt;Poids*SIN(M622)), g*SIN(M622), (-W622+Poussee)/m)</f>
        <v>-3.01634133055709</v>
      </c>
    </row>
    <row r="624" customFormat="false" ht="12" hidden="false" customHeight="false" outlineLevel="0" collapsed="false">
      <c r="A624" s="416" t="n">
        <f aca="false">IF(B623+0.01&lt;=T_ini+ROUNDUP(Temps_fin_propu,0), 0.01, IF(K623&gt;0, 0.1, 0.0001))</f>
        <v>0.1</v>
      </c>
      <c r="B624" s="417" t="n">
        <f aca="false">B623+pas</f>
        <v>26.0000000000001</v>
      </c>
      <c r="C624" s="401"/>
      <c r="D624" s="418" t="n">
        <f aca="false">IF(AND(L623&lt;L_rampe,Poussee&lt;Poids*SIN(M623)),0,(-W623+Poussee)/m*COS(M623)-U623/m*SIN(M623))</f>
        <v>-0.801021719769247</v>
      </c>
      <c r="E624" s="419" t="n">
        <f aca="false">IF(AND(L623&lt;L_rampe,Poussee&lt;Poids*SIN(M623)),0,(-W623+Poussee)/m*SIN(M623)+U623/m*COS(M623)-Poids/m)</f>
        <v>-6.84959295642418</v>
      </c>
      <c r="F624" s="417" t="n">
        <f aca="false">SQRT(acc_x^2+acc_z^2)</f>
        <v>6.89627141752975</v>
      </c>
      <c r="G624" s="418" t="n">
        <f aca="false">G623+acc_x*pas</f>
        <v>21.2969228000736</v>
      </c>
      <c r="H624" s="419" t="n">
        <f aca="false">H623+acc_z*pas</f>
        <v>-79.689927246056</v>
      </c>
      <c r="I624" s="417" t="n">
        <f aca="false">SQRT(vit_x^2+vit_z^2)</f>
        <v>82.4866257355336</v>
      </c>
      <c r="J624" s="418" t="n">
        <f aca="false">J623+0.5*(vit_x+G623)*pas*(K623&gt;=0)</f>
        <v>739.890987828321</v>
      </c>
      <c r="K624" s="419" t="n">
        <f aca="false">K623+0.5*(vit_z+H623)*pas</f>
        <v>1080.87951246934</v>
      </c>
      <c r="L624" s="417" t="n">
        <f aca="false">SQRT(pos_x^2+pos_z^2)</f>
        <v>1309.86228067897</v>
      </c>
      <c r="M624" s="418" t="n">
        <f aca="false">IF(AND(L623&gt;L_rampe,G624&gt;0),ATAN2(G624,H624),$M$4)</f>
        <v>-1.30965187092463</v>
      </c>
      <c r="N624" s="417" t="n">
        <f aca="false">DEGREES(Beta)</f>
        <v>-75.0375248353934</v>
      </c>
      <c r="O624" s="401"/>
      <c r="P624" s="420" t="n">
        <f aca="false">MATCH(t-pas/2-T_ini,CdP_t)</f>
        <v>23</v>
      </c>
      <c r="Q624" s="417" t="n">
        <f aca="false">(INDEX(CdP,2,i_P+1)-INDEX(CdP,2,i_P+0))/(INDEX(CdP,1,i_P+1)-INDEX(CdP,1,i_P+0))*(t-pas/2-T_ini-INDEX(CdP,1,i_P+0))+INDEX(CdP,2,i_P+0)</f>
        <v>0</v>
      </c>
      <c r="R624" s="418" t="n">
        <f aca="false">Poussee/(g*ISP)</f>
        <v>0</v>
      </c>
      <c r="S624" s="419" t="n">
        <f aca="false">S623-Débit*pas</f>
        <v>7.37799999999998</v>
      </c>
      <c r="T624" s="417" t="n">
        <f aca="false">m*g</f>
        <v>72.3781799999998</v>
      </c>
      <c r="U624" s="421" t="n">
        <f aca="false">IF(pos_xz&lt;L_rampe,Poids*COS(Beta),0)</f>
        <v>0</v>
      </c>
      <c r="V624" s="418" t="n">
        <f aca="false">Rho_moyen*(20000-Alt_rampe-pos_z)/(20000+Alt_rampe+pos_z)</f>
        <v>1.09938119913434</v>
      </c>
      <c r="W624" s="417" t="n">
        <f aca="false">1/2*Rho*Sref*Cx*vit_xz^2</f>
        <v>23.0012317940238</v>
      </c>
      <c r="X624" s="401"/>
      <c r="Y624" s="422" t="str">
        <f aca="false">IF(AND(pos_z&lt;=0,K623&gt;0),"Impact balistique","") &amp; IF(AND(H625&lt;0,vit_z&gt;=0),"Apogée","") &amp; IF(AND(Poussee=0,Q623&gt;0),"Fin de propulsion","") &amp; IF(AND(L625&gt;L_rampe,pos_xz&lt;=L_rampe),"Sortie de rampe","")</f>
        <v/>
      </c>
      <c r="Z624" s="423" t="str">
        <f aca="false">IF(ABS(t-T_para)&lt;pas/2,"Para","")</f>
        <v/>
      </c>
      <c r="AA624" s="424" t="str">
        <f aca="false">IF(ABS(t-T_satellite)&lt;pas/2,"Satellite","")</f>
        <v/>
      </c>
      <c r="AB624" s="412"/>
      <c r="AC624" s="420" t="n">
        <f aca="false">IF(ABS(t-ROUND(t,0))&lt;0.001,t,NA())</f>
        <v>26.0000000000001</v>
      </c>
      <c r="AD624" s="425" t="n">
        <f aca="false">IF(ABS(t-ROUND(t,0))&lt;0.001,pos_x,NA())</f>
        <v>739.890987828321</v>
      </c>
      <c r="AE624" s="426" t="e">
        <f aca="false">IF(t&lt;T_para, pos_z, NA())</f>
        <v>#N/A</v>
      </c>
      <c r="AF624" s="412"/>
      <c r="AG624" s="418" t="n">
        <f aca="false">IF(AND(L623&lt;L_rampe,Poussee&lt;Poids*SIN(M623)),0,(-W623+Poussee)/m-Poids*SIN(M623)/m)</f>
        <v>6.40261745354807</v>
      </c>
      <c r="AH624" s="417" t="n">
        <f aca="false">IF(AND(L623&lt;L_rampe,Poussee&lt;Poids*SIN(M623)), g*SIN(M623), (-W623+Poussee)/m)</f>
        <v>-3.06686251064429</v>
      </c>
    </row>
    <row r="625" customFormat="false" ht="12" hidden="false" customHeight="false" outlineLevel="0" collapsed="false">
      <c r="A625" s="416" t="n">
        <f aca="false">IF(B624+0.01&lt;=T_ini+ROUNDUP(Temps_fin_propu,0), 0.01, IF(K624&gt;0, 0.1, 0.0001))</f>
        <v>0.1</v>
      </c>
      <c r="B625" s="417" t="n">
        <f aca="false">B624+pas</f>
        <v>26.1000000000001</v>
      </c>
      <c r="C625" s="401"/>
      <c r="D625" s="418" t="n">
        <f aca="false">IF(AND(L624&lt;L_rampe,Poussee&lt;Poids*SIN(M624)),0,(-W624+Poussee)/m*COS(M624)-U624/m*SIN(M624))</f>
        <v>-0.804907106784064</v>
      </c>
      <c r="E625" s="419" t="n">
        <f aca="false">IF(AND(L624&lt;L_rampe,Poussee&lt;Poids*SIN(M624)),0,(-W624+Poussee)/m*SIN(M624)+U624/m*COS(M624)-Poids/m)</f>
        <v>-6.79815695668325</v>
      </c>
      <c r="F625" s="417" t="n">
        <f aca="false">SQRT(acc_x^2+acc_z^2)</f>
        <v>6.84564193178787</v>
      </c>
      <c r="G625" s="418" t="n">
        <f aca="false">G624+acc_x*pas</f>
        <v>21.2164320893952</v>
      </c>
      <c r="H625" s="419" t="n">
        <f aca="false">H624+acc_z*pas</f>
        <v>-80.3697429417243</v>
      </c>
      <c r="I625" s="417" t="n">
        <f aca="false">SQRT(vit_x^2+vit_z^2)</f>
        <v>83.1229966442666</v>
      </c>
      <c r="J625" s="418" t="n">
        <f aca="false">J624+0.5*(vit_x+G624)*pas*(K624&gt;=0)</f>
        <v>742.016655572794</v>
      </c>
      <c r="K625" s="419" t="n">
        <f aca="false">K624+0.5*(vit_z+H624)*pas</f>
        <v>1072.87652895995</v>
      </c>
      <c r="L625" s="417" t="n">
        <f aca="false">SQRT(pos_x^2+pos_z^2)</f>
        <v>1304.47413295189</v>
      </c>
      <c r="M625" s="418" t="n">
        <f aca="false">IF(AND(L624&gt;L_rampe,G625&gt;0),ATAN2(G625,H625),$M$4)</f>
        <v>-1.31269893653861</v>
      </c>
      <c r="N625" s="417" t="n">
        <f aca="false">DEGREES(Beta)</f>
        <v>-75.2121088349736</v>
      </c>
      <c r="O625" s="401"/>
      <c r="P625" s="420" t="n">
        <f aca="false">MATCH(t-pas/2-T_ini,CdP_t)</f>
        <v>23</v>
      </c>
      <c r="Q625" s="417" t="n">
        <f aca="false">(INDEX(CdP,2,i_P+1)-INDEX(CdP,2,i_P+0))/(INDEX(CdP,1,i_P+1)-INDEX(CdP,1,i_P+0))*(t-pas/2-T_ini-INDEX(CdP,1,i_P+0))+INDEX(CdP,2,i_P+0)</f>
        <v>0</v>
      </c>
      <c r="R625" s="418" t="n">
        <f aca="false">Poussee/(g*ISP)</f>
        <v>0</v>
      </c>
      <c r="S625" s="419" t="n">
        <f aca="false">S624-Débit*pas</f>
        <v>7.37799999999998</v>
      </c>
      <c r="T625" s="417" t="n">
        <f aca="false">m*g</f>
        <v>72.3781799999998</v>
      </c>
      <c r="U625" s="421" t="n">
        <f aca="false">IF(pos_xz&lt;L_rampe,Poids*COS(Beta),0)</f>
        <v>0</v>
      </c>
      <c r="V625" s="418" t="n">
        <f aca="false">Rho_moyen*(20000-Alt_rampe-pos_z)/(20000+Alt_rampe+pos_z)</f>
        <v>1.10026394451467</v>
      </c>
      <c r="W625" s="417" t="n">
        <f aca="false">1/2*Rho*Sref*Cx*vit_xz^2</f>
        <v>23.3762571743539</v>
      </c>
      <c r="X625" s="401"/>
      <c r="Y625" s="422" t="str">
        <f aca="false">IF(AND(pos_z&lt;=0,K624&gt;0),"Impact balistique","") &amp; IF(AND(H626&lt;0,vit_z&gt;=0),"Apogée","") &amp; IF(AND(Poussee=0,Q624&gt;0),"Fin de propulsion","") &amp; IF(AND(L626&gt;L_rampe,pos_xz&lt;=L_rampe),"Sortie de rampe","")</f>
        <v/>
      </c>
      <c r="Z625" s="423" t="str">
        <f aca="false">IF(ABS(t-T_para)&lt;pas/2,"Para","")</f>
        <v/>
      </c>
      <c r="AA625" s="424" t="str">
        <f aca="false">IF(ABS(t-T_satellite)&lt;pas/2,"Satellite","")</f>
        <v/>
      </c>
      <c r="AB625" s="412"/>
      <c r="AC625" s="420" t="e">
        <f aca="false">IF(ABS(t-ROUND(t,0))&lt;0.001,t,NA())</f>
        <v>#N/A</v>
      </c>
      <c r="AD625" s="425" t="e">
        <f aca="false">IF(ABS(t-ROUND(t,0))&lt;0.001,pos_x,NA())</f>
        <v>#N/A</v>
      </c>
      <c r="AE625" s="426" t="e">
        <f aca="false">IF(t&lt;T_para, pos_z, NA())</f>
        <v>#N/A</v>
      </c>
      <c r="AF625" s="412"/>
      <c r="AG625" s="418" t="n">
        <f aca="false">IF(AND(L624&lt;L_rampe,Poussee&lt;Poids*SIN(M624)),0,(-W624+Poussee)/m-Poids*SIN(M624)/m)</f>
        <v>6.35985026776236</v>
      </c>
      <c r="AH625" s="417" t="n">
        <f aca="false">IF(AND(L624&lt;L_rampe,Poussee&lt;Poids*SIN(M624)), g*SIN(M624), (-W624+Poussee)/m)</f>
        <v>-3.11754293765571</v>
      </c>
    </row>
    <row r="626" customFormat="false" ht="12" hidden="false" customHeight="false" outlineLevel="0" collapsed="false">
      <c r="A626" s="416" t="n">
        <f aca="false">IF(B625+0.01&lt;=T_ini+ROUNDUP(Temps_fin_propu,0), 0.01, IF(K625&gt;0, 0.1, 0.0001))</f>
        <v>0.1</v>
      </c>
      <c r="B626" s="417" t="n">
        <f aca="false">B625+pas</f>
        <v>26.2000000000001</v>
      </c>
      <c r="C626" s="401"/>
      <c r="D626" s="418" t="n">
        <f aca="false">IF(AND(L625&lt;L_rampe,Poussee&lt;Poids*SIN(M625)),0,(-W625+Poussee)/m*COS(M625)-U625/m*SIN(M625))</f>
        <v>-0.808700079357357</v>
      </c>
      <c r="E626" s="419" t="n">
        <f aca="false">IF(AND(L625&lt;L_rampe,Poussee&lt;Poids*SIN(M625)),0,(-W625+Poussee)/m*SIN(M625)+U625/m*COS(M625)-Poids/m)</f>
        <v>-6.7465717467929</v>
      </c>
      <c r="F626" s="417" t="n">
        <f aca="false">SQRT(acc_x^2+acc_z^2)</f>
        <v>6.79486763321971</v>
      </c>
      <c r="G626" s="418" t="n">
        <f aca="false">G625+acc_x*pas</f>
        <v>21.1355620814594</v>
      </c>
      <c r="H626" s="419" t="n">
        <f aca="false">H625+acc_z*pas</f>
        <v>-81.0444001164036</v>
      </c>
      <c r="I626" s="417" t="n">
        <f aca="false">SQRT(vit_x^2+vit_z^2)</f>
        <v>83.7550402944619</v>
      </c>
      <c r="J626" s="418" t="n">
        <f aca="false">J625+0.5*(vit_x+G625)*pas*(K625&gt;=0)</f>
        <v>744.134255281337</v>
      </c>
      <c r="K626" s="419" t="n">
        <f aca="false">K625+0.5*(vit_z+H625)*pas</f>
        <v>1064.80582180704</v>
      </c>
      <c r="L626" s="417" t="n">
        <f aca="false">SQRT(pos_x^2+pos_z^2)</f>
        <v>1299.0562836295</v>
      </c>
      <c r="M626" s="418" t="n">
        <f aca="false">IF(AND(L625&gt;L_rampe,G626&gt;0),ATAN2(G626,H626),$M$4)</f>
        <v>-1.31568851435673</v>
      </c>
      <c r="N626" s="417" t="n">
        <f aca="false">DEGREES(Beta)</f>
        <v>-75.3833990264781</v>
      </c>
      <c r="O626" s="401"/>
      <c r="P626" s="420" t="n">
        <f aca="false">MATCH(t-pas/2-T_ini,CdP_t)</f>
        <v>23</v>
      </c>
      <c r="Q626" s="417" t="n">
        <f aca="false">(INDEX(CdP,2,i_P+1)-INDEX(CdP,2,i_P+0))/(INDEX(CdP,1,i_P+1)-INDEX(CdP,1,i_P+0))*(t-pas/2-T_ini-INDEX(CdP,1,i_P+0))+INDEX(CdP,2,i_P+0)</f>
        <v>0</v>
      </c>
      <c r="R626" s="418" t="n">
        <f aca="false">Poussee/(g*ISP)</f>
        <v>0</v>
      </c>
      <c r="S626" s="419" t="n">
        <f aca="false">S625-Débit*pas</f>
        <v>7.37799999999998</v>
      </c>
      <c r="T626" s="417" t="n">
        <f aca="false">m*g</f>
        <v>72.3781799999998</v>
      </c>
      <c r="U626" s="421" t="n">
        <f aca="false">IF(pos_xz&lt;L_rampe,Poids*COS(Beta),0)</f>
        <v>0</v>
      </c>
      <c r="V626" s="418" t="n">
        <f aca="false">Rho_moyen*(20000-Alt_rampe-pos_z)/(20000+Alt_rampe+pos_z)</f>
        <v>1.10115483923775</v>
      </c>
      <c r="W626" s="417" t="n">
        <f aca="false">1/2*Rho*Sref*Cx*vit_xz^2</f>
        <v>23.7523184734973</v>
      </c>
      <c r="X626" s="401"/>
      <c r="Y626" s="422" t="str">
        <f aca="false">IF(AND(pos_z&lt;=0,K625&gt;0),"Impact balistique","") &amp; IF(AND(H627&lt;0,vit_z&gt;=0),"Apogée","") &amp; IF(AND(Poussee=0,Q625&gt;0),"Fin de propulsion","") &amp; IF(AND(L627&gt;L_rampe,pos_xz&lt;=L_rampe),"Sortie de rampe","")</f>
        <v/>
      </c>
      <c r="Z626" s="423" t="str">
        <f aca="false">IF(ABS(t-T_para)&lt;pas/2,"Para","")</f>
        <v/>
      </c>
      <c r="AA626" s="424" t="str">
        <f aca="false">IF(ABS(t-T_satellite)&lt;pas/2,"Satellite","")</f>
        <v/>
      </c>
      <c r="AB626" s="412"/>
      <c r="AC626" s="420" t="e">
        <f aca="false">IF(ABS(t-ROUND(t,0))&lt;0.001,t,NA())</f>
        <v>#N/A</v>
      </c>
      <c r="AD626" s="425" t="e">
        <f aca="false">IF(ABS(t-ROUND(t,0))&lt;0.001,pos_x,NA())</f>
        <v>#N/A</v>
      </c>
      <c r="AE626" s="426" t="e">
        <f aca="false">IF(t&lt;T_para, pos_z, NA())</f>
        <v>#N/A</v>
      </c>
      <c r="AF626" s="412"/>
      <c r="AG626" s="418" t="n">
        <f aca="false">IF(AND(L625&lt;L_rampe,Poussee&lt;Poids*SIN(M625)),0,(-W625+Poussee)/m-Poids*SIN(M625)/m)</f>
        <v>6.31669366974738</v>
      </c>
      <c r="AH626" s="417" t="n">
        <f aca="false">IF(AND(L625&lt;L_rampe,Poussee&lt;Poids*SIN(M625)), g*SIN(M625), (-W625+Poussee)/m)</f>
        <v>-3.16837315998291</v>
      </c>
    </row>
    <row r="627" customFormat="false" ht="12" hidden="false" customHeight="false" outlineLevel="0" collapsed="false">
      <c r="A627" s="416" t="n">
        <f aca="false">IF(B626+0.01&lt;=T_ini+ROUNDUP(Temps_fin_propu,0), 0.01, IF(K626&gt;0, 0.1, 0.0001))</f>
        <v>0.1</v>
      </c>
      <c r="B627" s="417" t="n">
        <f aca="false">B626+pas</f>
        <v>26.3000000000001</v>
      </c>
      <c r="C627" s="401"/>
      <c r="D627" s="418" t="n">
        <f aca="false">IF(AND(L626&lt;L_rampe,Poussee&lt;Poids*SIN(M626)),0,(-W626+Poussee)/m*COS(M626)-U626/m*SIN(M626))</f>
        <v>-0.812400546519365</v>
      </c>
      <c r="E627" s="419" t="n">
        <f aca="false">IF(AND(L626&lt;L_rampe,Poussee&lt;Poids*SIN(M626)),0,(-W626+Poussee)/m*SIN(M626)+U626/m*COS(M626)-Poids/m)</f>
        <v>-6.69484674818953</v>
      </c>
      <c r="F627" s="417" t="n">
        <f aca="false">SQRT(acc_x^2+acc_z^2)</f>
        <v>6.74395786090994</v>
      </c>
      <c r="G627" s="418" t="n">
        <f aca="false">G626+acc_x*pas</f>
        <v>21.0543220268075</v>
      </c>
      <c r="H627" s="419" t="n">
        <f aca="false">H626+acc_z*pas</f>
        <v>-81.7138847912225</v>
      </c>
      <c r="I627" s="417" t="n">
        <f aca="false">SQRT(vit_x^2+vit_z^2)</f>
        <v>84.382720053822</v>
      </c>
      <c r="J627" s="418" t="n">
        <f aca="false">J626+0.5*(vit_x+G626)*pas*(K626&gt;=0)</f>
        <v>746.243749486751</v>
      </c>
      <c r="K627" s="419" t="n">
        <f aca="false">K626+0.5*(vit_z+H626)*pas</f>
        <v>1056.66790756166</v>
      </c>
      <c r="L627" s="417" t="n">
        <f aca="false">SQRT(pos_x^2+pos_z^2)</f>
        <v>1293.60998779338</v>
      </c>
      <c r="M627" s="418" t="n">
        <f aca="false">IF(AND(L626&gt;L_rampe,G627&gt;0),ATAN2(G627,H627),$M$4)</f>
        <v>-1.31862223637142</v>
      </c>
      <c r="N627" s="417" t="n">
        <f aca="false">DEGREES(Beta)</f>
        <v>-75.5514889161845</v>
      </c>
      <c r="O627" s="401"/>
      <c r="P627" s="420" t="n">
        <f aca="false">MATCH(t-pas/2-T_ini,CdP_t)</f>
        <v>23</v>
      </c>
      <c r="Q627" s="417" t="n">
        <f aca="false">(INDEX(CdP,2,i_P+1)-INDEX(CdP,2,i_P+0))/(INDEX(CdP,1,i_P+1)-INDEX(CdP,1,i_P+0))*(t-pas/2-T_ini-INDEX(CdP,1,i_P+0))+INDEX(CdP,2,i_P+0)</f>
        <v>0</v>
      </c>
      <c r="R627" s="418" t="n">
        <f aca="false">Poussee/(g*ISP)</f>
        <v>0</v>
      </c>
      <c r="S627" s="419" t="n">
        <f aca="false">S626-Débit*pas</f>
        <v>7.37799999999998</v>
      </c>
      <c r="T627" s="417" t="n">
        <f aca="false">m*g</f>
        <v>72.3781799999998</v>
      </c>
      <c r="U627" s="421" t="n">
        <f aca="false">IF(pos_xz&lt;L_rampe,Poids*COS(Beta),0)</f>
        <v>0</v>
      </c>
      <c r="V627" s="418" t="n">
        <f aca="false">Rho_moyen*(20000-Alt_rampe-pos_z)/(20000+Alt_rampe+pos_z)</f>
        <v>1.10205384418413</v>
      </c>
      <c r="W627" s="417" t="n">
        <f aca="false">1/2*Rho*Sref*Cx*vit_xz^2</f>
        <v>24.1293469034028</v>
      </c>
      <c r="X627" s="401"/>
      <c r="Y627" s="422" t="str">
        <f aca="false">IF(AND(pos_z&lt;=0,K626&gt;0),"Impact balistique","") &amp; IF(AND(H628&lt;0,vit_z&gt;=0),"Apogée","") &amp; IF(AND(Poussee=0,Q626&gt;0),"Fin de propulsion","") &amp; IF(AND(L628&gt;L_rampe,pos_xz&lt;=L_rampe),"Sortie de rampe","")</f>
        <v/>
      </c>
      <c r="Z627" s="423" t="str">
        <f aca="false">IF(ABS(t-T_para)&lt;pas/2,"Para","")</f>
        <v/>
      </c>
      <c r="AA627" s="424" t="str">
        <f aca="false">IF(ABS(t-T_satellite)&lt;pas/2,"Satellite","")</f>
        <v/>
      </c>
      <c r="AB627" s="412"/>
      <c r="AC627" s="420" t="e">
        <f aca="false">IF(ABS(t-ROUND(t,0))&lt;0.001,t,NA())</f>
        <v>#N/A</v>
      </c>
      <c r="AD627" s="425" t="e">
        <f aca="false">IF(ABS(t-ROUND(t,0))&lt;0.001,pos_x,NA())</f>
        <v>#N/A</v>
      </c>
      <c r="AE627" s="426" t="e">
        <f aca="false">IF(t&lt;T_para, pos_z, NA())</f>
        <v>#N/A</v>
      </c>
      <c r="AF627" s="412"/>
      <c r="AG627" s="418" t="n">
        <f aca="false">IF(AND(L626&lt;L_rampe,Poussee&lt;Poids*SIN(M626)),0,(-W626+Poussee)/m-Poids*SIN(M626)/m)</f>
        <v>6.27316630193354</v>
      </c>
      <c r="AH627" s="417" t="n">
        <f aca="false">IF(AND(L626&lt;L_rampe,Poussee&lt;Poids*SIN(M626)), g*SIN(M626), (-W626+Poussee)/m)</f>
        <v>-3.21934378876353</v>
      </c>
    </row>
    <row r="628" customFormat="false" ht="12" hidden="false" customHeight="false" outlineLevel="0" collapsed="false">
      <c r="A628" s="416" t="n">
        <f aca="false">IF(B627+0.01&lt;=T_ini+ROUNDUP(Temps_fin_propu,0), 0.01, IF(K627&gt;0, 0.1, 0.0001))</f>
        <v>0.1</v>
      </c>
      <c r="B628" s="417" t="n">
        <f aca="false">B627+pas</f>
        <v>26.4000000000001</v>
      </c>
      <c r="C628" s="401"/>
      <c r="D628" s="418" t="n">
        <f aca="false">IF(AND(L627&lt;L_rampe,Poussee&lt;Poids*SIN(M627)),0,(-W627+Poussee)/m*COS(M627)-U627/m*SIN(M627))</f>
        <v>-0.816008451692105</v>
      </c>
      <c r="E628" s="419" t="n">
        <f aca="false">IF(AND(L627&lt;L_rampe,Poussee&lt;Poids*SIN(M627)),0,(-W627+Poussee)/m*SIN(M627)+U627/m*COS(M627)-Poids/m)</f>
        <v>-6.64299132000865</v>
      </c>
      <c r="F628" s="417" t="n">
        <f aca="false">SQRT(acc_x^2+acc_z^2)</f>
        <v>6.69292189338432</v>
      </c>
      <c r="G628" s="418" t="n">
        <f aca="false">G627+acc_x*pas</f>
        <v>20.9727211816383</v>
      </c>
      <c r="H628" s="419" t="n">
        <f aca="false">H627+acc_z*pas</f>
        <v>-82.3781839232234</v>
      </c>
      <c r="I628" s="417" t="n">
        <f aca="false">SQRT(vit_x^2+vit_z^2)</f>
        <v>85.0060010837538</v>
      </c>
      <c r="J628" s="418" t="n">
        <f aca="false">J627+0.5*(vit_x+G627)*pas*(K627&gt;=0)</f>
        <v>748.345101647173</v>
      </c>
      <c r="K628" s="419" t="n">
        <f aca="false">K627+0.5*(vit_z+H627)*pas</f>
        <v>1048.46330412594</v>
      </c>
      <c r="L628" s="417" t="n">
        <f aca="false">SQRT(pos_x^2+pos_z^2)</f>
        <v>1288.13651887445</v>
      </c>
      <c r="M628" s="418" t="n">
        <f aca="false">IF(AND(L627&gt;L_rampe,G628&gt;0),ATAN2(G628,H628),$M$4)</f>
        <v>-1.3215016745709</v>
      </c>
      <c r="N628" s="417" t="n">
        <f aca="false">DEGREES(Beta)</f>
        <v>-75.7164685723833</v>
      </c>
      <c r="O628" s="401"/>
      <c r="P628" s="420" t="n">
        <f aca="false">MATCH(t-pas/2-T_ini,CdP_t)</f>
        <v>23</v>
      </c>
      <c r="Q628" s="417" t="n">
        <f aca="false">(INDEX(CdP,2,i_P+1)-INDEX(CdP,2,i_P+0))/(INDEX(CdP,1,i_P+1)-INDEX(CdP,1,i_P+0))*(t-pas/2-T_ini-INDEX(CdP,1,i_P+0))+INDEX(CdP,2,i_P+0)</f>
        <v>0</v>
      </c>
      <c r="R628" s="418" t="n">
        <f aca="false">Poussee/(g*ISP)</f>
        <v>0</v>
      </c>
      <c r="S628" s="419" t="n">
        <f aca="false">S627-Débit*pas</f>
        <v>7.37799999999998</v>
      </c>
      <c r="T628" s="417" t="n">
        <f aca="false">m*g</f>
        <v>72.3781799999998</v>
      </c>
      <c r="U628" s="421" t="n">
        <f aca="false">IF(pos_xz&lt;L_rampe,Poids*COS(Beta),0)</f>
        <v>0</v>
      </c>
      <c r="V628" s="418" t="n">
        <f aca="false">Rho_moyen*(20000-Alt_rampe-pos_z)/(20000+Alt_rampe+pos_z)</f>
        <v>1.1029609200922</v>
      </c>
      <c r="W628" s="417" t="n">
        <f aca="false">1/2*Rho*Sref*Cx*vit_xz^2</f>
        <v>24.5072741785108</v>
      </c>
      <c r="X628" s="401"/>
      <c r="Y628" s="422" t="str">
        <f aca="false">IF(AND(pos_z&lt;=0,K627&gt;0),"Impact balistique","") &amp; IF(AND(H629&lt;0,vit_z&gt;=0),"Apogée","") &amp; IF(AND(Poussee=0,Q627&gt;0),"Fin de propulsion","") &amp; IF(AND(L629&gt;L_rampe,pos_xz&lt;=L_rampe),"Sortie de rampe","")</f>
        <v/>
      </c>
      <c r="Z628" s="423" t="str">
        <f aca="false">IF(ABS(t-T_para)&lt;pas/2,"Para","")</f>
        <v/>
      </c>
      <c r="AA628" s="424" t="str">
        <f aca="false">IF(ABS(t-T_satellite)&lt;pas/2,"Satellite","")</f>
        <v/>
      </c>
      <c r="AB628" s="412"/>
      <c r="AC628" s="420" t="e">
        <f aca="false">IF(ABS(t-ROUND(t,0))&lt;0.001,t,NA())</f>
        <v>#N/A</v>
      </c>
      <c r="AD628" s="425" t="e">
        <f aca="false">IF(ABS(t-ROUND(t,0))&lt;0.001,pos_x,NA())</f>
        <v>#N/A</v>
      </c>
      <c r="AE628" s="426" t="e">
        <f aca="false">IF(t&lt;T_para, pos_z, NA())</f>
        <v>#N/A</v>
      </c>
      <c r="AF628" s="412"/>
      <c r="AG628" s="418" t="n">
        <f aca="false">IF(AND(L627&lt;L_rampe,Poussee&lt;Poids*SIN(M627)),0,(-W627+Poussee)/m-Poids*SIN(M627)/m)</f>
        <v>6.22928630812662</v>
      </c>
      <c r="AH628" s="417" t="n">
        <f aca="false">IF(AND(L627&lt;L_rampe,Poussee&lt;Poids*SIN(M627)), g*SIN(M627), (-W627+Poussee)/m)</f>
        <v>-3.27044550059675</v>
      </c>
    </row>
    <row r="629" customFormat="false" ht="12" hidden="false" customHeight="false" outlineLevel="0" collapsed="false">
      <c r="A629" s="416" t="n">
        <f aca="false">IF(B628+0.01&lt;=T_ini+ROUNDUP(Temps_fin_propu,0), 0.01, IF(K628&gt;0, 0.1, 0.0001))</f>
        <v>0.1</v>
      </c>
      <c r="B629" s="417" t="n">
        <f aca="false">B628+pas</f>
        <v>26.5000000000001</v>
      </c>
      <c r="C629" s="401"/>
      <c r="D629" s="418" t="n">
        <f aca="false">IF(AND(L628&lt;L_rampe,Poussee&lt;Poids*SIN(M628)),0,(-W628+Poussee)/m*COS(M628)-U628/m*SIN(M628))</f>
        <v>-0.819523771844241</v>
      </c>
      <c r="E629" s="419" t="n">
        <f aca="false">IF(AND(L628&lt;L_rampe,Poussee&lt;Poids*SIN(M628)),0,(-W628+Poussee)/m*SIN(M628)+U628/m*COS(M628)-Poids/m)</f>
        <v>-6.59101475618029</v>
      </c>
      <c r="F629" s="417" t="n">
        <f aca="false">SQRT(acc_x^2+acc_z^2)</f>
        <v>6.64176894575565</v>
      </c>
      <c r="G629" s="418" t="n">
        <f aca="false">G628+acc_x*pas</f>
        <v>20.8907688044539</v>
      </c>
      <c r="H629" s="419" t="n">
        <f aca="false">H628+acc_z*pas</f>
        <v>-83.0372853988414</v>
      </c>
      <c r="I629" s="417" t="n">
        <f aca="false">SQRT(vit_x^2+vit_z^2)</f>
        <v>85.6248502927146</v>
      </c>
      <c r="J629" s="418" t="n">
        <f aca="false">J628+0.5*(vit_x+G628)*pas*(K628&gt;=0)</f>
        <v>750.438276146477</v>
      </c>
      <c r="K629" s="419" t="n">
        <f aca="false">K628+0.5*(vit_z+H628)*pas</f>
        <v>1040.19253065983</v>
      </c>
      <c r="L629" s="417" t="n">
        <f aca="false">SQRT(pos_x^2+pos_z^2)</f>
        <v>1282.63716893992</v>
      </c>
      <c r="M629" s="418" t="n">
        <f aca="false">IF(AND(L628&gt;L_rampe,G629&gt;0),ATAN2(G629,H629),$M$4)</f>
        <v>-1.32432834358059</v>
      </c>
      <c r="N629" s="417" t="n">
        <f aca="false">DEGREES(Beta)</f>
        <v>-75.8784247767191</v>
      </c>
      <c r="O629" s="401"/>
      <c r="P629" s="420" t="n">
        <f aca="false">MATCH(t-pas/2-T_ini,CdP_t)</f>
        <v>23</v>
      </c>
      <c r="Q629" s="417" t="n">
        <f aca="false">(INDEX(CdP,2,i_P+1)-INDEX(CdP,2,i_P+0))/(INDEX(CdP,1,i_P+1)-INDEX(CdP,1,i_P+0))*(t-pas/2-T_ini-INDEX(CdP,1,i_P+0))+INDEX(CdP,2,i_P+0)</f>
        <v>0</v>
      </c>
      <c r="R629" s="418" t="n">
        <f aca="false">Poussee/(g*ISP)</f>
        <v>0</v>
      </c>
      <c r="S629" s="419" t="n">
        <f aca="false">S628-Débit*pas</f>
        <v>7.37799999999998</v>
      </c>
      <c r="T629" s="417" t="n">
        <f aca="false">m*g</f>
        <v>72.3781799999998</v>
      </c>
      <c r="U629" s="421" t="n">
        <f aca="false">IF(pos_xz&lt;L_rampe,Poids*COS(Beta),0)</f>
        <v>0</v>
      </c>
      <c r="V629" s="418" t="n">
        <f aca="false">Rho_moyen*(20000-Alt_rampe-pos_z)/(20000+Alt_rampe+pos_z)</f>
        <v>1.10387602756472</v>
      </c>
      <c r="W629" s="417" t="n">
        <f aca="false">1/2*Rho*Sref*Cx*vit_xz^2</f>
        <v>24.8860325347449</v>
      </c>
      <c r="X629" s="401"/>
      <c r="Y629" s="422" t="str">
        <f aca="false">IF(AND(pos_z&lt;=0,K628&gt;0),"Impact balistique","") &amp; IF(AND(H630&lt;0,vit_z&gt;=0),"Apogée","") &amp; IF(AND(Poussee=0,Q628&gt;0),"Fin de propulsion","") &amp; IF(AND(L630&gt;L_rampe,pos_xz&lt;=L_rampe),"Sortie de rampe","")</f>
        <v/>
      </c>
      <c r="Z629" s="423" t="str">
        <f aca="false">IF(ABS(t-T_para)&lt;pas/2,"Para","")</f>
        <v/>
      </c>
      <c r="AA629" s="424" t="str">
        <f aca="false">IF(ABS(t-T_satellite)&lt;pas/2,"Satellite","")</f>
        <v/>
      </c>
      <c r="AB629" s="412"/>
      <c r="AC629" s="420" t="e">
        <f aca="false">IF(ABS(t-ROUND(t,0))&lt;0.001,t,NA())</f>
        <v>#N/A</v>
      </c>
      <c r="AD629" s="425" t="e">
        <f aca="false">IF(ABS(t-ROUND(t,0))&lt;0.001,pos_x,NA())</f>
        <v>#N/A</v>
      </c>
      <c r="AE629" s="426" t="e">
        <f aca="false">IF(t&lt;T_para, pos_z, NA())</f>
        <v>#N/A</v>
      </c>
      <c r="AF629" s="412"/>
      <c r="AG629" s="418" t="n">
        <f aca="false">IF(AND(L628&lt;L_rampe,Poussee&lt;Poids*SIN(M628)),0,(-W628+Poussee)/m-Poids*SIN(M628)/m)</f>
        <v>6.18507135441723</v>
      </c>
      <c r="AH629" s="417" t="n">
        <f aca="false">IF(AND(L628&lt;L_rampe,Poussee&lt;Poids*SIN(M628)), g*SIN(M628), (-W628+Poussee)/m)</f>
        <v>-3.32166904018851</v>
      </c>
    </row>
    <row r="630" customFormat="false" ht="12" hidden="false" customHeight="false" outlineLevel="0" collapsed="false">
      <c r="A630" s="416" t="n">
        <f aca="false">IF(B629+0.01&lt;=T_ini+ROUNDUP(Temps_fin_propu,0), 0.01, IF(K629&gt;0, 0.1, 0.0001))</f>
        <v>0.1</v>
      </c>
      <c r="B630" s="417" t="n">
        <f aca="false">B629+pas</f>
        <v>26.6000000000001</v>
      </c>
      <c r="C630" s="401"/>
      <c r="D630" s="418" t="n">
        <f aca="false">IF(AND(L629&lt;L_rampe,Poussee&lt;Poids*SIN(M629)),0,(-W629+Poussee)/m*COS(M629)-U629/m*SIN(M629))</f>
        <v>-0.822946516665026</v>
      </c>
      <c r="E630" s="419" t="n">
        <f aca="false">IF(AND(L629&lt;L_rampe,Poussee&lt;Poids*SIN(M629)),0,(-W629+Poussee)/m*SIN(M629)+U629/m*COS(M629)-Poids/m)</f>
        <v>-6.53892628261114</v>
      </c>
      <c r="F630" s="417" t="n">
        <f aca="false">SQRT(acc_x^2+acc_z^2)</f>
        <v>6.59050816695601</v>
      </c>
      <c r="G630" s="418" t="n">
        <f aca="false">G629+acc_x*pas</f>
        <v>20.8084741527874</v>
      </c>
      <c r="H630" s="419" t="n">
        <f aca="false">H629+acc_z*pas</f>
        <v>-83.6911780271025</v>
      </c>
      <c r="I630" s="417" t="n">
        <f aca="false">SQRT(vit_x^2+vit_z^2)</f>
        <v>86.2392362914433</v>
      </c>
      <c r="J630" s="418" t="n">
        <f aca="false">J629+0.5*(vit_x+G629)*pas*(K629&gt;=0)</f>
        <v>752.523238294339</v>
      </c>
      <c r="K630" s="419" t="n">
        <f aca="false">K629+0.5*(vit_z+H629)*pas</f>
        <v>1031.85610748854</v>
      </c>
      <c r="L630" s="417" t="n">
        <f aca="false">SQRT(pos_x^2+pos_z^2)</f>
        <v>1277.11324898554</v>
      </c>
      <c r="M630" s="418" t="n">
        <f aca="false">IF(AND(L629&gt;L_rampe,G630&gt;0),ATAN2(G630,H630),$M$4)</f>
        <v>-1.32710370317136</v>
      </c>
      <c r="N630" s="417" t="n">
        <f aca="false">DEGREES(Beta)</f>
        <v>-76.037441167901</v>
      </c>
      <c r="O630" s="401"/>
      <c r="P630" s="420" t="n">
        <f aca="false">MATCH(t-pas/2-T_ini,CdP_t)</f>
        <v>23</v>
      </c>
      <c r="Q630" s="417" t="n">
        <f aca="false">(INDEX(CdP,2,i_P+1)-INDEX(CdP,2,i_P+0))/(INDEX(CdP,1,i_P+1)-INDEX(CdP,1,i_P+0))*(t-pas/2-T_ini-INDEX(CdP,1,i_P+0))+INDEX(CdP,2,i_P+0)</f>
        <v>0</v>
      </c>
      <c r="R630" s="418" t="n">
        <f aca="false">Poussee/(g*ISP)</f>
        <v>0</v>
      </c>
      <c r="S630" s="419" t="n">
        <f aca="false">S629-Débit*pas</f>
        <v>7.37799999999998</v>
      </c>
      <c r="T630" s="417" t="n">
        <f aca="false">m*g</f>
        <v>72.3781799999998</v>
      </c>
      <c r="U630" s="421" t="n">
        <f aca="false">IF(pos_xz&lt;L_rampe,Poids*COS(Beta),0)</f>
        <v>0</v>
      </c>
      <c r="V630" s="418" t="n">
        <f aca="false">Rho_moyen*(20000-Alt_rampe-pos_z)/(20000+Alt_rampe+pos_z)</f>
        <v>1.10479912707529</v>
      </c>
      <c r="W630" s="417" t="n">
        <f aca="false">1/2*Rho*Sref*Cx*vit_xz^2</f>
        <v>25.2655547479758</v>
      </c>
      <c r="X630" s="401"/>
      <c r="Y630" s="422" t="str">
        <f aca="false">IF(AND(pos_z&lt;=0,K629&gt;0),"Impact balistique","") &amp; IF(AND(H631&lt;0,vit_z&gt;=0),"Apogée","") &amp; IF(AND(Poussee=0,Q629&gt;0),"Fin de propulsion","") &amp; IF(AND(L631&gt;L_rampe,pos_xz&lt;=L_rampe),"Sortie de rampe","")</f>
        <v/>
      </c>
      <c r="Z630" s="423" t="str">
        <f aca="false">IF(ABS(t-T_para)&lt;pas/2,"Para","")</f>
        <v/>
      </c>
      <c r="AA630" s="424" t="str">
        <f aca="false">IF(ABS(t-T_satellite)&lt;pas/2,"Satellite","")</f>
        <v/>
      </c>
      <c r="AB630" s="412"/>
      <c r="AC630" s="420" t="e">
        <f aca="false">IF(ABS(t-ROUND(t,0))&lt;0.001,t,NA())</f>
        <v>#N/A</v>
      </c>
      <c r="AD630" s="425" t="e">
        <f aca="false">IF(ABS(t-ROUND(t,0))&lt;0.001,pos_x,NA())</f>
        <v>#N/A</v>
      </c>
      <c r="AE630" s="426" t="e">
        <f aca="false">IF(t&lt;T_para, pos_z, NA())</f>
        <v>#N/A</v>
      </c>
      <c r="AF630" s="412"/>
      <c r="AG630" s="418" t="n">
        <f aca="false">IF(AND(L629&lt;L_rampe,Poussee&lt;Poids*SIN(M629)),0,(-W629+Poussee)/m-Poids*SIN(M629)/m)</f>
        <v>6.14053864871777</v>
      </c>
      <c r="AH630" s="417" t="n">
        <f aca="false">IF(AND(L629&lt;L_rampe,Poussee&lt;Poids*SIN(M629)), g*SIN(M629), (-W629+Poussee)/m)</f>
        <v>-3.37300522292559</v>
      </c>
    </row>
    <row r="631" customFormat="false" ht="12" hidden="false" customHeight="false" outlineLevel="0" collapsed="false">
      <c r="A631" s="416" t="n">
        <f aca="false">IF(B630+0.01&lt;=T_ini+ROUNDUP(Temps_fin_propu,0), 0.01, IF(K630&gt;0, 0.1, 0.0001))</f>
        <v>0.1</v>
      </c>
      <c r="B631" s="417" t="n">
        <f aca="false">B630+pas</f>
        <v>26.7000000000001</v>
      </c>
      <c r="C631" s="401"/>
      <c r="D631" s="418" t="n">
        <f aca="false">IF(AND(L630&lt;L_rampe,Poussee&lt;Poids*SIN(M630)),0,(-W630+Poussee)/m*COS(M630)-U630/m*SIN(M630))</f>
        <v>-0.826276727756071</v>
      </c>
      <c r="E631" s="419" t="n">
        <f aca="false">IF(AND(L630&lt;L_rampe,Poussee&lt;Poids*SIN(M630)),0,(-W630+Poussee)/m*SIN(M630)+U630/m*COS(M630)-Poids/m)</f>
        <v>-6.48673505445271</v>
      </c>
      <c r="F631" s="417" t="n">
        <f aca="false">SQRT(acc_x^2+acc_z^2)</f>
        <v>6.53914863705489</v>
      </c>
      <c r="G631" s="418" t="n">
        <f aca="false">G630+acc_x*pas</f>
        <v>20.7258464800117</v>
      </c>
      <c r="H631" s="419" t="n">
        <f aca="false">H630+acc_z*pas</f>
        <v>-84.3398515325478</v>
      </c>
      <c r="I631" s="417" t="n">
        <f aca="false">SQRT(vit_x^2+vit_z^2)</f>
        <v>86.849129349955</v>
      </c>
      <c r="J631" s="418" t="n">
        <f aca="false">J630+0.5*(vit_x+G630)*pas*(K630&gt;=0)</f>
        <v>754.599954325979</v>
      </c>
      <c r="K631" s="419" t="n">
        <f aca="false">K630+0.5*(vit_z+H630)*pas</f>
        <v>1023.45455601056</v>
      </c>
      <c r="L631" s="417" t="n">
        <f aca="false">SQRT(pos_x^2+pos_z^2)</f>
        <v>1271.56608923309</v>
      </c>
      <c r="M631" s="418" t="n">
        <f aca="false">IF(AND(L630&gt;L_rampe,G631&gt;0),ATAN2(G631,H631),$M$4)</f>
        <v>-1.32982916064192</v>
      </c>
      <c r="N631" s="417" t="n">
        <f aca="false">DEGREES(Beta)</f>
        <v>-76.1935983782067</v>
      </c>
      <c r="O631" s="401"/>
      <c r="P631" s="420" t="n">
        <f aca="false">MATCH(t-pas/2-T_ini,CdP_t)</f>
        <v>23</v>
      </c>
      <c r="Q631" s="417" t="n">
        <f aca="false">(INDEX(CdP,2,i_P+1)-INDEX(CdP,2,i_P+0))/(INDEX(CdP,1,i_P+1)-INDEX(CdP,1,i_P+0))*(t-pas/2-T_ini-INDEX(CdP,1,i_P+0))+INDEX(CdP,2,i_P+0)</f>
        <v>0</v>
      </c>
      <c r="R631" s="418" t="n">
        <f aca="false">Poussee/(g*ISP)</f>
        <v>0</v>
      </c>
      <c r="S631" s="419" t="n">
        <f aca="false">S630-Débit*pas</f>
        <v>7.37799999999998</v>
      </c>
      <c r="T631" s="417" t="n">
        <f aca="false">m*g</f>
        <v>72.3781799999998</v>
      </c>
      <c r="U631" s="421" t="n">
        <f aca="false">IF(pos_xz&lt;L_rampe,Poids*COS(Beta),0)</f>
        <v>0</v>
      </c>
      <c r="V631" s="418" t="n">
        <f aca="false">Rho_moyen*(20000-Alt_rampe-pos_z)/(20000+Alt_rampe+pos_z)</f>
        <v>1.10573017897485</v>
      </c>
      <c r="W631" s="417" t="n">
        <f aca="false">1/2*Rho*Sref*Cx*vit_xz^2</f>
        <v>25.6457741519511</v>
      </c>
      <c r="X631" s="401"/>
      <c r="Y631" s="422" t="str">
        <f aca="false">IF(AND(pos_z&lt;=0,K630&gt;0),"Impact balistique","") &amp; IF(AND(H632&lt;0,vit_z&gt;=0),"Apogée","") &amp; IF(AND(Poussee=0,Q630&gt;0),"Fin de propulsion","") &amp; IF(AND(L632&gt;L_rampe,pos_xz&lt;=L_rampe),"Sortie de rampe","")</f>
        <v/>
      </c>
      <c r="Z631" s="423" t="str">
        <f aca="false">IF(ABS(t-T_para)&lt;pas/2,"Para","")</f>
        <v/>
      </c>
      <c r="AA631" s="424" t="str">
        <f aca="false">IF(ABS(t-T_satellite)&lt;pas/2,"Satellite","")</f>
        <v/>
      </c>
      <c r="AB631" s="412"/>
      <c r="AC631" s="420" t="e">
        <f aca="false">IF(ABS(t-ROUND(t,0))&lt;0.001,t,NA())</f>
        <v>#N/A</v>
      </c>
      <c r="AD631" s="425" t="e">
        <f aca="false">IF(ABS(t-ROUND(t,0))&lt;0.001,pos_x,NA())</f>
        <v>#N/A</v>
      </c>
      <c r="AE631" s="426" t="e">
        <f aca="false">IF(t&lt;T_para, pos_z, NA())</f>
        <v>#N/A</v>
      </c>
      <c r="AF631" s="412"/>
      <c r="AG631" s="418" t="n">
        <f aca="false">IF(AND(L630&lt;L_rampe,Poussee&lt;Poids*SIN(M630)),0,(-W630+Poussee)/m-Poids*SIN(M630)/m)</f>
        <v>6.09570495902508</v>
      </c>
      <c r="AH631" s="417" t="n">
        <f aca="false">IF(AND(L630&lt;L_rampe,Poussee&lt;Poids*SIN(M630)), g*SIN(M630), (-W630+Poussee)/m)</f>
        <v>-3.42444493737814</v>
      </c>
    </row>
    <row r="632" customFormat="false" ht="12" hidden="false" customHeight="false" outlineLevel="0" collapsed="false">
      <c r="A632" s="416" t="n">
        <f aca="false">IF(B631+0.01&lt;=T_ini+ROUNDUP(Temps_fin_propu,0), 0.01, IF(K631&gt;0, 0.1, 0.0001))</f>
        <v>0.1</v>
      </c>
      <c r="B632" s="417" t="n">
        <f aca="false">B631+pas</f>
        <v>26.8000000000001</v>
      </c>
      <c r="C632" s="401"/>
      <c r="D632" s="418" t="n">
        <f aca="false">IF(AND(L631&lt;L_rampe,Poussee&lt;Poids*SIN(M631)),0,(-W631+Poussee)/m*COS(M631)-U631/m*SIN(M631))</f>
        <v>-0.82951447783983</v>
      </c>
      <c r="E632" s="419" t="n">
        <f aca="false">IF(AND(L631&lt;L_rampe,Poussee&lt;Poids*SIN(M631)),0,(-W631+Poussee)/m*SIN(M631)+U631/m*COS(M631)-Poids/m)</f>
        <v>-6.43445015345542</v>
      </c>
      <c r="F632" s="417" t="n">
        <f aca="false">SQRT(acc_x^2+acc_z^2)</f>
        <v>6.48769936466298</v>
      </c>
      <c r="G632" s="418" t="n">
        <f aca="false">G631+acc_x*pas</f>
        <v>20.6428950322278</v>
      </c>
      <c r="H632" s="419" t="n">
        <f aca="false">H631+acc_z*pas</f>
        <v>-84.9832965478934</v>
      </c>
      <c r="I632" s="417" t="n">
        <f aca="false">SQRT(vit_x^2+vit_z^2)</f>
        <v>87.4545013561838</v>
      </c>
      <c r="J632" s="418" t="n">
        <f aca="false">J631+0.5*(vit_x+G631)*pas*(K631&gt;=0)</f>
        <v>756.668391401591</v>
      </c>
      <c r="K632" s="419" t="n">
        <f aca="false">K631+0.5*(vit_z+H631)*pas</f>
        <v>1014.98839860653</v>
      </c>
      <c r="L632" s="417" t="n">
        <f aca="false">SQRT(pos_x^2+pos_z^2)</f>
        <v>1265.99703943261</v>
      </c>
      <c r="M632" s="418" t="n">
        <f aca="false">IF(AND(L631&gt;L_rampe,G632&gt;0),ATAN2(G632,H632),$M$4)</f>
        <v>-1.33250607308255</v>
      </c>
      <c r="N632" s="417" t="n">
        <f aca="false">DEGREES(Beta)</f>
        <v>-76.3469741631811</v>
      </c>
      <c r="O632" s="401"/>
      <c r="P632" s="420" t="n">
        <f aca="false">MATCH(t-pas/2-T_ini,CdP_t)</f>
        <v>23</v>
      </c>
      <c r="Q632" s="417" t="n">
        <f aca="false">(INDEX(CdP,2,i_P+1)-INDEX(CdP,2,i_P+0))/(INDEX(CdP,1,i_P+1)-INDEX(CdP,1,i_P+0))*(t-pas/2-T_ini-INDEX(CdP,1,i_P+0))+INDEX(CdP,2,i_P+0)</f>
        <v>0</v>
      </c>
      <c r="R632" s="418" t="n">
        <f aca="false">Poussee/(g*ISP)</f>
        <v>0</v>
      </c>
      <c r="S632" s="419" t="n">
        <f aca="false">S631-Débit*pas</f>
        <v>7.37799999999998</v>
      </c>
      <c r="T632" s="417" t="n">
        <f aca="false">m*g</f>
        <v>72.3781799999998</v>
      </c>
      <c r="U632" s="421" t="n">
        <f aca="false">IF(pos_xz&lt;L_rampe,Poids*COS(Beta),0)</f>
        <v>0</v>
      </c>
      <c r="V632" s="418" t="n">
        <f aca="false">Rho_moyen*(20000-Alt_rampe-pos_z)/(20000+Alt_rampe+pos_z)</f>
        <v>1.10666914349803</v>
      </c>
      <c r="W632" s="417" t="n">
        <f aca="false">1/2*Rho*Sref*Cx*vit_xz^2</f>
        <v>26.0266246556893</v>
      </c>
      <c r="X632" s="401"/>
      <c r="Y632" s="422" t="str">
        <f aca="false">IF(AND(pos_z&lt;=0,K631&gt;0),"Impact balistique","") &amp; IF(AND(H633&lt;0,vit_z&gt;=0),"Apogée","") &amp; IF(AND(Poussee=0,Q631&gt;0),"Fin de propulsion","") &amp; IF(AND(L633&gt;L_rampe,pos_xz&lt;=L_rampe),"Sortie de rampe","")</f>
        <v/>
      </c>
      <c r="Z632" s="423" t="str">
        <f aca="false">IF(ABS(t-T_para)&lt;pas/2,"Para","")</f>
        <v/>
      </c>
      <c r="AA632" s="424" t="str">
        <f aca="false">IF(ABS(t-T_satellite)&lt;pas/2,"Satellite","")</f>
        <v/>
      </c>
      <c r="AB632" s="412"/>
      <c r="AC632" s="420" t="e">
        <f aca="false">IF(ABS(t-ROUND(t,0))&lt;0.001,t,NA())</f>
        <v>#N/A</v>
      </c>
      <c r="AD632" s="425" t="e">
        <f aca="false">IF(ABS(t-ROUND(t,0))&lt;0.001,pos_x,NA())</f>
        <v>#N/A</v>
      </c>
      <c r="AE632" s="426" t="e">
        <f aca="false">IF(t&lt;T_para, pos_z, NA())</f>
        <v>#N/A</v>
      </c>
      <c r="AF632" s="412"/>
      <c r="AG632" s="418" t="n">
        <f aca="false">IF(AND(L631&lt;L_rampe,Poussee&lt;Poids*SIN(M631)),0,(-W631+Poussee)/m-Poids*SIN(M631)/m)</f>
        <v>6.05058663049944</v>
      </c>
      <c r="AH632" s="417" t="n">
        <f aca="false">IF(AND(L631&lt;L_rampe,Poussee&lt;Poids*SIN(M631)), g*SIN(M631), (-W631+Poussee)/m)</f>
        <v>-3.47597914772989</v>
      </c>
    </row>
    <row r="633" customFormat="false" ht="12" hidden="false" customHeight="false" outlineLevel="0" collapsed="false">
      <c r="A633" s="416" t="n">
        <f aca="false">IF(B632+0.01&lt;=T_ini+ROUNDUP(Temps_fin_propu,0), 0.01, IF(K632&gt;0, 0.1, 0.0001))</f>
        <v>0.1</v>
      </c>
      <c r="B633" s="417" t="n">
        <f aca="false">B632+pas</f>
        <v>26.9000000000001</v>
      </c>
      <c r="C633" s="401"/>
      <c r="D633" s="418" t="n">
        <f aca="false">IF(AND(L632&lt;L_rampe,Poussee&lt;Poids*SIN(M632)),0,(-W632+Poussee)/m*COS(M632)-U632/m*SIN(M632))</f>
        <v>-0.832659869983731</v>
      </c>
      <c r="E633" s="419" t="n">
        <f aca="false">IF(AND(L632&lt;L_rampe,Poussee&lt;Poids*SIN(M632)),0,(-W632+Poussee)/m*SIN(M632)+U632/m*COS(M632)-Poids/m)</f>
        <v>-6.38208058540802</v>
      </c>
      <c r="F633" s="417" t="n">
        <f aca="false">SQRT(acc_x^2+acc_z^2)</f>
        <v>6.43616928442093</v>
      </c>
      <c r="G633" s="418" t="n">
        <f aca="false">G632+acc_x*pas</f>
        <v>20.5596290452294</v>
      </c>
      <c r="H633" s="419" t="n">
        <f aca="false">H632+acc_z*pas</f>
        <v>-85.6215046064342</v>
      </c>
      <c r="I633" s="417" t="n">
        <f aca="false">SQRT(vit_x^2+vit_z^2)</f>
        <v>88.0553257761679</v>
      </c>
      <c r="J633" s="418" t="n">
        <f aca="false">J632+0.5*(vit_x+G632)*pas*(K632&gt;=0)</f>
        <v>758.728517605464</v>
      </c>
      <c r="K633" s="419" t="n">
        <f aca="false">K632+0.5*(vit_z+H632)*pas</f>
        <v>1006.45815854882</v>
      </c>
      <c r="L633" s="417" t="n">
        <f aca="false">SQRT(pos_x^2+pos_z^2)</f>
        <v>1260.4074691691</v>
      </c>
      <c r="M633" s="418" t="n">
        <f aca="false">IF(AND(L632&gt;L_rampe,G633&gt;0),ATAN2(G633,H633),$M$4)</f>
        <v>-1.33513574952651</v>
      </c>
      <c r="N633" s="417" t="n">
        <f aca="false">DEGREES(Beta)</f>
        <v>-76.497643524905</v>
      </c>
      <c r="O633" s="401"/>
      <c r="P633" s="420" t="n">
        <f aca="false">MATCH(t-pas/2-T_ini,CdP_t)</f>
        <v>23</v>
      </c>
      <c r="Q633" s="417" t="n">
        <f aca="false">(INDEX(CdP,2,i_P+1)-INDEX(CdP,2,i_P+0))/(INDEX(CdP,1,i_P+1)-INDEX(CdP,1,i_P+0))*(t-pas/2-T_ini-INDEX(CdP,1,i_P+0))+INDEX(CdP,2,i_P+0)</f>
        <v>0</v>
      </c>
      <c r="R633" s="418" t="n">
        <f aca="false">Poussee/(g*ISP)</f>
        <v>0</v>
      </c>
      <c r="S633" s="419" t="n">
        <f aca="false">S632-Débit*pas</f>
        <v>7.37799999999998</v>
      </c>
      <c r="T633" s="417" t="n">
        <f aca="false">m*g</f>
        <v>72.3781799999998</v>
      </c>
      <c r="U633" s="421" t="n">
        <f aca="false">IF(pos_xz&lt;L_rampe,Poids*COS(Beta),0)</f>
        <v>0</v>
      </c>
      <c r="V633" s="418" t="n">
        <f aca="false">Rho_moyen*(20000-Alt_rampe-pos_z)/(20000+Alt_rampe+pos_z)</f>
        <v>1.10761598076965</v>
      </c>
      <c r="W633" s="417" t="n">
        <f aca="false">1/2*Rho*Sref*Cx*vit_xz^2</f>
        <v>26.4080407603338</v>
      </c>
      <c r="X633" s="401"/>
      <c r="Y633" s="422" t="str">
        <f aca="false">IF(AND(pos_z&lt;=0,K632&gt;0),"Impact balistique","") &amp; IF(AND(H634&lt;0,vit_z&gt;=0),"Apogée","") &amp; IF(AND(Poussee=0,Q632&gt;0),"Fin de propulsion","") &amp; IF(AND(L634&gt;L_rampe,pos_xz&lt;=L_rampe),"Sortie de rampe","")</f>
        <v/>
      </c>
      <c r="Z633" s="423" t="str">
        <f aca="false">IF(ABS(t-T_para)&lt;pas/2,"Para","")</f>
        <v/>
      </c>
      <c r="AA633" s="424" t="str">
        <f aca="false">IF(ABS(t-T_satellite)&lt;pas/2,"Satellite","")</f>
        <v/>
      </c>
      <c r="AB633" s="412"/>
      <c r="AC633" s="420" t="e">
        <f aca="false">IF(ABS(t-ROUND(t,0))&lt;0.001,t,NA())</f>
        <v>#N/A</v>
      </c>
      <c r="AD633" s="425" t="e">
        <f aca="false">IF(ABS(t-ROUND(t,0))&lt;0.001,pos_x,NA())</f>
        <v>#N/A</v>
      </c>
      <c r="AE633" s="426" t="e">
        <f aca="false">IF(t&lt;T_para, pos_z, NA())</f>
        <v>#N/A</v>
      </c>
      <c r="AF633" s="412"/>
      <c r="AG633" s="418" t="n">
        <f aca="false">IF(AND(L632&lt;L_rampe,Poussee&lt;Poids*SIN(M632)),0,(-W632+Poussee)/m-Poids*SIN(M632)/m)</f>
        <v>6.00519960144425</v>
      </c>
      <c r="AH633" s="417" t="n">
        <f aca="false">IF(AND(L632&lt;L_rampe,Poussee&lt;Poids*SIN(M632)), g*SIN(M632), (-W632+Poussee)/m)</f>
        <v>-3.52759889613572</v>
      </c>
    </row>
    <row r="634" customFormat="false" ht="12" hidden="false" customHeight="false" outlineLevel="0" collapsed="false">
      <c r="A634" s="416" t="n">
        <f aca="false">IF(B633+0.01&lt;=T_ini+ROUNDUP(Temps_fin_propu,0), 0.01, IF(K633&gt;0, 0.1, 0.0001))</f>
        <v>0.1</v>
      </c>
      <c r="B634" s="417" t="n">
        <f aca="false">B633+pas</f>
        <v>27.0000000000001</v>
      </c>
      <c r="C634" s="401"/>
      <c r="D634" s="418" t="n">
        <f aca="false">IF(AND(L633&lt;L_rampe,Poussee&lt;Poids*SIN(M633)),0,(-W633+Poussee)/m*COS(M633)-U633/m*SIN(M633))</f>
        <v>-0.835713036839053</v>
      </c>
      <c r="E634" s="419" t="n">
        <f aca="false">IF(AND(L633&lt;L_rampe,Poussee&lt;Poids*SIN(M633)),0,(-W633+Poussee)/m*SIN(M633)+U633/m*COS(M633)-Poids/m)</f>
        <v>-6.329635277662</v>
      </c>
      <c r="F634" s="417" t="n">
        <f aca="false">SQRT(acc_x^2+acc_z^2)</f>
        <v>6.38456725457302</v>
      </c>
      <c r="G634" s="418" t="n">
        <f aca="false">G633+acc_x*pas</f>
        <v>20.4760577415455</v>
      </c>
      <c r="H634" s="419" t="n">
        <f aca="false">H633+acc_z*pas</f>
        <v>-86.2544681342004</v>
      </c>
      <c r="I634" s="417" t="n">
        <f aca="false">SQRT(vit_x^2+vit_z^2)</f>
        <v>88.6515776156797</v>
      </c>
      <c r="J634" s="418" t="n">
        <f aca="false">J633+0.5*(vit_x+G633)*pas*(K633&gt;=0)</f>
        <v>760.780301944803</v>
      </c>
      <c r="K634" s="419" t="n">
        <f aca="false">K633+0.5*(vit_z+H633)*pas</f>
        <v>997.864359911785</v>
      </c>
      <c r="L634" s="417" t="n">
        <f aca="false">SQRT(pos_x^2+pos_z^2)</f>
        <v>1254.79876817336</v>
      </c>
      <c r="M634" s="418" t="n">
        <f aca="false">IF(AND(L633&gt;L_rampe,G634&gt;0),ATAN2(G634,H634),$M$4)</f>
        <v>-1.33771945299546</v>
      </c>
      <c r="N634" s="417" t="n">
        <f aca="false">DEGREES(Beta)</f>
        <v>-76.6456788291889</v>
      </c>
      <c r="O634" s="401"/>
      <c r="P634" s="420" t="n">
        <f aca="false">MATCH(t-pas/2-T_ini,CdP_t)</f>
        <v>23</v>
      </c>
      <c r="Q634" s="417" t="n">
        <f aca="false">(INDEX(CdP,2,i_P+1)-INDEX(CdP,2,i_P+0))/(INDEX(CdP,1,i_P+1)-INDEX(CdP,1,i_P+0))*(t-pas/2-T_ini-INDEX(CdP,1,i_P+0))+INDEX(CdP,2,i_P+0)</f>
        <v>0</v>
      </c>
      <c r="R634" s="418" t="n">
        <f aca="false">Poussee/(g*ISP)</f>
        <v>0</v>
      </c>
      <c r="S634" s="419" t="n">
        <f aca="false">S633-Débit*pas</f>
        <v>7.37799999999998</v>
      </c>
      <c r="T634" s="417" t="n">
        <f aca="false">m*g</f>
        <v>72.3781799999998</v>
      </c>
      <c r="U634" s="421" t="n">
        <f aca="false">IF(pos_xz&lt;L_rampe,Poids*COS(Beta),0)</f>
        <v>0</v>
      </c>
      <c r="V634" s="418" t="n">
        <f aca="false">Rho_moyen*(20000-Alt_rampe-pos_z)/(20000+Alt_rampe+pos_z)</f>
        <v>1.10857065081098</v>
      </c>
      <c r="W634" s="417" t="n">
        <f aca="false">1/2*Rho*Sref*Cx*vit_xz^2</f>
        <v>26.789957575465</v>
      </c>
      <c r="X634" s="401"/>
      <c r="Y634" s="422" t="str">
        <f aca="false">IF(AND(pos_z&lt;=0,K633&gt;0),"Impact balistique","") &amp; IF(AND(H635&lt;0,vit_z&gt;=0),"Apogée","") &amp; IF(AND(Poussee=0,Q633&gt;0),"Fin de propulsion","") &amp; IF(AND(L635&gt;L_rampe,pos_xz&lt;=L_rampe),"Sortie de rampe","")</f>
        <v/>
      </c>
      <c r="Z634" s="423" t="str">
        <f aca="false">IF(ABS(t-T_para)&lt;pas/2,"Para","")</f>
        <v/>
      </c>
      <c r="AA634" s="424" t="str">
        <f aca="false">IF(ABS(t-T_satellite)&lt;pas/2,"Satellite","")</f>
        <v/>
      </c>
      <c r="AB634" s="412"/>
      <c r="AC634" s="420" t="n">
        <f aca="false">IF(ABS(t-ROUND(t,0))&lt;0.001,t,NA())</f>
        <v>27.0000000000001</v>
      </c>
      <c r="AD634" s="425" t="n">
        <f aca="false">IF(ABS(t-ROUND(t,0))&lt;0.001,pos_x,NA())</f>
        <v>760.780301944803</v>
      </c>
      <c r="AE634" s="426" t="e">
        <f aca="false">IF(t&lt;T_para, pos_z, NA())</f>
        <v>#N/A</v>
      </c>
      <c r="AF634" s="412"/>
      <c r="AG634" s="418" t="n">
        <f aca="false">IF(AND(L633&lt;L_rampe,Poussee&lt;Poids*SIN(M633)),0,(-W633+Poussee)/m-Poids*SIN(M633)/m)</f>
        <v>5.95955941826452</v>
      </c>
      <c r="AH634" s="417" t="n">
        <f aca="false">IF(AND(L633&lt;L_rampe,Poussee&lt;Poids*SIN(M633)), g*SIN(M633), (-W633+Poussee)/m)</f>
        <v>-3.57929530500595</v>
      </c>
    </row>
    <row r="635" customFormat="false" ht="12" hidden="false" customHeight="false" outlineLevel="0" collapsed="false">
      <c r="A635" s="416" t="n">
        <f aca="false">IF(B634+0.01&lt;=T_ini+ROUNDUP(Temps_fin_propu,0), 0.01, IF(K634&gt;0, 0.1, 0.0001))</f>
        <v>0.1</v>
      </c>
      <c r="B635" s="417" t="n">
        <f aca="false">B634+pas</f>
        <v>27.1000000000001</v>
      </c>
      <c r="C635" s="401"/>
      <c r="D635" s="418" t="n">
        <f aca="false">IF(AND(L634&lt;L_rampe,Poussee&lt;Poids*SIN(M634)),0,(-W634+Poussee)/m*COS(M634)-U634/m*SIN(M634))</f>
        <v>-0.838674139893644</v>
      </c>
      <c r="E635" s="419" t="n">
        <f aca="false">IF(AND(L634&lt;L_rampe,Poussee&lt;Poids*SIN(M634)),0,(-W634+Poussee)/m*SIN(M634)+U634/m*COS(M634)-Poids/m)</f>
        <v>-6.27712307674054</v>
      </c>
      <c r="F635" s="417" t="n">
        <f aca="false">SQRT(acc_x^2+acc_z^2)</f>
        <v>6.33290205462512</v>
      </c>
      <c r="G635" s="418" t="n">
        <f aca="false">G634+acc_x*pas</f>
        <v>20.3921903275561</v>
      </c>
      <c r="H635" s="419" t="n">
        <f aca="false">H634+acc_z*pas</f>
        <v>-86.8821804418744</v>
      </c>
      <c r="I635" s="417" t="n">
        <f aca="false">SQRT(vit_x^2+vit_z^2)</f>
        <v>89.2432333832078</v>
      </c>
      <c r="J635" s="418" t="n">
        <f aca="false">J634+0.5*(vit_x+G634)*pas*(K634&gt;=0)</f>
        <v>762.823714348258</v>
      </c>
      <c r="K635" s="419" t="n">
        <f aca="false">K634+0.5*(vit_z+H634)*pas</f>
        <v>989.207527482981</v>
      </c>
      <c r="L635" s="417" t="n">
        <f aca="false">SQRT(pos_x^2+pos_z^2)</f>
        <v>1249.17234663639</v>
      </c>
      <c r="M635" s="418" t="n">
        <f aca="false">IF(AND(L634&gt;L_rampe,G635&gt;0),ATAN2(G635,H635),$M$4)</f>
        <v>-1.34025840244462</v>
      </c>
      <c r="N635" s="417" t="n">
        <f aca="false">DEGREES(Beta)</f>
        <v>-76.7911499170229</v>
      </c>
      <c r="O635" s="401"/>
      <c r="P635" s="420" t="n">
        <f aca="false">MATCH(t-pas/2-T_ini,CdP_t)</f>
        <v>23</v>
      </c>
      <c r="Q635" s="417" t="n">
        <f aca="false">(INDEX(CdP,2,i_P+1)-INDEX(CdP,2,i_P+0))/(INDEX(CdP,1,i_P+1)-INDEX(CdP,1,i_P+0))*(t-pas/2-T_ini-INDEX(CdP,1,i_P+0))+INDEX(CdP,2,i_P+0)</f>
        <v>0</v>
      </c>
      <c r="R635" s="418" t="n">
        <f aca="false">Poussee/(g*ISP)</f>
        <v>0</v>
      </c>
      <c r="S635" s="419" t="n">
        <f aca="false">S634-Débit*pas</f>
        <v>7.37799999999998</v>
      </c>
      <c r="T635" s="417" t="n">
        <f aca="false">m*g</f>
        <v>72.3781799999998</v>
      </c>
      <c r="U635" s="421" t="n">
        <f aca="false">IF(pos_xz&lt;L_rampe,Poids*COS(Beta),0)</f>
        <v>0</v>
      </c>
      <c r="V635" s="418" t="n">
        <f aca="false">Rho_moyen*(20000-Alt_rampe-pos_z)/(20000+Alt_rampe+pos_z)</f>
        <v>1.1095331135461</v>
      </c>
      <c r="W635" s="417" t="n">
        <f aca="false">1/2*Rho*Sref*Cx*vit_xz^2</f>
        <v>27.1723108348674</v>
      </c>
      <c r="X635" s="401"/>
      <c r="Y635" s="422" t="str">
        <f aca="false">IF(AND(pos_z&lt;=0,K634&gt;0),"Impact balistique","") &amp; IF(AND(H636&lt;0,vit_z&gt;=0),"Apogée","") &amp; IF(AND(Poussee=0,Q634&gt;0),"Fin de propulsion","") &amp; IF(AND(L636&gt;L_rampe,pos_xz&lt;=L_rampe),"Sortie de rampe","")</f>
        <v/>
      </c>
      <c r="Z635" s="423" t="str">
        <f aca="false">IF(ABS(t-T_para)&lt;pas/2,"Para","")</f>
        <v/>
      </c>
      <c r="AA635" s="424" t="str">
        <f aca="false">IF(ABS(t-T_satellite)&lt;pas/2,"Satellite","")</f>
        <v/>
      </c>
      <c r="AB635" s="412"/>
      <c r="AC635" s="420" t="e">
        <f aca="false">IF(ABS(t-ROUND(t,0))&lt;0.001,t,NA())</f>
        <v>#N/A</v>
      </c>
      <c r="AD635" s="425" t="e">
        <f aca="false">IF(ABS(t-ROUND(t,0))&lt;0.001,pos_x,NA())</f>
        <v>#N/A</v>
      </c>
      <c r="AE635" s="426" t="e">
        <f aca="false">IF(t&lt;T_para, pos_z, NA())</f>
        <v>#N/A</v>
      </c>
      <c r="AF635" s="412"/>
      <c r="AG635" s="418" t="n">
        <f aca="false">IF(AND(L634&lt;L_rampe,Poussee&lt;Poids*SIN(M634)),0,(-W634+Poussee)/m-Poids*SIN(M634)/m)</f>
        <v>5.91368124947663</v>
      </c>
      <c r="AH635" s="417" t="n">
        <f aca="false">IF(AND(L634&lt;L_rampe,Poussee&lt;Poids*SIN(M634)), g*SIN(M634), (-W634+Poussee)/m)</f>
        <v>-3.63105957921728</v>
      </c>
    </row>
    <row r="636" customFormat="false" ht="12" hidden="false" customHeight="false" outlineLevel="0" collapsed="false">
      <c r="A636" s="416" t="n">
        <f aca="false">IF(B635+0.01&lt;=T_ini+ROUNDUP(Temps_fin_propu,0), 0.01, IF(K635&gt;0, 0.1, 0.0001))</f>
        <v>0.1</v>
      </c>
      <c r="B636" s="417" t="n">
        <f aca="false">B635+pas</f>
        <v>27.2000000000001</v>
      </c>
      <c r="C636" s="401"/>
      <c r="D636" s="418" t="n">
        <f aca="false">IF(AND(L635&lt;L_rampe,Poussee&lt;Poids*SIN(M635)),0,(-W635+Poussee)/m*COS(M635)-U635/m*SIN(M635))</f>
        <v>-0.841543368737747</v>
      </c>
      <c r="E636" s="419" t="n">
        <f aca="false">IF(AND(L635&lt;L_rampe,Poussee&lt;Poids*SIN(M635)),0,(-W635+Poussee)/m*SIN(M635)+U635/m*COS(M635)-Poids/m)</f>
        <v>-6.22455274603166</v>
      </c>
      <c r="F636" s="417" t="n">
        <f aca="false">SQRT(acc_x^2+acc_z^2)</f>
        <v>6.28118238308655</v>
      </c>
      <c r="G636" s="418" t="n">
        <f aca="false">G635+acc_x*pas</f>
        <v>20.3080359906823</v>
      </c>
      <c r="H636" s="419" t="n">
        <f aca="false">H635+acc_z*pas</f>
        <v>-87.5046357164776</v>
      </c>
      <c r="I636" s="417" t="n">
        <f aca="false">SQRT(vit_x^2+vit_z^2)</f>
        <v>89.830271054207</v>
      </c>
      <c r="J636" s="418" t="n">
        <f aca="false">J635+0.5*(vit_x+G635)*pas*(K635&gt;=0)</f>
        <v>764.85872566417</v>
      </c>
      <c r="K636" s="419" t="n">
        <f aca="false">K635+0.5*(vit_z+H635)*pas</f>
        <v>980.488186675064</v>
      </c>
      <c r="L636" s="417" t="n">
        <f aca="false">SQRT(pos_x^2+pos_z^2)</f>
        <v>1243.52963552702</v>
      </c>
      <c r="M636" s="418" t="n">
        <f aca="false">IF(AND(L635&gt;L_rampe,G636&gt;0),ATAN2(G636,H636),$M$4)</f>
        <v>-1.34275377461322</v>
      </c>
      <c r="N636" s="417" t="n">
        <f aca="false">DEGREES(Beta)</f>
        <v>-76.9341242105981</v>
      </c>
      <c r="O636" s="401"/>
      <c r="P636" s="420" t="n">
        <f aca="false">MATCH(t-pas/2-T_ini,CdP_t)</f>
        <v>23</v>
      </c>
      <c r="Q636" s="417" t="n">
        <f aca="false">(INDEX(CdP,2,i_P+1)-INDEX(CdP,2,i_P+0))/(INDEX(CdP,1,i_P+1)-INDEX(CdP,1,i_P+0))*(t-pas/2-T_ini-INDEX(CdP,1,i_P+0))+INDEX(CdP,2,i_P+0)</f>
        <v>0</v>
      </c>
      <c r="R636" s="418" t="n">
        <f aca="false">Poussee/(g*ISP)</f>
        <v>0</v>
      </c>
      <c r="S636" s="419" t="n">
        <f aca="false">S635-Débit*pas</f>
        <v>7.37799999999998</v>
      </c>
      <c r="T636" s="417" t="n">
        <f aca="false">m*g</f>
        <v>72.3781799999998</v>
      </c>
      <c r="U636" s="421" t="n">
        <f aca="false">IF(pos_xz&lt;L_rampe,Poids*COS(Beta),0)</f>
        <v>0</v>
      </c>
      <c r="V636" s="418" t="n">
        <f aca="false">Rho_moyen*(20000-Alt_rampe-pos_z)/(20000+Alt_rampe+pos_z)</f>
        <v>1.11050332880817</v>
      </c>
      <c r="W636" s="417" t="n">
        <f aca="false">1/2*Rho*Sref*Cx*vit_xz^2</f>
        <v>27.5550369117516</v>
      </c>
      <c r="X636" s="401"/>
      <c r="Y636" s="422" t="str">
        <f aca="false">IF(AND(pos_z&lt;=0,K635&gt;0),"Impact balistique","") &amp; IF(AND(H637&lt;0,vit_z&gt;=0),"Apogée","") &amp; IF(AND(Poussee=0,Q635&gt;0),"Fin de propulsion","") &amp; IF(AND(L637&gt;L_rampe,pos_xz&lt;=L_rampe),"Sortie de rampe","")</f>
        <v/>
      </c>
      <c r="Z636" s="423" t="str">
        <f aca="false">IF(ABS(t-T_para)&lt;pas/2,"Para","")</f>
        <v/>
      </c>
      <c r="AA636" s="424" t="str">
        <f aca="false">IF(ABS(t-T_satellite)&lt;pas/2,"Satellite","")</f>
        <v/>
      </c>
      <c r="AB636" s="412"/>
      <c r="AC636" s="420" t="e">
        <f aca="false">IF(ABS(t-ROUND(t,0))&lt;0.001,t,NA())</f>
        <v>#N/A</v>
      </c>
      <c r="AD636" s="425" t="e">
        <f aca="false">IF(ABS(t-ROUND(t,0))&lt;0.001,pos_x,NA())</f>
        <v>#N/A</v>
      </c>
      <c r="AE636" s="426" t="e">
        <f aca="false">IF(t&lt;T_para, pos_z, NA())</f>
        <v>#N/A</v>
      </c>
      <c r="AF636" s="412"/>
      <c r="AG636" s="418" t="n">
        <f aca="false">IF(AND(L635&lt;L_rampe,Poussee&lt;Poids*SIN(M635)),0,(-W635+Poussee)/m-Poids*SIN(M635)/m)</f>
        <v>5.86757989883661</v>
      </c>
      <c r="AH636" s="417" t="n">
        <f aca="false">IF(AND(L635&lt;L_rampe,Poussee&lt;Poids*SIN(M635)), g*SIN(M635), (-W635+Poussee)/m)</f>
        <v>-3.68288300824986</v>
      </c>
    </row>
    <row r="637" customFormat="false" ht="12" hidden="false" customHeight="false" outlineLevel="0" collapsed="false">
      <c r="A637" s="416" t="n">
        <f aca="false">IF(B636+0.01&lt;=T_ini+ROUNDUP(Temps_fin_propu,0), 0.01, IF(K636&gt;0, 0.1, 0.0001))</f>
        <v>0.1</v>
      </c>
      <c r="B637" s="417" t="n">
        <f aca="false">B636+pas</f>
        <v>27.3000000000001</v>
      </c>
      <c r="C637" s="401"/>
      <c r="D637" s="418" t="n">
        <f aca="false">IF(AND(L636&lt;L_rampe,Poussee&lt;Poids*SIN(M636)),0,(-W636+Poussee)/m*COS(M636)-U636/m*SIN(M636))</f>
        <v>-0.844320940342183</v>
      </c>
      <c r="E637" s="419" t="n">
        <f aca="false">IF(AND(L636&lt;L_rampe,Poussee&lt;Poids*SIN(M636)),0,(-W636+Poussee)/m*SIN(M636)+U636/m*COS(M636)-Poids/m)</f>
        <v>-6.17193296356502</v>
      </c>
      <c r="F637" s="417" t="n">
        <f aca="false">SQRT(acc_x^2+acc_z^2)</f>
        <v>6.22941685529559</v>
      </c>
      <c r="G637" s="418" t="n">
        <f aca="false">G636+acc_x*pas</f>
        <v>20.2236038966481</v>
      </c>
      <c r="H637" s="419" t="n">
        <f aca="false">H636+acc_z*pas</f>
        <v>-88.1218290128341</v>
      </c>
      <c r="I637" s="417" t="n">
        <f aca="false">SQRT(vit_x^2+vit_z^2)</f>
        <v>90.4126700365369</v>
      </c>
      <c r="J637" s="418" t="n">
        <f aca="false">J636+0.5*(vit_x+G636)*pas*(K636&gt;=0)</f>
        <v>766.885307658537</v>
      </c>
      <c r="K637" s="419" t="n">
        <f aca="false">K636+0.5*(vit_z+H636)*pas</f>
        <v>971.706863438598</v>
      </c>
      <c r="L637" s="417" t="n">
        <f aca="false">SQRT(pos_x^2+pos_z^2)</f>
        <v>1237.87208691214</v>
      </c>
      <c r="M637" s="418" t="n">
        <f aca="false">IF(AND(L636&gt;L_rampe,G637&gt;0),ATAN2(G637,H637),$M$4)</f>
        <v>-1.34520670578528</v>
      </c>
      <c r="N637" s="417" t="n">
        <f aca="false">DEGREES(Beta)</f>
        <v>-77.0746668141934</v>
      </c>
      <c r="O637" s="401"/>
      <c r="P637" s="420" t="n">
        <f aca="false">MATCH(t-pas/2-T_ini,CdP_t)</f>
        <v>23</v>
      </c>
      <c r="Q637" s="417" t="n">
        <f aca="false">(INDEX(CdP,2,i_P+1)-INDEX(CdP,2,i_P+0))/(INDEX(CdP,1,i_P+1)-INDEX(CdP,1,i_P+0))*(t-pas/2-T_ini-INDEX(CdP,1,i_P+0))+INDEX(CdP,2,i_P+0)</f>
        <v>0</v>
      </c>
      <c r="R637" s="418" t="n">
        <f aca="false">Poussee/(g*ISP)</f>
        <v>0</v>
      </c>
      <c r="S637" s="419" t="n">
        <f aca="false">S636-Débit*pas</f>
        <v>7.37799999999998</v>
      </c>
      <c r="T637" s="417" t="n">
        <f aca="false">m*g</f>
        <v>72.3781799999998</v>
      </c>
      <c r="U637" s="421" t="n">
        <f aca="false">IF(pos_xz&lt;L_rampe,Poids*COS(Beta),0)</f>
        <v>0</v>
      </c>
      <c r="V637" s="418" t="n">
        <f aca="false">Rho_moyen*(20000-Alt_rampe-pos_z)/(20000+Alt_rampe+pos_z)</f>
        <v>1.11148125634566</v>
      </c>
      <c r="W637" s="417" t="n">
        <f aca="false">1/2*Rho*Sref*Cx*vit_xz^2</f>
        <v>27.9380728334285</v>
      </c>
      <c r="X637" s="401"/>
      <c r="Y637" s="422" t="str">
        <f aca="false">IF(AND(pos_z&lt;=0,K636&gt;0),"Impact balistique","") &amp; IF(AND(H638&lt;0,vit_z&gt;=0),"Apogée","") &amp; IF(AND(Poussee=0,Q636&gt;0),"Fin de propulsion","") &amp; IF(AND(L638&gt;L_rampe,pos_xz&lt;=L_rampe),"Sortie de rampe","")</f>
        <v/>
      </c>
      <c r="Z637" s="423" t="str">
        <f aca="false">IF(ABS(t-T_para)&lt;pas/2,"Para","")</f>
        <v/>
      </c>
      <c r="AA637" s="424" t="str">
        <f aca="false">IF(ABS(t-T_satellite)&lt;pas/2,"Satellite","")</f>
        <v/>
      </c>
      <c r="AB637" s="412"/>
      <c r="AC637" s="420" t="e">
        <f aca="false">IF(ABS(t-ROUND(t,0))&lt;0.001,t,NA())</f>
        <v>#N/A</v>
      </c>
      <c r="AD637" s="425" t="e">
        <f aca="false">IF(ABS(t-ROUND(t,0))&lt;0.001,pos_x,NA())</f>
        <v>#N/A</v>
      </c>
      <c r="AE637" s="426" t="e">
        <f aca="false">IF(t&lt;T_para, pos_z, NA())</f>
        <v>#N/A</v>
      </c>
      <c r="AF637" s="412"/>
      <c r="AG637" s="418" t="n">
        <f aca="false">IF(AND(L636&lt;L_rampe,Poussee&lt;Poids*SIN(M636)),0,(-W636+Poussee)/m-Poids*SIN(M636)/m)</f>
        <v>5.82126981764942</v>
      </c>
      <c r="AH637" s="417" t="n">
        <f aca="false">IF(AND(L636&lt;L_rampe,Poussee&lt;Poids*SIN(M636)), g*SIN(M636), (-W636+Poussee)/m)</f>
        <v>-3.73475696825042</v>
      </c>
    </row>
    <row r="638" customFormat="false" ht="12" hidden="false" customHeight="false" outlineLevel="0" collapsed="false">
      <c r="A638" s="416" t="n">
        <f aca="false">IF(B637+0.01&lt;=T_ini+ROUNDUP(Temps_fin_propu,0), 0.01, IF(K637&gt;0, 0.1, 0.0001))</f>
        <v>0.1</v>
      </c>
      <c r="B638" s="417" t="n">
        <f aca="false">B637+pas</f>
        <v>27.4000000000001</v>
      </c>
      <c r="C638" s="401"/>
      <c r="D638" s="418" t="n">
        <f aca="false">IF(AND(L637&lt;L_rampe,Poussee&lt;Poids*SIN(M637)),0,(-W637+Poussee)/m*COS(M637)-U637/m*SIN(M637))</f>
        <v>-0.847007098348279</v>
      </c>
      <c r="E638" s="419" t="n">
        <f aca="false">IF(AND(L637&lt;L_rampe,Poussee&lt;Poids*SIN(M637)),0,(-W637+Poussee)/m*SIN(M637)+U637/m*COS(M637)-Poids/m)</f>
        <v>-6.11927231987199</v>
      </c>
      <c r="F638" s="417" t="n">
        <f aca="false">SQRT(acc_x^2+acc_z^2)</f>
        <v>6.17761400132802</v>
      </c>
      <c r="G638" s="418" t="n">
        <f aca="false">G637+acc_x*pas</f>
        <v>20.1389031868133</v>
      </c>
      <c r="H638" s="419" t="n">
        <f aca="false">H637+acc_z*pas</f>
        <v>-88.7337562448213</v>
      </c>
      <c r="I638" s="417" t="n">
        <f aca="false">SQRT(vit_x^2+vit_z^2)</f>
        <v>90.990411137016</v>
      </c>
      <c r="J638" s="418" t="n">
        <f aca="false">J637+0.5*(vit_x+G637)*pas*(K637&gt;=0)</f>
        <v>768.90343301271</v>
      </c>
      <c r="K638" s="419" t="n">
        <f aca="false">K637+0.5*(vit_z+H637)*pas</f>
        <v>962.864084175715</v>
      </c>
      <c r="L638" s="417" t="n">
        <f aca="false">SQRT(pos_x^2+pos_z^2)</f>
        <v>1232.20117427889</v>
      </c>
      <c r="M638" s="418" t="n">
        <f aca="false">IF(AND(L637&gt;L_rampe,G638&gt;0),ATAN2(G638,H638),$M$4)</f>
        <v>-1.34761829346565</v>
      </c>
      <c r="N638" s="417" t="n">
        <f aca="false">DEGREES(Beta)</f>
        <v>-77.2128406102042</v>
      </c>
      <c r="O638" s="401"/>
      <c r="P638" s="420" t="n">
        <f aca="false">MATCH(t-pas/2-T_ini,CdP_t)</f>
        <v>23</v>
      </c>
      <c r="Q638" s="417" t="n">
        <f aca="false">(INDEX(CdP,2,i_P+1)-INDEX(CdP,2,i_P+0))/(INDEX(CdP,1,i_P+1)-INDEX(CdP,1,i_P+0))*(t-pas/2-T_ini-INDEX(CdP,1,i_P+0))+INDEX(CdP,2,i_P+0)</f>
        <v>0</v>
      </c>
      <c r="R638" s="418" t="n">
        <f aca="false">Poussee/(g*ISP)</f>
        <v>0</v>
      </c>
      <c r="S638" s="419" t="n">
        <f aca="false">S637-Débit*pas</f>
        <v>7.37799999999998</v>
      </c>
      <c r="T638" s="417" t="n">
        <f aca="false">m*g</f>
        <v>72.3781799999998</v>
      </c>
      <c r="U638" s="421" t="n">
        <f aca="false">IF(pos_xz&lt;L_rampe,Poids*COS(Beta),0)</f>
        <v>0</v>
      </c>
      <c r="V638" s="418" t="n">
        <f aca="false">Rho_moyen*(20000-Alt_rampe-pos_z)/(20000+Alt_rampe+pos_z)</f>
        <v>1.11246685582858</v>
      </c>
      <c r="W638" s="417" t="n">
        <f aca="false">1/2*Rho*Sref*Cx*vit_xz^2</f>
        <v>28.3213562954375</v>
      </c>
      <c r="X638" s="401"/>
      <c r="Y638" s="422" t="str">
        <f aca="false">IF(AND(pos_z&lt;=0,K637&gt;0),"Impact balistique","") &amp; IF(AND(H639&lt;0,vit_z&gt;=0),"Apogée","") &amp; IF(AND(Poussee=0,Q637&gt;0),"Fin de propulsion","") &amp; IF(AND(L639&gt;L_rampe,pos_xz&lt;=L_rampe),"Sortie de rampe","")</f>
        <v/>
      </c>
      <c r="Z638" s="423" t="str">
        <f aca="false">IF(ABS(t-T_para)&lt;pas/2,"Para","")</f>
        <v/>
      </c>
      <c r="AA638" s="424" t="str">
        <f aca="false">IF(ABS(t-T_satellite)&lt;pas/2,"Satellite","")</f>
        <v/>
      </c>
      <c r="AB638" s="412"/>
      <c r="AC638" s="420" t="e">
        <f aca="false">IF(ABS(t-ROUND(t,0))&lt;0.001,t,NA())</f>
        <v>#N/A</v>
      </c>
      <c r="AD638" s="425" t="e">
        <f aca="false">IF(ABS(t-ROUND(t,0))&lt;0.001,pos_x,NA())</f>
        <v>#N/A</v>
      </c>
      <c r="AE638" s="426" t="e">
        <f aca="false">IF(t&lt;T_para, pos_z, NA())</f>
        <v>#N/A</v>
      </c>
      <c r="AF638" s="412"/>
      <c r="AG638" s="418" t="n">
        <f aca="false">IF(AND(L637&lt;L_rampe,Poussee&lt;Poids*SIN(M637)),0,(-W637+Poussee)/m-Poids*SIN(M637)/m)</f>
        <v>5.77476511631713</v>
      </c>
      <c r="AH638" s="417" t="n">
        <f aca="false">IF(AND(L637&lt;L_rampe,Poussee&lt;Poids*SIN(M637)), g*SIN(M637), (-W637+Poussee)/m)</f>
        <v>-3.78667292402122</v>
      </c>
    </row>
    <row r="639" customFormat="false" ht="12" hidden="false" customHeight="false" outlineLevel="0" collapsed="false">
      <c r="A639" s="416" t="n">
        <f aca="false">IF(B638+0.01&lt;=T_ini+ROUNDUP(Temps_fin_propu,0), 0.01, IF(K638&gt;0, 0.1, 0.0001))</f>
        <v>0.1</v>
      </c>
      <c r="B639" s="417" t="n">
        <f aca="false">B638+pas</f>
        <v>27.5000000000001</v>
      </c>
      <c r="C639" s="401"/>
      <c r="D639" s="418" t="n">
        <f aca="false">IF(AND(L638&lt;L_rampe,Poussee&lt;Poids*SIN(M638)),0,(-W638+Poussee)/m*COS(M638)-U638/m*SIN(M638))</f>
        <v>-0.849602112368944</v>
      </c>
      <c r="E639" s="419" t="n">
        <f aca="false">IF(AND(L638&lt;L_rampe,Poussee&lt;Poids*SIN(M638)),0,(-W638+Poussee)/m*SIN(M638)+U638/m*COS(M638)-Poids/m)</f>
        <v>-6.06657931592846</v>
      </c>
      <c r="F639" s="417" t="n">
        <f aca="false">SQRT(acc_x^2+acc_z^2)</f>
        <v>6.12578226398823</v>
      </c>
      <c r="G639" s="418" t="n">
        <f aca="false">G638+acc_x*pas</f>
        <v>20.0539429755764</v>
      </c>
      <c r="H639" s="419" t="n">
        <f aca="false">H638+acc_z*pas</f>
        <v>-89.3404141764141</v>
      </c>
      <c r="I639" s="417" t="n">
        <f aca="false">SQRT(vit_x^2+vit_z^2)</f>
        <v>91.5634765290227</v>
      </c>
      <c r="J639" s="418" t="n">
        <f aca="false">J638+0.5*(vit_x+G638)*pas*(K638&gt;=0)</f>
        <v>770.913075320829</v>
      </c>
      <c r="K639" s="419" t="n">
        <f aca="false">K638+0.5*(vit_z+H638)*pas</f>
        <v>953.960375654654</v>
      </c>
      <c r="L639" s="417" t="n">
        <f aca="false">SQRT(pos_x^2+pos_z^2)</f>
        <v>1226.51839285833</v>
      </c>
      <c r="M639" s="418" t="n">
        <f aca="false">IF(AND(L638&gt;L_rampe,G639&gt;0),ATAN2(G639,H639),$M$4)</f>
        <v>-1.34998959797582</v>
      </c>
      <c r="N639" s="417" t="n">
        <f aca="false">DEGREES(Beta)</f>
        <v>-77.3487063505771</v>
      </c>
      <c r="O639" s="401"/>
      <c r="P639" s="420" t="n">
        <f aca="false">MATCH(t-pas/2-T_ini,CdP_t)</f>
        <v>23</v>
      </c>
      <c r="Q639" s="417" t="n">
        <f aca="false">(INDEX(CdP,2,i_P+1)-INDEX(CdP,2,i_P+0))/(INDEX(CdP,1,i_P+1)-INDEX(CdP,1,i_P+0))*(t-pas/2-T_ini-INDEX(CdP,1,i_P+0))+INDEX(CdP,2,i_P+0)</f>
        <v>0</v>
      </c>
      <c r="R639" s="418" t="n">
        <f aca="false">Poussee/(g*ISP)</f>
        <v>0</v>
      </c>
      <c r="S639" s="419" t="n">
        <f aca="false">S638-Débit*pas</f>
        <v>7.37799999999998</v>
      </c>
      <c r="T639" s="417" t="n">
        <f aca="false">m*g</f>
        <v>72.3781799999998</v>
      </c>
      <c r="U639" s="421" t="n">
        <f aca="false">IF(pos_xz&lt;L_rampe,Poids*COS(Beta),0)</f>
        <v>0</v>
      </c>
      <c r="V639" s="418" t="n">
        <f aca="false">Rho_moyen*(20000-Alt_rampe-pos_z)/(20000+Alt_rampe+pos_z)</f>
        <v>1.11346008685454</v>
      </c>
      <c r="W639" s="417" t="n">
        <f aca="false">1/2*Rho*Sref*Cx*vit_xz^2</f>
        <v>28.7048256751255</v>
      </c>
      <c r="X639" s="401"/>
      <c r="Y639" s="422" t="str">
        <f aca="false">IF(AND(pos_z&lt;=0,K638&gt;0),"Impact balistique","") &amp; IF(AND(H640&lt;0,vit_z&gt;=0),"Apogée","") &amp; IF(AND(Poussee=0,Q638&gt;0),"Fin de propulsion","") &amp; IF(AND(L640&gt;L_rampe,pos_xz&lt;=L_rampe),"Sortie de rampe","")</f>
        <v/>
      </c>
      <c r="Z639" s="423" t="str">
        <f aca="false">IF(ABS(t-T_para)&lt;pas/2,"Para","")</f>
        <v/>
      </c>
      <c r="AA639" s="424" t="str">
        <f aca="false">IF(ABS(t-T_satellite)&lt;pas/2,"Satellite","")</f>
        <v/>
      </c>
      <c r="AB639" s="412"/>
      <c r="AC639" s="420" t="e">
        <f aca="false">IF(ABS(t-ROUND(t,0))&lt;0.001,t,NA())</f>
        <v>#N/A</v>
      </c>
      <c r="AD639" s="425" t="e">
        <f aca="false">IF(ABS(t-ROUND(t,0))&lt;0.001,pos_x,NA())</f>
        <v>#N/A</v>
      </c>
      <c r="AE639" s="426" t="e">
        <f aca="false">IF(t&lt;T_para, pos_z, NA())</f>
        <v>#N/A</v>
      </c>
      <c r="AF639" s="412"/>
      <c r="AG639" s="418" t="n">
        <f aca="false">IF(AND(L638&lt;L_rampe,Poussee&lt;Poids*SIN(M638)),0,(-W638+Poussee)/m-Poids*SIN(M638)/m)</f>
        <v>5.72807957517987</v>
      </c>
      <c r="AH639" s="417" t="n">
        <f aca="false">IF(AND(L638&lt;L_rampe,Poussee&lt;Poids*SIN(M638)), g*SIN(M638), (-W638+Poussee)/m)</f>
        <v>-3.83862243093488</v>
      </c>
    </row>
    <row r="640" customFormat="false" ht="12" hidden="false" customHeight="false" outlineLevel="0" collapsed="false">
      <c r="A640" s="416" t="n">
        <f aca="false">IF(B639+0.01&lt;=T_ini+ROUNDUP(Temps_fin_propu,0), 0.01, IF(K639&gt;0, 0.1, 0.0001))</f>
        <v>0.1</v>
      </c>
      <c r="B640" s="417" t="n">
        <f aca="false">B639+pas</f>
        <v>27.6000000000001</v>
      </c>
      <c r="C640" s="401"/>
      <c r="D640" s="418" t="n">
        <f aca="false">IF(AND(L639&lt;L_rampe,Poussee&lt;Poids*SIN(M639)),0,(-W639+Poussee)/m*COS(M639)-U639/m*SIN(M639))</f>
        <v>-0.852106277300372</v>
      </c>
      <c r="E640" s="419" t="n">
        <f aca="false">IF(AND(L639&lt;L_rampe,Poussee&lt;Poids*SIN(M639)),0,(-W639+Poussee)/m*SIN(M639)+U639/m*COS(M639)-Poids/m)</f>
        <v>-6.01386236117989</v>
      </c>
      <c r="F640" s="417" t="n">
        <f aca="false">SQRT(acc_x^2+acc_z^2)</f>
        <v>6.07392999688265</v>
      </c>
      <c r="G640" s="418" t="n">
        <f aca="false">G639+acc_x*pas</f>
        <v>19.9687323478464</v>
      </c>
      <c r="H640" s="419" t="n">
        <f aca="false">H639+acc_z*pas</f>
        <v>-89.9418004125321</v>
      </c>
      <c r="I640" s="417" t="n">
        <f aca="false">SQRT(vit_x^2+vit_z^2)</f>
        <v>92.1318497210801</v>
      </c>
      <c r="J640" s="418" t="n">
        <f aca="false">J639+0.5*(vit_x+G639)*pas*(K639&gt;=0)</f>
        <v>772.914209087</v>
      </c>
      <c r="K640" s="419" t="n">
        <f aca="false">K639+0.5*(vit_z+H639)*pas</f>
        <v>944.996264925206</v>
      </c>
      <c r="L640" s="417" t="n">
        <f aca="false">SQRT(pos_x^2+pos_z^2)</f>
        <v>1220.82525994967</v>
      </c>
      <c r="M640" s="418" t="n">
        <f aca="false">IF(AND(L639&gt;L_rampe,G640&gt;0),ATAN2(G640,H640),$M$4)</f>
        <v>-1.35232164397382</v>
      </c>
      <c r="N640" s="417" t="n">
        <f aca="false">DEGREES(Beta)</f>
        <v>-77.4823227438931</v>
      </c>
      <c r="O640" s="401"/>
      <c r="P640" s="420" t="n">
        <f aca="false">MATCH(t-pas/2-T_ini,CdP_t)</f>
        <v>23</v>
      </c>
      <c r="Q640" s="417" t="n">
        <f aca="false">(INDEX(CdP,2,i_P+1)-INDEX(CdP,2,i_P+0))/(INDEX(CdP,1,i_P+1)-INDEX(CdP,1,i_P+0))*(t-pas/2-T_ini-INDEX(CdP,1,i_P+0))+INDEX(CdP,2,i_P+0)</f>
        <v>0</v>
      </c>
      <c r="R640" s="418" t="n">
        <f aca="false">Poussee/(g*ISP)</f>
        <v>0</v>
      </c>
      <c r="S640" s="419" t="n">
        <f aca="false">S639-Débit*pas</f>
        <v>7.37799999999998</v>
      </c>
      <c r="T640" s="417" t="n">
        <f aca="false">m*g</f>
        <v>72.3781799999998</v>
      </c>
      <c r="U640" s="421" t="n">
        <f aca="false">IF(pos_xz&lt;L_rampe,Poids*COS(Beta),0)</f>
        <v>0</v>
      </c>
      <c r="V640" s="418" t="n">
        <f aca="false">Rho_moyen*(20000-Alt_rampe-pos_z)/(20000+Alt_rampe+pos_z)</f>
        <v>1.11446090895495</v>
      </c>
      <c r="W640" s="417" t="n">
        <f aca="false">1/2*Rho*Sref*Cx*vit_xz^2</f>
        <v>29.0884200446799</v>
      </c>
      <c r="X640" s="401"/>
      <c r="Y640" s="422" t="str">
        <f aca="false">IF(AND(pos_z&lt;=0,K639&gt;0),"Impact balistique","") &amp; IF(AND(H641&lt;0,vit_z&gt;=0),"Apogée","") &amp; IF(AND(Poussee=0,Q639&gt;0),"Fin de propulsion","") &amp; IF(AND(L641&gt;L_rampe,pos_xz&lt;=L_rampe),"Sortie de rampe","")</f>
        <v/>
      </c>
      <c r="Z640" s="423" t="str">
        <f aca="false">IF(ABS(t-T_para)&lt;pas/2,"Para","")</f>
        <v/>
      </c>
      <c r="AA640" s="424" t="str">
        <f aca="false">IF(ABS(t-T_satellite)&lt;pas/2,"Satellite","")</f>
        <v/>
      </c>
      <c r="AB640" s="412"/>
      <c r="AC640" s="420" t="e">
        <f aca="false">IF(ABS(t-ROUND(t,0))&lt;0.001,t,NA())</f>
        <v>#N/A</v>
      </c>
      <c r="AD640" s="425" t="e">
        <f aca="false">IF(ABS(t-ROUND(t,0))&lt;0.001,pos_x,NA())</f>
        <v>#N/A</v>
      </c>
      <c r="AE640" s="426" t="e">
        <f aca="false">IF(t&lt;T_para, pos_z, NA())</f>
        <v>#N/A</v>
      </c>
      <c r="AF640" s="412"/>
      <c r="AG640" s="418" t="n">
        <f aca="false">IF(AND(L639&lt;L_rampe,Poussee&lt;Poids*SIN(M639)),0,(-W639+Poussee)/m-Poids*SIN(M639)/m)</f>
        <v>5.68122665469963</v>
      </c>
      <c r="AH640" s="417" t="n">
        <f aca="false">IF(AND(L639&lt;L_rampe,Poussee&lt;Poids*SIN(M639)), g*SIN(M639), (-W639+Poussee)/m)</f>
        <v>-3.89059713677494</v>
      </c>
    </row>
    <row r="641" customFormat="false" ht="12" hidden="false" customHeight="false" outlineLevel="0" collapsed="false">
      <c r="A641" s="416" t="n">
        <f aca="false">IF(B640+0.01&lt;=T_ini+ROUNDUP(Temps_fin_propu,0), 0.01, IF(K640&gt;0, 0.1, 0.0001))</f>
        <v>0.1</v>
      </c>
      <c r="B641" s="417" t="n">
        <f aca="false">B640+pas</f>
        <v>27.7000000000001</v>
      </c>
      <c r="C641" s="401"/>
      <c r="D641" s="418" t="n">
        <f aca="false">IF(AND(L640&lt;L_rampe,Poussee&lt;Poids*SIN(M640)),0,(-W640+Poussee)/m*COS(M640)-U640/m*SIN(M640))</f>
        <v>-0.854519912643903</v>
      </c>
      <c r="E641" s="419" t="n">
        <f aca="false">IF(AND(L640&lt;L_rampe,Poussee&lt;Poids*SIN(M640)),0,(-W640+Poussee)/m*SIN(M640)+U640/m*COS(M640)-Poids/m)</f>
        <v>-5.96112977164816</v>
      </c>
      <c r="F641" s="417" t="n">
        <f aca="false">SQRT(acc_x^2+acc_z^2)</f>
        <v>6.02206546257469</v>
      </c>
      <c r="G641" s="418" t="n">
        <f aca="false">G640+acc_x*pas</f>
        <v>19.883280356582</v>
      </c>
      <c r="H641" s="419" t="n">
        <f aca="false">H640+acc_z*pas</f>
        <v>-90.5379133896969</v>
      </c>
      <c r="I641" s="417" t="n">
        <f aca="false">SQRT(vit_x^2+vit_z^2)</f>
        <v>92.6955155263657</v>
      </c>
      <c r="J641" s="418" t="n">
        <f aca="false">J640+0.5*(vit_x+G640)*pas*(K640&gt;=0)</f>
        <v>774.906809722222</v>
      </c>
      <c r="K641" s="419" t="n">
        <f aca="false">K640+0.5*(vit_z+H640)*pas</f>
        <v>935.972279235095</v>
      </c>
      <c r="L641" s="417" t="n">
        <f aca="false">SQRT(pos_x^2+pos_z^2)</f>
        <v>1215.12331524435</v>
      </c>
      <c r="M641" s="418" t="n">
        <f aca="false">IF(AND(L640&gt;L_rampe,G641&gt;0),ATAN2(G641,H641),$M$4)</f>
        <v>-1.35461542190228</v>
      </c>
      <c r="N641" s="417" t="n">
        <f aca="false">DEGREES(Beta)</f>
        <v>-77.6137465383339</v>
      </c>
      <c r="O641" s="401"/>
      <c r="P641" s="420" t="n">
        <f aca="false">MATCH(t-pas/2-T_ini,CdP_t)</f>
        <v>23</v>
      </c>
      <c r="Q641" s="417" t="n">
        <f aca="false">(INDEX(CdP,2,i_P+1)-INDEX(CdP,2,i_P+0))/(INDEX(CdP,1,i_P+1)-INDEX(CdP,1,i_P+0))*(t-pas/2-T_ini-INDEX(CdP,1,i_P+0))+INDEX(CdP,2,i_P+0)</f>
        <v>0</v>
      </c>
      <c r="R641" s="418" t="n">
        <f aca="false">Poussee/(g*ISP)</f>
        <v>0</v>
      </c>
      <c r="S641" s="419" t="n">
        <f aca="false">S640-Débit*pas</f>
        <v>7.37799999999998</v>
      </c>
      <c r="T641" s="417" t="n">
        <f aca="false">m*g</f>
        <v>72.3781799999998</v>
      </c>
      <c r="U641" s="421" t="n">
        <f aca="false">IF(pos_xz&lt;L_rampe,Poids*COS(Beta),0)</f>
        <v>0</v>
      </c>
      <c r="V641" s="418" t="n">
        <f aca="false">Rho_moyen*(20000-Alt_rampe-pos_z)/(20000+Alt_rampe+pos_z)</f>
        <v>1.11546928160101</v>
      </c>
      <c r="W641" s="417" t="n">
        <f aca="false">1/2*Rho*Sref*Cx*vit_xz^2</f>
        <v>29.472079183615</v>
      </c>
      <c r="X641" s="401"/>
      <c r="Y641" s="422" t="str">
        <f aca="false">IF(AND(pos_z&lt;=0,K640&gt;0),"Impact balistique","") &amp; IF(AND(H642&lt;0,vit_z&gt;=0),"Apogée","") &amp; IF(AND(Poussee=0,Q640&gt;0),"Fin de propulsion","") &amp; IF(AND(L642&gt;L_rampe,pos_xz&lt;=L_rampe),"Sortie de rampe","")</f>
        <v/>
      </c>
      <c r="Z641" s="423" t="str">
        <f aca="false">IF(ABS(t-T_para)&lt;pas/2,"Para","")</f>
        <v/>
      </c>
      <c r="AA641" s="424" t="str">
        <f aca="false">IF(ABS(t-T_satellite)&lt;pas/2,"Satellite","")</f>
        <v/>
      </c>
      <c r="AB641" s="412"/>
      <c r="AC641" s="420" t="e">
        <f aca="false">IF(ABS(t-ROUND(t,0))&lt;0.001,t,NA())</f>
        <v>#N/A</v>
      </c>
      <c r="AD641" s="425" t="e">
        <f aca="false">IF(ABS(t-ROUND(t,0))&lt;0.001,pos_x,NA())</f>
        <v>#N/A</v>
      </c>
      <c r="AE641" s="426" t="e">
        <f aca="false">IF(t&lt;T_para, pos_z, NA())</f>
        <v>#N/A</v>
      </c>
      <c r="AF641" s="412"/>
      <c r="AG641" s="418" t="n">
        <f aca="false">IF(AND(L640&lt;L_rampe,Poussee&lt;Poids*SIN(M640)),0,(-W640+Poussee)/m-Poids*SIN(M640)/m)</f>
        <v>5.63421950503313</v>
      </c>
      <c r="AH641" s="417" t="n">
        <f aca="false">IF(AND(L640&lt;L_rampe,Poussee&lt;Poids*SIN(M640)), g*SIN(M640), (-W640+Poussee)/m)</f>
        <v>-3.9425887835023</v>
      </c>
    </row>
    <row r="642" customFormat="false" ht="12" hidden="false" customHeight="false" outlineLevel="0" collapsed="false">
      <c r="A642" s="416" t="n">
        <f aca="false">IF(B641+0.01&lt;=T_ini+ROUNDUP(Temps_fin_propu,0), 0.01, IF(K641&gt;0, 0.1, 0.0001))</f>
        <v>0.1</v>
      </c>
      <c r="B642" s="417" t="n">
        <f aca="false">B641+pas</f>
        <v>27.8000000000001</v>
      </c>
      <c r="C642" s="401"/>
      <c r="D642" s="418" t="n">
        <f aca="false">IF(AND(L641&lt;L_rampe,Poussee&lt;Poids*SIN(M641)),0,(-W641+Poussee)/m*COS(M641)-U641/m*SIN(M641))</f>
        <v>-0.856843361837607</v>
      </c>
      <c r="E642" s="419" t="n">
        <f aca="false">IF(AND(L641&lt;L_rampe,Poussee&lt;Poids*SIN(M641)),0,(-W641+Poussee)/m*SIN(M641)+U641/m*COS(M641)-Poids/m)</f>
        <v>-5.90838976811944</v>
      </c>
      <c r="F642" s="417" t="n">
        <f aca="false">SQRT(acc_x^2+acc_z^2)</f>
        <v>5.97019683082088</v>
      </c>
      <c r="G642" s="418" t="n">
        <f aca="false">G641+acc_x*pas</f>
        <v>19.7975960203982</v>
      </c>
      <c r="H642" s="419" t="n">
        <f aca="false">H641+acc_z*pas</f>
        <v>-91.1287523665089</v>
      </c>
      <c r="I642" s="417" t="n">
        <f aca="false">SQRT(vit_x^2+vit_z^2)</f>
        <v>93.2544600330911</v>
      </c>
      <c r="J642" s="418" t="n">
        <f aca="false">J641+0.5*(vit_x+G641)*pas*(K641&gt;=0)</f>
        <v>776.890853541071</v>
      </c>
      <c r="K642" s="419" t="n">
        <f aca="false">K641+0.5*(vit_z+H641)*pas</f>
        <v>926.888945947285</v>
      </c>
      <c r="L642" s="417" t="n">
        <f aca="false">SQRT(pos_x^2+pos_z^2)</f>
        <v>1209.41412114918</v>
      </c>
      <c r="M642" s="418" t="n">
        <f aca="false">IF(AND(L641&gt;L_rampe,G642&gt;0),ATAN2(G642,H642),$M$4)</f>
        <v>-1.35687188936835</v>
      </c>
      <c r="N642" s="417" t="n">
        <f aca="false">DEGREES(Beta)</f>
        <v>-77.7430326007485</v>
      </c>
      <c r="O642" s="401"/>
      <c r="P642" s="420" t="n">
        <f aca="false">MATCH(t-pas/2-T_ini,CdP_t)</f>
        <v>23</v>
      </c>
      <c r="Q642" s="417" t="n">
        <f aca="false">(INDEX(CdP,2,i_P+1)-INDEX(CdP,2,i_P+0))/(INDEX(CdP,1,i_P+1)-INDEX(CdP,1,i_P+0))*(t-pas/2-T_ini-INDEX(CdP,1,i_P+0))+INDEX(CdP,2,i_P+0)</f>
        <v>0</v>
      </c>
      <c r="R642" s="418" t="n">
        <f aca="false">Poussee/(g*ISP)</f>
        <v>0</v>
      </c>
      <c r="S642" s="419" t="n">
        <f aca="false">S641-Débit*pas</f>
        <v>7.37799999999998</v>
      </c>
      <c r="T642" s="417" t="n">
        <f aca="false">m*g</f>
        <v>72.3781799999998</v>
      </c>
      <c r="U642" s="421" t="n">
        <f aca="false">IF(pos_xz&lt;L_rampe,Poids*COS(Beta),0)</f>
        <v>0</v>
      </c>
      <c r="V642" s="418" t="n">
        <f aca="false">Rho_moyen*(20000-Alt_rampe-pos_z)/(20000+Alt_rampe+pos_z)</f>
        <v>1.11648516420972</v>
      </c>
      <c r="W642" s="417" t="n">
        <f aca="false">1/2*Rho*Sref*Cx*vit_xz^2</f>
        <v>29.8557435907134</v>
      </c>
      <c r="X642" s="401"/>
      <c r="Y642" s="422" t="str">
        <f aca="false">IF(AND(pos_z&lt;=0,K641&gt;0),"Impact balistique","") &amp; IF(AND(H643&lt;0,vit_z&gt;=0),"Apogée","") &amp; IF(AND(Poussee=0,Q641&gt;0),"Fin de propulsion","") &amp; IF(AND(L643&gt;L_rampe,pos_xz&lt;=L_rampe),"Sortie de rampe","")</f>
        <v/>
      </c>
      <c r="Z642" s="423" t="str">
        <f aca="false">IF(ABS(t-T_para)&lt;pas/2,"Para","")</f>
        <v/>
      </c>
      <c r="AA642" s="424" t="str">
        <f aca="false">IF(ABS(t-T_satellite)&lt;pas/2,"Satellite","")</f>
        <v/>
      </c>
      <c r="AB642" s="412"/>
      <c r="AC642" s="420" t="e">
        <f aca="false">IF(ABS(t-ROUND(t,0))&lt;0.001,t,NA())</f>
        <v>#N/A</v>
      </c>
      <c r="AD642" s="425" t="e">
        <f aca="false">IF(ABS(t-ROUND(t,0))&lt;0.001,pos_x,NA())</f>
        <v>#N/A</v>
      </c>
      <c r="AE642" s="426" t="e">
        <f aca="false">IF(t&lt;T_para, pos_z, NA())</f>
        <v>#N/A</v>
      </c>
      <c r="AF642" s="412"/>
      <c r="AG642" s="418" t="n">
        <f aca="false">IF(AND(L641&lt;L_rampe,Poussee&lt;Poids*SIN(M641)),0,(-W641+Poussee)/m-Poids*SIN(M641)/m)</f>
        <v>5.58707097503729</v>
      </c>
      <c r="AH642" s="417" t="n">
        <f aca="false">IF(AND(L641&lt;L_rampe,Poussee&lt;Poids*SIN(M641)), g*SIN(M641), (-W641+Poussee)/m)</f>
        <v>-3.99458920894756</v>
      </c>
    </row>
    <row r="643" customFormat="false" ht="12" hidden="false" customHeight="false" outlineLevel="0" collapsed="false">
      <c r="A643" s="416" t="n">
        <f aca="false">IF(B642+0.01&lt;=T_ini+ROUNDUP(Temps_fin_propu,0), 0.01, IF(K642&gt;0, 0.1, 0.0001))</f>
        <v>0.1</v>
      </c>
      <c r="B643" s="417" t="n">
        <f aca="false">B642+pas</f>
        <v>27.9000000000001</v>
      </c>
      <c r="C643" s="401"/>
      <c r="D643" s="418" t="n">
        <f aca="false">IF(AND(L642&lt;L_rampe,Poussee&lt;Poids*SIN(M642)),0,(-W642+Poussee)/m*COS(M642)-U642/m*SIN(M642))</f>
        <v>-0.859076991597221</v>
      </c>
      <c r="E643" s="419" t="n">
        <f aca="false">IF(AND(L642&lt;L_rampe,Poussee&lt;Poids*SIN(M642)),0,(-W642+Poussee)/m*SIN(M642)+U642/m*COS(M642)-Poids/m)</f>
        <v>-5.85565047441281</v>
      </c>
      <c r="F643" s="417" t="n">
        <f aca="false">SQRT(acc_x^2+acc_z^2)</f>
        <v>5.91833217688756</v>
      </c>
      <c r="G643" s="418" t="n">
        <f aca="false">G642+acc_x*pas</f>
        <v>19.7116883212385</v>
      </c>
      <c r="H643" s="419" t="n">
        <f aca="false">H642+acc_z*pas</f>
        <v>-91.7143174139502</v>
      </c>
      <c r="I643" s="417" t="n">
        <f aca="false">SQRT(vit_x^2+vit_z^2)</f>
        <v>93.8086705757013</v>
      </c>
      <c r="J643" s="418" t="n">
        <f aca="false">J642+0.5*(vit_x+G642)*pas*(K642&gt;=0)</f>
        <v>778.866317758153</v>
      </c>
      <c r="K643" s="419" t="n">
        <f aca="false">K642+0.5*(vit_z+H642)*pas</f>
        <v>917.746792458262</v>
      </c>
      <c r="L643" s="417" t="n">
        <f aca="false">SQRT(pos_x^2+pos_z^2)</f>
        <v>1203.69926310751</v>
      </c>
      <c r="M643" s="418" t="n">
        <f aca="false">IF(AND(L642&gt;L_rampe,G643&gt;0),ATAN2(G643,H643),$M$4)</f>
        <v>-1.35909197245924</v>
      </c>
      <c r="N643" s="417" t="n">
        <f aca="false">DEGREES(Beta)</f>
        <v>-77.8702339920246</v>
      </c>
      <c r="O643" s="401"/>
      <c r="P643" s="420" t="n">
        <f aca="false">MATCH(t-pas/2-T_ini,CdP_t)</f>
        <v>23</v>
      </c>
      <c r="Q643" s="417" t="n">
        <f aca="false">(INDEX(CdP,2,i_P+1)-INDEX(CdP,2,i_P+0))/(INDEX(CdP,1,i_P+1)-INDEX(CdP,1,i_P+0))*(t-pas/2-T_ini-INDEX(CdP,1,i_P+0))+INDEX(CdP,2,i_P+0)</f>
        <v>0</v>
      </c>
      <c r="R643" s="418" t="n">
        <f aca="false">Poussee/(g*ISP)</f>
        <v>0</v>
      </c>
      <c r="S643" s="419" t="n">
        <f aca="false">S642-Débit*pas</f>
        <v>7.37799999999998</v>
      </c>
      <c r="T643" s="417" t="n">
        <f aca="false">m*g</f>
        <v>72.3781799999998</v>
      </c>
      <c r="U643" s="421" t="n">
        <f aca="false">IF(pos_xz&lt;L_rampe,Poids*COS(Beta),0)</f>
        <v>0</v>
      </c>
      <c r="V643" s="418" t="n">
        <f aca="false">Rho_moyen*(20000-Alt_rampe-pos_z)/(20000+Alt_rampe+pos_z)</f>
        <v>1.11750851614987</v>
      </c>
      <c r="W643" s="417" t="n">
        <f aca="false">1/2*Rho*Sref*Cx*vit_xz^2</f>
        <v>30.239354495424</v>
      </c>
      <c r="X643" s="401"/>
      <c r="Y643" s="422" t="str">
        <f aca="false">IF(AND(pos_z&lt;=0,K642&gt;0),"Impact balistique","") &amp; IF(AND(H644&lt;0,vit_z&gt;=0),"Apogée","") &amp; IF(AND(Poussee=0,Q642&gt;0),"Fin de propulsion","") &amp; IF(AND(L644&gt;L_rampe,pos_xz&lt;=L_rampe),"Sortie de rampe","")</f>
        <v/>
      </c>
      <c r="Z643" s="423" t="str">
        <f aca="false">IF(ABS(t-T_para)&lt;pas/2,"Para","")</f>
        <v/>
      </c>
      <c r="AA643" s="424" t="str">
        <f aca="false">IF(ABS(t-T_satellite)&lt;pas/2,"Satellite","")</f>
        <v/>
      </c>
      <c r="AB643" s="412"/>
      <c r="AC643" s="420" t="e">
        <f aca="false">IF(ABS(t-ROUND(t,0))&lt;0.001,t,NA())</f>
        <v>#N/A</v>
      </c>
      <c r="AD643" s="425" t="e">
        <f aca="false">IF(ABS(t-ROUND(t,0))&lt;0.001,pos_x,NA())</f>
        <v>#N/A</v>
      </c>
      <c r="AE643" s="426" t="e">
        <f aca="false">IF(t&lt;T_para, pos_z, NA())</f>
        <v>#N/A</v>
      </c>
      <c r="AF643" s="412"/>
      <c r="AG643" s="418" t="n">
        <f aca="false">IF(AND(L642&lt;L_rampe,Poussee&lt;Poids*SIN(M642)),0,(-W642+Poussee)/m-Poids*SIN(M642)/m)</f>
        <v>5.53979362074711</v>
      </c>
      <c r="AH643" s="417" t="n">
        <f aca="false">IF(AND(L642&lt;L_rampe,Poussee&lt;Poids*SIN(M642)), g*SIN(M642), (-W642+Poussee)/m)</f>
        <v>-4.04659034842958</v>
      </c>
    </row>
    <row r="644" customFormat="false" ht="12" hidden="false" customHeight="false" outlineLevel="0" collapsed="false">
      <c r="A644" s="416" t="n">
        <f aca="false">IF(B643+0.01&lt;=T_ini+ROUNDUP(Temps_fin_propu,0), 0.01, IF(K643&gt;0, 0.1, 0.0001))</f>
        <v>0.1</v>
      </c>
      <c r="B644" s="417" t="n">
        <f aca="false">B643+pas</f>
        <v>28.0000000000001</v>
      </c>
      <c r="C644" s="401"/>
      <c r="D644" s="418" t="n">
        <f aca="false">IF(AND(L643&lt;L_rampe,Poussee&lt;Poids*SIN(M643)),0,(-W643+Poussee)/m*COS(M643)-U643/m*SIN(M643))</f>
        <v>-0.861221191266092</v>
      </c>
      <c r="E644" s="419" t="n">
        <f aca="false">IF(AND(L643&lt;L_rampe,Poussee&lt;Poids*SIN(M643)),0,(-W643+Poussee)/m*SIN(M643)+U643/m*COS(M643)-Poids/m)</f>
        <v>-5.80291991572867</v>
      </c>
      <c r="F644" s="417" t="n">
        <f aca="false">SQRT(acc_x^2+acc_z^2)</f>
        <v>5.86647947994759</v>
      </c>
      <c r="G644" s="418" t="n">
        <f aca="false">G643+acc_x*pas</f>
        <v>19.6255662021119</v>
      </c>
      <c r="H644" s="419" t="n">
        <f aca="false">H643+acc_z*pas</f>
        <v>-92.294609405523</v>
      </c>
      <c r="I644" s="417" t="n">
        <f aca="false">SQRT(vit_x^2+vit_z^2)</f>
        <v>94.3581357068458</v>
      </c>
      <c r="J644" s="418" t="n">
        <f aca="false">J643+0.5*(vit_x+G643)*pas*(K643&gt;=0)</f>
        <v>780.83318048432</v>
      </c>
      <c r="K644" s="419" t="n">
        <f aca="false">K643+0.5*(vit_z+H643)*pas</f>
        <v>908.546346117288</v>
      </c>
      <c r="L644" s="417" t="n">
        <f aca="false">SQRT(pos_x^2+pos_z^2)</f>
        <v>1197.98034991745</v>
      </c>
      <c r="M644" s="418" t="n">
        <f aca="false">IF(AND(L643&gt;L_rampe,G644&gt;0),ATAN2(G644,H644),$M$4)</f>
        <v>-1.36127656699657</v>
      </c>
      <c r="N644" s="417" t="n">
        <f aca="false">DEGREES(Beta)</f>
        <v>-77.995402038961</v>
      </c>
      <c r="O644" s="401"/>
      <c r="P644" s="420" t="n">
        <f aca="false">MATCH(t-pas/2-T_ini,CdP_t)</f>
        <v>23</v>
      </c>
      <c r="Q644" s="417" t="n">
        <f aca="false">(INDEX(CdP,2,i_P+1)-INDEX(CdP,2,i_P+0))/(INDEX(CdP,1,i_P+1)-INDEX(CdP,1,i_P+0))*(t-pas/2-T_ini-INDEX(CdP,1,i_P+0))+INDEX(CdP,2,i_P+0)</f>
        <v>0</v>
      </c>
      <c r="R644" s="418" t="n">
        <f aca="false">Poussee/(g*ISP)</f>
        <v>0</v>
      </c>
      <c r="S644" s="419" t="n">
        <f aca="false">S643-Débit*pas</f>
        <v>7.37799999999998</v>
      </c>
      <c r="T644" s="417" t="n">
        <f aca="false">m*g</f>
        <v>72.3781799999998</v>
      </c>
      <c r="U644" s="421" t="n">
        <f aca="false">IF(pos_xz&lt;L_rampe,Poids*COS(Beta),0)</f>
        <v>0</v>
      </c>
      <c r="V644" s="418" t="n">
        <f aca="false">Rho_moyen*(20000-Alt_rampe-pos_z)/(20000+Alt_rampe+pos_z)</f>
        <v>1.11853929674787</v>
      </c>
      <c r="W644" s="417" t="n">
        <f aca="false">1/2*Rho*Sref*Cx*vit_xz^2</f>
        <v>30.6228538687192</v>
      </c>
      <c r="X644" s="401"/>
      <c r="Y644" s="422" t="str">
        <f aca="false">IF(AND(pos_z&lt;=0,K643&gt;0),"Impact balistique","") &amp; IF(AND(H645&lt;0,vit_z&gt;=0),"Apogée","") &amp; IF(AND(Poussee=0,Q643&gt;0),"Fin de propulsion","") &amp; IF(AND(L645&gt;L_rampe,pos_xz&lt;=L_rampe),"Sortie de rampe","")</f>
        <v/>
      </c>
      <c r="Z644" s="423" t="str">
        <f aca="false">IF(ABS(t-T_para)&lt;pas/2,"Para","")</f>
        <v/>
      </c>
      <c r="AA644" s="424" t="str">
        <f aca="false">IF(ABS(t-T_satellite)&lt;pas/2,"Satellite","")</f>
        <v/>
      </c>
      <c r="AB644" s="412"/>
      <c r="AC644" s="420" t="n">
        <f aca="false">IF(ABS(t-ROUND(t,0))&lt;0.001,t,NA())</f>
        <v>28.0000000000001</v>
      </c>
      <c r="AD644" s="425" t="n">
        <f aca="false">IF(ABS(t-ROUND(t,0))&lt;0.001,pos_x,NA())</f>
        <v>780.83318048432</v>
      </c>
      <c r="AE644" s="426" t="e">
        <f aca="false">IF(t&lt;T_para, pos_z, NA())</f>
        <v>#N/A</v>
      </c>
      <c r="AF644" s="412"/>
      <c r="AG644" s="418" t="n">
        <f aca="false">IF(AND(L643&lt;L_rampe,Poussee&lt;Poids*SIN(M643)),0,(-W643+Poussee)/m-Poids*SIN(M643)/m)</f>
        <v>5.49239971336346</v>
      </c>
      <c r="AH644" s="417" t="n">
        <f aca="false">IF(AND(L643&lt;L_rampe,Poussee&lt;Poids*SIN(M643)), g*SIN(M643), (-W643+Poussee)/m)</f>
        <v>-4.09858423630036</v>
      </c>
    </row>
    <row r="645" customFormat="false" ht="12" hidden="false" customHeight="false" outlineLevel="0" collapsed="false">
      <c r="A645" s="416" t="n">
        <f aca="false">IF(B644+0.01&lt;=T_ini+ROUNDUP(Temps_fin_propu,0), 0.01, IF(K644&gt;0, 0.1, 0.0001))</f>
        <v>0.1</v>
      </c>
      <c r="B645" s="417" t="n">
        <f aca="false">B644+pas</f>
        <v>28.1000000000001</v>
      </c>
      <c r="C645" s="401"/>
      <c r="D645" s="418" t="n">
        <f aca="false">IF(AND(L644&lt;L_rampe,Poussee&lt;Poids*SIN(M644)),0,(-W644+Poussee)/m*COS(M644)-U644/m*SIN(M644))</f>
        <v>-0.863276372173811</v>
      </c>
      <c r="E645" s="419" t="n">
        <f aca="false">IF(AND(L644&lt;L_rampe,Poussee&lt;Poids*SIN(M644)),0,(-W644+Poussee)/m*SIN(M644)+U644/m*COS(M644)-Poids/m)</f>
        <v>-5.75020601707659</v>
      </c>
      <c r="F645" s="417" t="n">
        <f aca="false">SQRT(acc_x^2+acc_z^2)</f>
        <v>5.81464662155642</v>
      </c>
      <c r="G645" s="418" t="n">
        <f aca="false">G644+acc_x*pas</f>
        <v>19.5392385648945</v>
      </c>
      <c r="H645" s="419" t="n">
        <f aca="false">H644+acc_z*pas</f>
        <v>-92.8696300072307</v>
      </c>
      <c r="I645" s="417" t="n">
        <f aca="false">SQRT(vit_x^2+vit_z^2)</f>
        <v>94.9028451700779</v>
      </c>
      <c r="J645" s="418" t="n">
        <f aca="false">J644+0.5*(vit_x+G644)*pas*(K644&gt;=0)</f>
        <v>782.79142072267</v>
      </c>
      <c r="K645" s="419" t="n">
        <f aca="false">K644+0.5*(vit_z+H644)*pas</f>
        <v>899.28813414665</v>
      </c>
      <c r="L645" s="417" t="n">
        <f aca="false">SQRT(pos_x^2+pos_z^2)</f>
        <v>1192.25901404602</v>
      </c>
      <c r="M645" s="418" t="n">
        <f aca="false">IF(AND(L644&gt;L_rampe,G645&gt;0),ATAN2(G645,H645),$M$4)</f>
        <v>-1.36342653973291</v>
      </c>
      <c r="N645" s="417" t="n">
        <f aca="false">DEGREES(Beta)</f>
        <v>-78.1185864028218</v>
      </c>
      <c r="O645" s="401"/>
      <c r="P645" s="420" t="n">
        <f aca="false">MATCH(t-pas/2-T_ini,CdP_t)</f>
        <v>23</v>
      </c>
      <c r="Q645" s="417" t="n">
        <f aca="false">(INDEX(CdP,2,i_P+1)-INDEX(CdP,2,i_P+0))/(INDEX(CdP,1,i_P+1)-INDEX(CdP,1,i_P+0))*(t-pas/2-T_ini-INDEX(CdP,1,i_P+0))+INDEX(CdP,2,i_P+0)</f>
        <v>0</v>
      </c>
      <c r="R645" s="418" t="n">
        <f aca="false">Poussee/(g*ISP)</f>
        <v>0</v>
      </c>
      <c r="S645" s="419" t="n">
        <f aca="false">S644-Débit*pas</f>
        <v>7.37799999999998</v>
      </c>
      <c r="T645" s="417" t="n">
        <f aca="false">m*g</f>
        <v>72.3781799999998</v>
      </c>
      <c r="U645" s="421" t="n">
        <f aca="false">IF(pos_xz&lt;L_rampe,Poids*COS(Beta),0)</f>
        <v>0</v>
      </c>
      <c r="V645" s="418" t="n">
        <f aca="false">Rho_moyen*(20000-Alt_rampe-pos_z)/(20000+Alt_rampe+pos_z)</f>
        <v>1.11957746529369</v>
      </c>
      <c r="W645" s="417" t="n">
        <f aca="false">1/2*Rho*Sref*Cx*vit_xz^2</f>
        <v>31.0061844334136</v>
      </c>
      <c r="X645" s="401"/>
      <c r="Y645" s="422" t="str">
        <f aca="false">IF(AND(pos_z&lt;=0,K644&gt;0),"Impact balistique","") &amp; IF(AND(H646&lt;0,vit_z&gt;=0),"Apogée","") &amp; IF(AND(Poussee=0,Q644&gt;0),"Fin de propulsion","") &amp; IF(AND(L646&gt;L_rampe,pos_xz&lt;=L_rampe),"Sortie de rampe","")</f>
        <v/>
      </c>
      <c r="Z645" s="423" t="str">
        <f aca="false">IF(ABS(t-T_para)&lt;pas/2,"Para","")</f>
        <v/>
      </c>
      <c r="AA645" s="424" t="str">
        <f aca="false">IF(ABS(t-T_satellite)&lt;pas/2,"Satellite","")</f>
        <v/>
      </c>
      <c r="AB645" s="412"/>
      <c r="AC645" s="420" t="e">
        <f aca="false">IF(ABS(t-ROUND(t,0))&lt;0.001,t,NA())</f>
        <v>#N/A</v>
      </c>
      <c r="AD645" s="425" t="e">
        <f aca="false">IF(ABS(t-ROUND(t,0))&lt;0.001,pos_x,NA())</f>
        <v>#N/A</v>
      </c>
      <c r="AE645" s="426" t="e">
        <f aca="false">IF(t&lt;T_para, pos_z, NA())</f>
        <v>#N/A</v>
      </c>
      <c r="AF645" s="412"/>
      <c r="AG645" s="418" t="n">
        <f aca="false">IF(AND(L644&lt;L_rampe,Poussee&lt;Poids*SIN(M644)),0,(-W644+Poussee)/m-Poids*SIN(M644)/m)</f>
        <v>5.44490124678546</v>
      </c>
      <c r="AH645" s="417" t="n">
        <f aca="false">IF(AND(L644&lt;L_rampe,Poussee&lt;Poids*SIN(M644)), g*SIN(M644), (-W644+Poussee)/m)</f>
        <v>-4.15056300741655</v>
      </c>
    </row>
    <row r="646" customFormat="false" ht="12" hidden="false" customHeight="false" outlineLevel="0" collapsed="false">
      <c r="A646" s="416" t="n">
        <f aca="false">IF(B645+0.01&lt;=T_ini+ROUNDUP(Temps_fin_propu,0), 0.01, IF(K645&gt;0, 0.1, 0.0001))</f>
        <v>0.1</v>
      </c>
      <c r="B646" s="417" t="n">
        <f aca="false">B645+pas</f>
        <v>28.2000000000001</v>
      </c>
      <c r="C646" s="401"/>
      <c r="D646" s="418" t="n">
        <f aca="false">IF(AND(L645&lt;L_rampe,Poussee&lt;Poids*SIN(M645)),0,(-W645+Poussee)/m*COS(M645)-U645/m*SIN(M645))</f>
        <v>-0.865242967003294</v>
      </c>
      <c r="E646" s="419" t="n">
        <f aca="false">IF(AND(L645&lt;L_rampe,Poussee&lt;Poids*SIN(M645)),0,(-W645+Poussee)/m*SIN(M645)+U645/m*COS(M645)-Poids/m)</f>
        <v>-5.69751660178176</v>
      </c>
      <c r="F646" s="417" t="n">
        <f aca="false">SQRT(acc_x^2+acc_z^2)</f>
        <v>5.76284138420687</v>
      </c>
      <c r="G646" s="418" t="n">
        <f aca="false">G645+acc_x*pas</f>
        <v>19.4527142681942</v>
      </c>
      <c r="H646" s="419" t="n">
        <f aca="false">H645+acc_z*pas</f>
        <v>-93.4393816674089</v>
      </c>
      <c r="I646" s="417" t="n">
        <f aca="false">SQRT(vit_x^2+vit_z^2)</f>
        <v>95.4427898732414</v>
      </c>
      <c r="J646" s="418" t="n">
        <f aca="false">J645+0.5*(vit_x+G645)*pas*(K645&gt;=0)</f>
        <v>784.741018364325</v>
      </c>
      <c r="K646" s="419" t="n">
        <f aca="false">K645+0.5*(vit_z+H645)*pas</f>
        <v>889.972683562918</v>
      </c>
      <c r="L646" s="417" t="n">
        <f aca="false">SQRT(pos_x^2+pos_z^2)</f>
        <v>1186.53691193812</v>
      </c>
      <c r="M646" s="418" t="n">
        <f aca="false">IF(AND(L645&gt;L_rampe,G646&gt;0),ATAN2(G646,H646),$M$4)</f>
        <v>-1.36554272949338</v>
      </c>
      <c r="N646" s="417" t="n">
        <f aca="false">DEGREES(Beta)</f>
        <v>-78.2398351447452</v>
      </c>
      <c r="O646" s="401"/>
      <c r="P646" s="420" t="n">
        <f aca="false">MATCH(t-pas/2-T_ini,CdP_t)</f>
        <v>23</v>
      </c>
      <c r="Q646" s="417" t="n">
        <f aca="false">(INDEX(CdP,2,i_P+1)-INDEX(CdP,2,i_P+0))/(INDEX(CdP,1,i_P+1)-INDEX(CdP,1,i_P+0))*(t-pas/2-T_ini-INDEX(CdP,1,i_P+0))+INDEX(CdP,2,i_P+0)</f>
        <v>0</v>
      </c>
      <c r="R646" s="418" t="n">
        <f aca="false">Poussee/(g*ISP)</f>
        <v>0</v>
      </c>
      <c r="S646" s="419" t="n">
        <f aca="false">S645-Débit*pas</f>
        <v>7.37799999999998</v>
      </c>
      <c r="T646" s="417" t="n">
        <f aca="false">m*g</f>
        <v>72.3781799999998</v>
      </c>
      <c r="U646" s="421" t="n">
        <f aca="false">IF(pos_xz&lt;L_rampe,Poids*COS(Beta),0)</f>
        <v>0</v>
      </c>
      <c r="V646" s="418" t="n">
        <f aca="false">Rho_moyen*(20000-Alt_rampe-pos_z)/(20000+Alt_rampe+pos_z)</f>
        <v>1.12062298104656</v>
      </c>
      <c r="W646" s="417" t="n">
        <f aca="false">1/2*Rho*Sref*Cx*vit_xz^2</f>
        <v>31.3892896739464</v>
      </c>
      <c r="X646" s="401"/>
      <c r="Y646" s="422" t="str">
        <f aca="false">IF(AND(pos_z&lt;=0,K645&gt;0),"Impact balistique","") &amp; IF(AND(H647&lt;0,vit_z&gt;=0),"Apogée","") &amp; IF(AND(Poussee=0,Q645&gt;0),"Fin de propulsion","") &amp; IF(AND(L647&gt;L_rampe,pos_xz&lt;=L_rampe),"Sortie de rampe","")</f>
        <v/>
      </c>
      <c r="Z646" s="423" t="str">
        <f aca="false">IF(ABS(t-T_para)&lt;pas/2,"Para","")</f>
        <v/>
      </c>
      <c r="AA646" s="424" t="str">
        <f aca="false">IF(ABS(t-T_satellite)&lt;pas/2,"Satellite","")</f>
        <v/>
      </c>
      <c r="AB646" s="412"/>
      <c r="AC646" s="420" t="e">
        <f aca="false">IF(ABS(t-ROUND(t,0))&lt;0.001,t,NA())</f>
        <v>#N/A</v>
      </c>
      <c r="AD646" s="425" t="e">
        <f aca="false">IF(ABS(t-ROUND(t,0))&lt;0.001,pos_x,NA())</f>
        <v>#N/A</v>
      </c>
      <c r="AE646" s="426" t="e">
        <f aca="false">IF(t&lt;T_para, pos_z, NA())</f>
        <v>#N/A</v>
      </c>
      <c r="AF646" s="412"/>
      <c r="AG646" s="418" t="n">
        <f aca="false">IF(AND(L645&lt;L_rampe,Poussee&lt;Poids*SIN(M645)),0,(-W645+Poussee)/m-Poids*SIN(M645)/m)</f>
        <v>5.39730994471966</v>
      </c>
      <c r="AH646" s="417" t="n">
        <f aca="false">IF(AND(L645&lt;L_rampe,Poussee&lt;Poids*SIN(M645)), g*SIN(M645), (-W645+Poussee)/m)</f>
        <v>-4.20251889853804</v>
      </c>
    </row>
    <row r="647" customFormat="false" ht="12" hidden="false" customHeight="false" outlineLevel="0" collapsed="false">
      <c r="A647" s="416" t="n">
        <f aca="false">IF(B646+0.01&lt;=T_ini+ROUNDUP(Temps_fin_propu,0), 0.01, IF(K646&gt;0, 0.1, 0.0001))</f>
        <v>0.1</v>
      </c>
      <c r="B647" s="417" t="n">
        <f aca="false">B646+pas</f>
        <v>28.3000000000001</v>
      </c>
      <c r="C647" s="401"/>
      <c r="D647" s="418" t="n">
        <f aca="false">IF(AND(L646&lt;L_rampe,Poussee&lt;Poids*SIN(M646)),0,(-W646+Poussee)/m*COS(M646)-U646/m*SIN(M646))</f>
        <v>-0.867121429166039</v>
      </c>
      <c r="E647" s="419" t="n">
        <f aca="false">IF(AND(L646&lt;L_rampe,Poussee&lt;Poids*SIN(M646)),0,(-W646+Poussee)/m*SIN(M646)+U646/m*COS(M646)-Poids/m)</f>
        <v>-5.64485939006927</v>
      </c>
      <c r="F647" s="417" t="n">
        <f aca="false">SQRT(acc_x^2+acc_z^2)</f>
        <v>5.7110714499621</v>
      </c>
      <c r="G647" s="418" t="n">
        <f aca="false">G646+acc_x*pas</f>
        <v>19.3660021252776</v>
      </c>
      <c r="H647" s="419" t="n">
        <f aca="false">H646+acc_z*pas</f>
        <v>-94.0038676064158</v>
      </c>
      <c r="I647" s="417" t="n">
        <f aca="false">SQRT(vit_x^2+vit_z^2)</f>
        <v>95.9779618625068</v>
      </c>
      <c r="J647" s="418" t="n">
        <f aca="false">J646+0.5*(vit_x+G646)*pas*(K646&gt;=0)</f>
        <v>786.681954183998</v>
      </c>
      <c r="K647" s="419" t="n">
        <f aca="false">K646+0.5*(vit_z+H646)*pas</f>
        <v>880.600521099227</v>
      </c>
      <c r="L647" s="417" t="n">
        <f aca="false">SQRT(pos_x^2+pos_z^2)</f>
        <v>1180.81572431899</v>
      </c>
      <c r="M647" s="418" t="n">
        <f aca="false">IF(AND(L646&gt;L_rampe,G647&gt;0),ATAN2(G647,H647),$M$4)</f>
        <v>-1.36762594826514</v>
      </c>
      <c r="N647" s="417" t="n">
        <f aca="false">DEGREES(Beta)</f>
        <v>-78.3591947881698</v>
      </c>
      <c r="O647" s="401"/>
      <c r="P647" s="420" t="n">
        <f aca="false">MATCH(t-pas/2-T_ini,CdP_t)</f>
        <v>23</v>
      </c>
      <c r="Q647" s="417" t="n">
        <f aca="false">(INDEX(CdP,2,i_P+1)-INDEX(CdP,2,i_P+0))/(INDEX(CdP,1,i_P+1)-INDEX(CdP,1,i_P+0))*(t-pas/2-T_ini-INDEX(CdP,1,i_P+0))+INDEX(CdP,2,i_P+0)</f>
        <v>0</v>
      </c>
      <c r="R647" s="418" t="n">
        <f aca="false">Poussee/(g*ISP)</f>
        <v>0</v>
      </c>
      <c r="S647" s="419" t="n">
        <f aca="false">S646-Débit*pas</f>
        <v>7.37799999999998</v>
      </c>
      <c r="T647" s="417" t="n">
        <f aca="false">m*g</f>
        <v>72.3781799999998</v>
      </c>
      <c r="U647" s="421" t="n">
        <f aca="false">IF(pos_xz&lt;L_rampe,Poids*COS(Beta),0)</f>
        <v>0</v>
      </c>
      <c r="V647" s="418" t="n">
        <f aca="false">Rho_moyen*(20000-Alt_rampe-pos_z)/(20000+Alt_rampe+pos_z)</f>
        <v>1.12167580324076</v>
      </c>
      <c r="W647" s="417" t="n">
        <f aca="false">1/2*Rho*Sref*Cx*vit_xz^2</f>
        <v>31.7721138456326</v>
      </c>
      <c r="X647" s="401"/>
      <c r="Y647" s="422" t="str">
        <f aca="false">IF(AND(pos_z&lt;=0,K646&gt;0),"Impact balistique","") &amp; IF(AND(H648&lt;0,vit_z&gt;=0),"Apogée","") &amp; IF(AND(Poussee=0,Q646&gt;0),"Fin de propulsion","") &amp; IF(AND(L648&gt;L_rampe,pos_xz&lt;=L_rampe),"Sortie de rampe","")</f>
        <v/>
      </c>
      <c r="Z647" s="423" t="str">
        <f aca="false">IF(ABS(t-T_para)&lt;pas/2,"Para","")</f>
        <v/>
      </c>
      <c r="AA647" s="424" t="str">
        <f aca="false">IF(ABS(t-T_satellite)&lt;pas/2,"Satellite","")</f>
        <v/>
      </c>
      <c r="AB647" s="412"/>
      <c r="AC647" s="420" t="e">
        <f aca="false">IF(ABS(t-ROUND(t,0))&lt;0.001,t,NA())</f>
        <v>#N/A</v>
      </c>
      <c r="AD647" s="425" t="e">
        <f aca="false">IF(ABS(t-ROUND(t,0))&lt;0.001,pos_x,NA())</f>
        <v>#N/A</v>
      </c>
      <c r="AE647" s="426" t="e">
        <f aca="false">IF(t&lt;T_para, pos_z, NA())</f>
        <v>#N/A</v>
      </c>
      <c r="AF647" s="412"/>
      <c r="AG647" s="418" t="n">
        <f aca="false">IF(AND(L646&lt;L_rampe,Poussee&lt;Poids*SIN(M646)),0,(-W646+Poussee)/m-Poids*SIN(M646)/m)</f>
        <v>5.34963726739607</v>
      </c>
      <c r="AH647" s="417" t="n">
        <f aca="false">IF(AND(L646&lt;L_rampe,Poussee&lt;Poids*SIN(M646)), g*SIN(M646), (-W646+Poussee)/m)</f>
        <v>-4.2544442496539</v>
      </c>
    </row>
    <row r="648" customFormat="false" ht="12" hidden="false" customHeight="false" outlineLevel="0" collapsed="false">
      <c r="A648" s="416" t="n">
        <f aca="false">IF(B647+0.01&lt;=T_ini+ROUNDUP(Temps_fin_propu,0), 0.01, IF(K647&gt;0, 0.1, 0.0001))</f>
        <v>0.1</v>
      </c>
      <c r="B648" s="417" t="n">
        <f aca="false">B647+pas</f>
        <v>28.4000000000001</v>
      </c>
      <c r="C648" s="401"/>
      <c r="D648" s="418" t="n">
        <f aca="false">IF(AND(L647&lt;L_rampe,Poussee&lt;Poids*SIN(M647)),0,(-W647+Poussee)/m*COS(M647)-U647/m*SIN(M647))</f>
        <v>-0.868912232185381</v>
      </c>
      <c r="E648" s="419" t="n">
        <f aca="false">IF(AND(L647&lt;L_rampe,Poussee&lt;Poids*SIN(M647)),0,(-W647+Poussee)/m*SIN(M647)+U647/m*COS(M647)-Poids/m)</f>
        <v>-5.59224199772575</v>
      </c>
      <c r="F648" s="417" t="n">
        <f aca="false">SQRT(acc_x^2+acc_z^2)</f>
        <v>5.65934439916577</v>
      </c>
      <c r="G648" s="418" t="n">
        <f aca="false">G647+acc_x*pas</f>
        <v>19.279110902059</v>
      </c>
      <c r="H648" s="419" t="n">
        <f aca="false">H647+acc_z*pas</f>
        <v>-94.5630918061884</v>
      </c>
      <c r="I648" s="417" t="n">
        <f aca="false">SQRT(vit_x^2+vit_z^2)</f>
        <v>96.5083542970219</v>
      </c>
      <c r="J648" s="418" t="n">
        <f aca="false">J647+0.5*(vit_x+G647)*pas*(K647&gt;=0)</f>
        <v>788.614209835365</v>
      </c>
      <c r="K648" s="419" t="n">
        <f aca="false">K647+0.5*(vit_z+H647)*pas</f>
        <v>871.172173128597</v>
      </c>
      <c r="L648" s="417" t="n">
        <f aca="false">SQRT(pos_x^2+pos_z^2)</f>
        <v>1175.09715648871</v>
      </c>
      <c r="M648" s="418" t="n">
        <f aca="false">IF(AND(L647&gt;L_rampe,G648&gt;0),ATAN2(G648,H648),$M$4)</f>
        <v>-1.36967698223763</v>
      </c>
      <c r="N648" s="417" t="n">
        <f aca="false">DEGREES(Beta)</f>
        <v>-78.4767103784309</v>
      </c>
      <c r="O648" s="401"/>
      <c r="P648" s="420" t="n">
        <f aca="false">MATCH(t-pas/2-T_ini,CdP_t)</f>
        <v>23</v>
      </c>
      <c r="Q648" s="417" t="n">
        <f aca="false">(INDEX(CdP,2,i_P+1)-INDEX(CdP,2,i_P+0))/(INDEX(CdP,1,i_P+1)-INDEX(CdP,1,i_P+0))*(t-pas/2-T_ini-INDEX(CdP,1,i_P+0))+INDEX(CdP,2,i_P+0)</f>
        <v>0</v>
      </c>
      <c r="R648" s="418" t="n">
        <f aca="false">Poussee/(g*ISP)</f>
        <v>0</v>
      </c>
      <c r="S648" s="419" t="n">
        <f aca="false">S647-Débit*pas</f>
        <v>7.37799999999998</v>
      </c>
      <c r="T648" s="417" t="n">
        <f aca="false">m*g</f>
        <v>72.3781799999998</v>
      </c>
      <c r="U648" s="421" t="n">
        <f aca="false">IF(pos_xz&lt;L_rampe,Poids*COS(Beta),0)</f>
        <v>0</v>
      </c>
      <c r="V648" s="418" t="n">
        <f aca="false">Rho_moyen*(20000-Alt_rampe-pos_z)/(20000+Alt_rampe+pos_z)</f>
        <v>1.1227358910913</v>
      </c>
      <c r="W648" s="417" t="n">
        <f aca="false">1/2*Rho*Sref*Cx*vit_xz^2</f>
        <v>32.1546019833851</v>
      </c>
      <c r="X648" s="401"/>
      <c r="Y648" s="422" t="str">
        <f aca="false">IF(AND(pos_z&lt;=0,K647&gt;0),"Impact balistique","") &amp; IF(AND(H649&lt;0,vit_z&gt;=0),"Apogée","") &amp; IF(AND(Poussee=0,Q647&gt;0),"Fin de propulsion","") &amp; IF(AND(L649&gt;L_rampe,pos_xz&lt;=L_rampe),"Sortie de rampe","")</f>
        <v/>
      </c>
      <c r="Z648" s="423" t="str">
        <f aca="false">IF(ABS(t-T_para)&lt;pas/2,"Para","")</f>
        <v/>
      </c>
      <c r="AA648" s="424" t="str">
        <f aca="false">IF(ABS(t-T_satellite)&lt;pas/2,"Satellite","")</f>
        <v/>
      </c>
      <c r="AB648" s="412"/>
      <c r="AC648" s="420" t="e">
        <f aca="false">IF(ABS(t-ROUND(t,0))&lt;0.001,t,NA())</f>
        <v>#N/A</v>
      </c>
      <c r="AD648" s="425" t="e">
        <f aca="false">IF(ABS(t-ROUND(t,0))&lt;0.001,pos_x,NA())</f>
        <v>#N/A</v>
      </c>
      <c r="AE648" s="426" t="e">
        <f aca="false">IF(t&lt;T_para, pos_z, NA())</f>
        <v>#N/A</v>
      </c>
      <c r="AF648" s="412"/>
      <c r="AG648" s="418" t="n">
        <f aca="false">IF(AND(L647&lt;L_rampe,Poussee&lt;Poids*SIN(M647)),0,(-W647+Poussee)/m-Poids*SIN(M647)/m)</f>
        <v>5.301894417919</v>
      </c>
      <c r="AH648" s="417" t="n">
        <f aca="false">IF(AND(L647&lt;L_rampe,Poussee&lt;Poids*SIN(M647)), g*SIN(M647), (-W647+Poussee)/m)</f>
        <v>-4.3063315052362</v>
      </c>
    </row>
    <row r="649" customFormat="false" ht="12" hidden="false" customHeight="false" outlineLevel="0" collapsed="false">
      <c r="A649" s="416" t="n">
        <f aca="false">IF(B648+0.01&lt;=T_ini+ROUNDUP(Temps_fin_propu,0), 0.01, IF(K648&gt;0, 0.1, 0.0001))</f>
        <v>0.1</v>
      </c>
      <c r="B649" s="417" t="n">
        <f aca="false">B648+pas</f>
        <v>28.5000000000001</v>
      </c>
      <c r="C649" s="401"/>
      <c r="D649" s="418" t="n">
        <f aca="false">IF(AND(L648&lt;L_rampe,Poussee&lt;Poids*SIN(M648)),0,(-W648+Poussee)/m*COS(M648)-U648/m*SIN(M648))</f>
        <v>-0.870615869087522</v>
      </c>
      <c r="E649" s="419" t="n">
        <f aca="false">IF(AND(L648&lt;L_rampe,Poussee&lt;Poids*SIN(M648)),0,(-W648+Poussee)/m*SIN(M648)+U648/m*COS(M648)-Poids/m)</f>
        <v>-5.53967193483725</v>
      </c>
      <c r="F649" s="417" t="n">
        <f aca="false">SQRT(acc_x^2+acc_z^2)</f>
        <v>5.60766770922908</v>
      </c>
      <c r="G649" s="418" t="n">
        <f aca="false">G648+acc_x*pas</f>
        <v>19.1920493151503</v>
      </c>
      <c r="H649" s="419" t="n">
        <f aca="false">H648+acc_z*pas</f>
        <v>-95.1170589996721</v>
      </c>
      <c r="I649" s="417" t="n">
        <f aca="false">SQRT(vit_x^2+vit_z^2)</f>
        <v>97.033961424144</v>
      </c>
      <c r="J649" s="418" t="n">
        <f aca="false">J648+0.5*(vit_x+G648)*pas*(K648&gt;=0)</f>
        <v>790.537767846226</v>
      </c>
      <c r="K649" s="419" t="n">
        <f aca="false">K648+0.5*(vit_z+H648)*pas</f>
        <v>861.688165588304</v>
      </c>
      <c r="L649" s="417" t="n">
        <f aca="false">SQRT(pos_x^2+pos_z^2)</f>
        <v>1169.38293860746</v>
      </c>
      <c r="M649" s="418" t="n">
        <f aca="false">IF(AND(L648&gt;L_rampe,G649&gt;0),ATAN2(G649,H649),$M$4)</f>
        <v>-1.37169659279576</v>
      </c>
      <c r="N649" s="417" t="n">
        <f aca="false">DEGREES(Beta)</f>
        <v>-78.5924255396724</v>
      </c>
      <c r="O649" s="401"/>
      <c r="P649" s="420" t="n">
        <f aca="false">MATCH(t-pas/2-T_ini,CdP_t)</f>
        <v>23</v>
      </c>
      <c r="Q649" s="417" t="n">
        <f aca="false">(INDEX(CdP,2,i_P+1)-INDEX(CdP,2,i_P+0))/(INDEX(CdP,1,i_P+1)-INDEX(CdP,1,i_P+0))*(t-pas/2-T_ini-INDEX(CdP,1,i_P+0))+INDEX(CdP,2,i_P+0)</f>
        <v>0</v>
      </c>
      <c r="R649" s="418" t="n">
        <f aca="false">Poussee/(g*ISP)</f>
        <v>0</v>
      </c>
      <c r="S649" s="419" t="n">
        <f aca="false">S648-Débit*pas</f>
        <v>7.37799999999998</v>
      </c>
      <c r="T649" s="417" t="n">
        <f aca="false">m*g</f>
        <v>72.3781799999998</v>
      </c>
      <c r="U649" s="421" t="n">
        <f aca="false">IF(pos_xz&lt;L_rampe,Poids*COS(Beta),0)</f>
        <v>0</v>
      </c>
      <c r="V649" s="418" t="n">
        <f aca="false">Rho_moyen*(20000-Alt_rampe-pos_z)/(20000+Alt_rampe+pos_z)</f>
        <v>1.1238032037995</v>
      </c>
      <c r="W649" s="417" t="n">
        <f aca="false">1/2*Rho*Sref*Cx*vit_xz^2</f>
        <v>32.5366999099119</v>
      </c>
      <c r="X649" s="401"/>
      <c r="Y649" s="422" t="str">
        <f aca="false">IF(AND(pos_z&lt;=0,K648&gt;0),"Impact balistique","") &amp; IF(AND(H650&lt;0,vit_z&gt;=0),"Apogée","") &amp; IF(AND(Poussee=0,Q648&gt;0),"Fin de propulsion","") &amp; IF(AND(L650&gt;L_rampe,pos_xz&lt;=L_rampe),"Sortie de rampe","")</f>
        <v/>
      </c>
      <c r="Z649" s="423" t="str">
        <f aca="false">IF(ABS(t-T_para)&lt;pas/2,"Para","")</f>
        <v/>
      </c>
      <c r="AA649" s="424" t="str">
        <f aca="false">IF(ABS(t-T_satellite)&lt;pas/2,"Satellite","")</f>
        <v/>
      </c>
      <c r="AB649" s="412"/>
      <c r="AC649" s="420" t="e">
        <f aca="false">IF(ABS(t-ROUND(t,0))&lt;0.001,t,NA())</f>
        <v>#N/A</v>
      </c>
      <c r="AD649" s="425" t="e">
        <f aca="false">IF(ABS(t-ROUND(t,0))&lt;0.001,pos_x,NA())</f>
        <v>#N/A</v>
      </c>
      <c r="AE649" s="426" t="e">
        <f aca="false">IF(t&lt;T_para, pos_z, NA())</f>
        <v>#N/A</v>
      </c>
      <c r="AF649" s="412"/>
      <c r="AG649" s="418" t="n">
        <f aca="false">IF(AND(L648&lt;L_rampe,Poussee&lt;Poids*SIN(M648)),0,(-W648+Poussee)/m-Poids*SIN(M648)/m)</f>
        <v>5.25409234827867</v>
      </c>
      <c r="AH649" s="417" t="n">
        <f aca="false">IF(AND(L648&lt;L_rampe,Poussee&lt;Poids*SIN(M648)), g*SIN(M648), (-W648+Poussee)/m)</f>
        <v>-4.35817321542222</v>
      </c>
    </row>
    <row r="650" customFormat="false" ht="12" hidden="false" customHeight="false" outlineLevel="0" collapsed="false">
      <c r="A650" s="416" t="n">
        <f aca="false">IF(B649+0.01&lt;=T_ini+ROUNDUP(Temps_fin_propu,0), 0.01, IF(K649&gt;0, 0.1, 0.0001))</f>
        <v>0.1</v>
      </c>
      <c r="B650" s="417" t="n">
        <f aca="false">B649+pas</f>
        <v>28.6000000000001</v>
      </c>
      <c r="C650" s="401"/>
      <c r="D650" s="418" t="n">
        <f aca="false">IF(AND(L649&lt;L_rampe,Poussee&lt;Poids*SIN(M649)),0,(-W649+Poussee)/m*COS(M649)-U649/m*SIN(M649))</f>
        <v>-0.872232851800217</v>
      </c>
      <c r="E650" s="419" t="n">
        <f aca="false">IF(AND(L649&lt;L_rampe,Poussee&lt;Poids*SIN(M649)),0,(-W649+Poussee)/m*SIN(M649)+U649/m*COS(M649)-Poids/m)</f>
        <v>-5.48715660460287</v>
      </c>
      <c r="F650" s="417" t="n">
        <f aca="false">SQRT(acc_x^2+acc_z^2)</f>
        <v>5.55604875349347</v>
      </c>
      <c r="G650" s="418" t="n">
        <f aca="false">G649+acc_x*pas</f>
        <v>19.1048260299703</v>
      </c>
      <c r="H650" s="419" t="n">
        <f aca="false">H649+acc_z*pas</f>
        <v>-95.6657746601324</v>
      </c>
      <c r="I650" s="417" t="n">
        <f aca="false">SQRT(vit_x^2+vit_z^2)</f>
        <v>97.5547785552233</v>
      </c>
      <c r="J650" s="418" t="n">
        <f aca="false">J649+0.5*(vit_x+G649)*pas*(K649&gt;=0)</f>
        <v>792.452611613482</v>
      </c>
      <c r="K650" s="419" t="n">
        <f aca="false">K649+0.5*(vit_z+H649)*pas</f>
        <v>852.149023905314</v>
      </c>
      <c r="L650" s="417" t="n">
        <f aca="false">SQRT(pos_x^2+pos_z^2)</f>
        <v>1163.67482596978</v>
      </c>
      <c r="M650" s="418" t="n">
        <f aca="false">IF(AND(L649&gt;L_rampe,G650&gt;0),ATAN2(G650,H650),$M$4)</f>
        <v>-1.37368551746884</v>
      </c>
      <c r="N650" s="417" t="n">
        <f aca="false">DEGREES(Beta)</f>
        <v>-78.7063825292091</v>
      </c>
      <c r="O650" s="401"/>
      <c r="P650" s="420" t="n">
        <f aca="false">MATCH(t-pas/2-T_ini,CdP_t)</f>
        <v>23</v>
      </c>
      <c r="Q650" s="417" t="n">
        <f aca="false">(INDEX(CdP,2,i_P+1)-INDEX(CdP,2,i_P+0))/(INDEX(CdP,1,i_P+1)-INDEX(CdP,1,i_P+0))*(t-pas/2-T_ini-INDEX(CdP,1,i_P+0))+INDEX(CdP,2,i_P+0)</f>
        <v>0</v>
      </c>
      <c r="R650" s="418" t="n">
        <f aca="false">Poussee/(g*ISP)</f>
        <v>0</v>
      </c>
      <c r="S650" s="419" t="n">
        <f aca="false">S649-Débit*pas</f>
        <v>7.37799999999998</v>
      </c>
      <c r="T650" s="417" t="n">
        <f aca="false">m*g</f>
        <v>72.3781799999998</v>
      </c>
      <c r="U650" s="421" t="n">
        <f aca="false">IF(pos_xz&lt;L_rampe,Poids*COS(Beta),0)</f>
        <v>0</v>
      </c>
      <c r="V650" s="418" t="n">
        <f aca="false">Rho_moyen*(20000-Alt_rampe-pos_z)/(20000+Alt_rampe+pos_z)</f>
        <v>1.12487770055861</v>
      </c>
      <c r="W650" s="417" t="n">
        <f aca="false">1/2*Rho*Sref*Cx*vit_xz^2</f>
        <v>32.9183542433945</v>
      </c>
      <c r="X650" s="401"/>
      <c r="Y650" s="422" t="str">
        <f aca="false">IF(AND(pos_z&lt;=0,K649&gt;0),"Impact balistique","") &amp; IF(AND(H651&lt;0,vit_z&gt;=0),"Apogée","") &amp; IF(AND(Poussee=0,Q649&gt;0),"Fin de propulsion","") &amp; IF(AND(L651&gt;L_rampe,pos_xz&lt;=L_rampe),"Sortie de rampe","")</f>
        <v/>
      </c>
      <c r="Z650" s="423" t="str">
        <f aca="false">IF(ABS(t-T_para)&lt;pas/2,"Para","")</f>
        <v/>
      </c>
      <c r="AA650" s="424" t="str">
        <f aca="false">IF(ABS(t-T_satellite)&lt;pas/2,"Satellite","")</f>
        <v/>
      </c>
      <c r="AB650" s="412"/>
      <c r="AC650" s="420" t="e">
        <f aca="false">IF(ABS(t-ROUND(t,0))&lt;0.001,t,NA())</f>
        <v>#N/A</v>
      </c>
      <c r="AD650" s="425" t="e">
        <f aca="false">IF(ABS(t-ROUND(t,0))&lt;0.001,pos_x,NA())</f>
        <v>#N/A</v>
      </c>
      <c r="AE650" s="426" t="e">
        <f aca="false">IF(t&lt;T_para, pos_z, NA())</f>
        <v>#N/A</v>
      </c>
      <c r="AF650" s="412"/>
      <c r="AG650" s="418" t="n">
        <f aca="false">IF(AND(L649&lt;L_rampe,Poussee&lt;Poids*SIN(M649)),0,(-W649+Poussee)/m-Poids*SIN(M649)/m)</f>
        <v>5.20624176504771</v>
      </c>
      <c r="AH650" s="417" t="n">
        <f aca="false">IF(AND(L649&lt;L_rampe,Poussee&lt;Poids*SIN(M649)), g*SIN(M649), (-W649+Poussee)/m)</f>
        <v>-4.40996203712551</v>
      </c>
    </row>
    <row r="651" customFormat="false" ht="12" hidden="false" customHeight="false" outlineLevel="0" collapsed="false">
      <c r="A651" s="416" t="n">
        <f aca="false">IF(B650+0.01&lt;=T_ini+ROUNDUP(Temps_fin_propu,0), 0.01, IF(K650&gt;0, 0.1, 0.0001))</f>
        <v>0.1</v>
      </c>
      <c r="B651" s="417" t="n">
        <f aca="false">B650+pas</f>
        <v>28.7000000000001</v>
      </c>
      <c r="C651" s="401"/>
      <c r="D651" s="418" t="n">
        <f aca="false">IF(AND(L650&lt;L_rampe,Poussee&lt;Poids*SIN(M650)),0,(-W650+Poussee)/m*COS(M650)-U650/m*SIN(M650))</f>
        <v>-0.873763710558935</v>
      </c>
      <c r="E651" s="419" t="n">
        <f aca="false">IF(AND(L650&lt;L_rampe,Poussee&lt;Poids*SIN(M650)),0,(-W650+Poussee)/m*SIN(M650)+U650/m*COS(M650)-Poids/m)</f>
        <v>-5.43470330222304</v>
      </c>
      <c r="F651" s="417" t="n">
        <f aca="false">SQRT(acc_x^2+acc_z^2)</f>
        <v>5.50449480016865</v>
      </c>
      <c r="G651" s="418" t="n">
        <f aca="false">G650+acc_x*pas</f>
        <v>19.0174496589144</v>
      </c>
      <c r="H651" s="419" t="n">
        <f aca="false">H650+acc_z*pas</f>
        <v>-96.2092449903547</v>
      </c>
      <c r="I651" s="417" t="n">
        <f aca="false">SQRT(vit_x^2+vit_z^2)</f>
        <v>98.0708020419096</v>
      </c>
      <c r="J651" s="418" t="n">
        <f aca="false">J650+0.5*(vit_x+G650)*pas*(K650&gt;=0)</f>
        <v>794.358725397926</v>
      </c>
      <c r="K651" s="419" t="n">
        <f aca="false">K650+0.5*(vit_z+H650)*pas</f>
        <v>842.555272922789</v>
      </c>
      <c r="L651" s="417" t="n">
        <f aca="false">SQRT(pos_x^2+pos_z^2)</f>
        <v>1157.97459926624</v>
      </c>
      <c r="M651" s="418" t="n">
        <f aca="false">IF(AND(L650&gt;L_rampe,G651&gt;0),ATAN2(G651,H651),$M$4)</f>
        <v>-1.37564447083706</v>
      </c>
      <c r="N651" s="417" t="n">
        <f aca="false">DEGREES(Beta)</f>
        <v>-78.818622289471</v>
      </c>
      <c r="O651" s="401"/>
      <c r="P651" s="420" t="n">
        <f aca="false">MATCH(t-pas/2-T_ini,CdP_t)</f>
        <v>23</v>
      </c>
      <c r="Q651" s="417" t="n">
        <f aca="false">(INDEX(CdP,2,i_P+1)-INDEX(CdP,2,i_P+0))/(INDEX(CdP,1,i_P+1)-INDEX(CdP,1,i_P+0))*(t-pas/2-T_ini-INDEX(CdP,1,i_P+0))+INDEX(CdP,2,i_P+0)</f>
        <v>0</v>
      </c>
      <c r="R651" s="418" t="n">
        <f aca="false">Poussee/(g*ISP)</f>
        <v>0</v>
      </c>
      <c r="S651" s="419" t="n">
        <f aca="false">S650-Débit*pas</f>
        <v>7.37799999999998</v>
      </c>
      <c r="T651" s="417" t="n">
        <f aca="false">m*g</f>
        <v>72.3781799999998</v>
      </c>
      <c r="U651" s="421" t="n">
        <f aca="false">IF(pos_xz&lt;L_rampe,Poids*COS(Beta),0)</f>
        <v>0</v>
      </c>
      <c r="V651" s="418" t="n">
        <f aca="false">Rho_moyen*(20000-Alt_rampe-pos_z)/(20000+Alt_rampe+pos_z)</f>
        <v>1.12595934055924</v>
      </c>
      <c r="W651" s="417" t="n">
        <f aca="false">1/2*Rho*Sref*Cx*vit_xz^2</f>
        <v>33.2995124046498</v>
      </c>
      <c r="X651" s="401"/>
      <c r="Y651" s="422" t="str">
        <f aca="false">IF(AND(pos_z&lt;=0,K650&gt;0),"Impact balistique","") &amp; IF(AND(H652&lt;0,vit_z&gt;=0),"Apogée","") &amp; IF(AND(Poussee=0,Q650&gt;0),"Fin de propulsion","") &amp; IF(AND(L652&gt;L_rampe,pos_xz&lt;=L_rampe),"Sortie de rampe","")</f>
        <v/>
      </c>
      <c r="Z651" s="423" t="str">
        <f aca="false">IF(ABS(t-T_para)&lt;pas/2,"Para","")</f>
        <v/>
      </c>
      <c r="AA651" s="424" t="str">
        <f aca="false">IF(ABS(t-T_satellite)&lt;pas/2,"Satellite","")</f>
        <v/>
      </c>
      <c r="AB651" s="412"/>
      <c r="AC651" s="420" t="e">
        <f aca="false">IF(ABS(t-ROUND(t,0))&lt;0.001,t,NA())</f>
        <v>#N/A</v>
      </c>
      <c r="AD651" s="425" t="e">
        <f aca="false">IF(ABS(t-ROUND(t,0))&lt;0.001,pos_x,NA())</f>
        <v>#N/A</v>
      </c>
      <c r="AE651" s="426" t="e">
        <f aca="false">IF(t&lt;T_para, pos_z, NA())</f>
        <v>#N/A</v>
      </c>
      <c r="AF651" s="412"/>
      <c r="AG651" s="418" t="n">
        <f aca="false">IF(AND(L650&lt;L_rampe,Poussee&lt;Poids*SIN(M650)),0,(-W650+Poussee)/m-Poids*SIN(M650)/m)</f>
        <v>5.15835313478525</v>
      </c>
      <c r="AH651" s="417" t="n">
        <f aca="false">IF(AND(L650&lt;L_rampe,Poussee&lt;Poids*SIN(M650)), g*SIN(M650), (-W650+Poussee)/m)</f>
        <v>-4.46169073507653</v>
      </c>
    </row>
    <row r="652" customFormat="false" ht="12" hidden="false" customHeight="false" outlineLevel="0" collapsed="false">
      <c r="A652" s="416" t="n">
        <f aca="false">IF(B651+0.01&lt;=T_ini+ROUNDUP(Temps_fin_propu,0), 0.01, IF(K651&gt;0, 0.1, 0.0001))</f>
        <v>0.1</v>
      </c>
      <c r="B652" s="417" t="n">
        <f aca="false">B651+pas</f>
        <v>28.8000000000001</v>
      </c>
      <c r="C652" s="401"/>
      <c r="D652" s="418" t="n">
        <f aca="false">IF(AND(L651&lt;L_rampe,Poussee&lt;Poids*SIN(M651)),0,(-W651+Poussee)/m*COS(M651)-U651/m*SIN(M651))</f>
        <v>-0.875208993320413</v>
      </c>
      <c r="E652" s="419" t="n">
        <f aca="false">IF(AND(L651&lt;L_rampe,Poussee&lt;Poids*SIN(M651)),0,(-W651+Poussee)/m*SIN(M651)+U651/m*COS(M651)-Poids/m)</f>
        <v>-5.38231921386182</v>
      </c>
      <c r="F652" s="417" t="n">
        <f aca="false">SQRT(acc_x^2+acc_z^2)</f>
        <v>5.45301301134474</v>
      </c>
      <c r="G652" s="418" t="n">
        <f aca="false">G651+acc_x*pas</f>
        <v>18.9299287595823</v>
      </c>
      <c r="H652" s="419" t="n">
        <f aca="false">H651+acc_z*pas</f>
        <v>-96.7474769117409</v>
      </c>
      <c r="I652" s="417" t="n">
        <f aca="false">SQRT(vit_x^2+vit_z^2)</f>
        <v>98.5820292529561</v>
      </c>
      <c r="J652" s="418" t="n">
        <f aca="false">J651+0.5*(vit_x+G651)*pas*(K651&gt;=0)</f>
        <v>796.256094318851</v>
      </c>
      <c r="K652" s="419" t="n">
        <f aca="false">K651+0.5*(vit_z+H651)*pas</f>
        <v>832.907436827685</v>
      </c>
      <c r="L652" s="417" t="n">
        <f aca="false">SQRT(pos_x^2+pos_z^2)</f>
        <v>1152.28406483071</v>
      </c>
      <c r="M652" s="418" t="n">
        <f aca="false">IF(AND(L651&gt;L_rampe,G652&gt;0),ATAN2(G652,H652),$M$4)</f>
        <v>-1.37757414539802</v>
      </c>
      <c r="N652" s="417" t="n">
        <f aca="false">DEGREES(Beta)</f>
        <v>-78.929184497648</v>
      </c>
      <c r="O652" s="401"/>
      <c r="P652" s="420" t="n">
        <f aca="false">MATCH(t-pas/2-T_ini,CdP_t)</f>
        <v>23</v>
      </c>
      <c r="Q652" s="417" t="n">
        <f aca="false">(INDEX(CdP,2,i_P+1)-INDEX(CdP,2,i_P+0))/(INDEX(CdP,1,i_P+1)-INDEX(CdP,1,i_P+0))*(t-pas/2-T_ini-INDEX(CdP,1,i_P+0))+INDEX(CdP,2,i_P+0)</f>
        <v>0</v>
      </c>
      <c r="R652" s="418" t="n">
        <f aca="false">Poussee/(g*ISP)</f>
        <v>0</v>
      </c>
      <c r="S652" s="419" t="n">
        <f aca="false">S651-Débit*pas</f>
        <v>7.37799999999998</v>
      </c>
      <c r="T652" s="417" t="n">
        <f aca="false">m*g</f>
        <v>72.3781799999998</v>
      </c>
      <c r="U652" s="421" t="n">
        <f aca="false">IF(pos_xz&lt;L_rampe,Poids*COS(Beta),0)</f>
        <v>0</v>
      </c>
      <c r="V652" s="418" t="n">
        <f aca="false">Rho_moyen*(20000-Alt_rampe-pos_z)/(20000+Alt_rampe+pos_z)</f>
        <v>1.12704808299486</v>
      </c>
      <c r="W652" s="417" t="n">
        <f aca="false">1/2*Rho*Sref*Cx*vit_xz^2</f>
        <v>33.6801226237824</v>
      </c>
      <c r="X652" s="401"/>
      <c r="Y652" s="422" t="str">
        <f aca="false">IF(AND(pos_z&lt;=0,K651&gt;0),"Impact balistique","") &amp; IF(AND(H653&lt;0,vit_z&gt;=0),"Apogée","") &amp; IF(AND(Poussee=0,Q651&gt;0),"Fin de propulsion","") &amp; IF(AND(L653&gt;L_rampe,pos_xz&lt;=L_rampe),"Sortie de rampe","")</f>
        <v/>
      </c>
      <c r="Z652" s="423" t="str">
        <f aca="false">IF(ABS(t-T_para)&lt;pas/2,"Para","")</f>
        <v/>
      </c>
      <c r="AA652" s="424" t="str">
        <f aca="false">IF(ABS(t-T_satellite)&lt;pas/2,"Satellite","")</f>
        <v/>
      </c>
      <c r="AB652" s="412"/>
      <c r="AC652" s="420" t="e">
        <f aca="false">IF(ABS(t-ROUND(t,0))&lt;0.001,t,NA())</f>
        <v>#N/A</v>
      </c>
      <c r="AD652" s="425" t="e">
        <f aca="false">IF(ABS(t-ROUND(t,0))&lt;0.001,pos_x,NA())</f>
        <v>#N/A</v>
      </c>
      <c r="AE652" s="426" t="e">
        <f aca="false">IF(t&lt;T_para, pos_z, NA())</f>
        <v>#N/A</v>
      </c>
      <c r="AF652" s="412"/>
      <c r="AG652" s="418" t="n">
        <f aca="false">IF(AND(L651&lt;L_rampe,Poussee&lt;Poids*SIN(M651)),0,(-W651+Poussee)/m-Poids*SIN(M651)/m)</f>
        <v>5.1104366891692</v>
      </c>
      <c r="AH652" s="417" t="n">
        <f aca="false">IF(AND(L651&lt;L_rampe,Poussee&lt;Poids*SIN(M651)), g*SIN(M651), (-W651+Poussee)/m)</f>
        <v>-4.51335218279342</v>
      </c>
    </row>
    <row r="653" customFormat="false" ht="12" hidden="false" customHeight="false" outlineLevel="0" collapsed="false">
      <c r="A653" s="416" t="n">
        <f aca="false">IF(B652+0.01&lt;=T_ini+ROUNDUP(Temps_fin_propu,0), 0.01, IF(K652&gt;0, 0.1, 0.0001))</f>
        <v>0.1</v>
      </c>
      <c r="B653" s="417" t="n">
        <f aca="false">B652+pas</f>
        <v>28.9000000000001</v>
      </c>
      <c r="C653" s="401"/>
      <c r="D653" s="418" t="n">
        <f aca="false">IF(AND(L652&lt;L_rampe,Poussee&lt;Poids*SIN(M652)),0,(-W652+Poussee)/m*COS(M652)-U652/m*SIN(M652))</f>
        <v>-0.876569265183467</v>
      </c>
      <c r="E653" s="419" t="n">
        <f aca="false">IF(AND(L652&lt;L_rampe,Poussee&lt;Poids*SIN(M652)),0,(-W652+Poussee)/m*SIN(M652)+U652/m*COS(M652)-Poids/m)</f>
        <v>-5.33001141568214</v>
      </c>
      <c r="F653" s="417" t="n">
        <f aca="false">SQRT(acc_x^2+acc_z^2)</f>
        <v>5.40161044207801</v>
      </c>
      <c r="G653" s="418" t="n">
        <f aca="false">G652+acc_x*pas</f>
        <v>18.842271833064</v>
      </c>
      <c r="H653" s="419" t="n">
        <f aca="false">H652+acc_z*pas</f>
        <v>-97.2804780533091</v>
      </c>
      <c r="I653" s="417" t="n">
        <f aca="false">SQRT(vit_x^2+vit_z^2)</f>
        <v>99.0884585514954</v>
      </c>
      <c r="J653" s="418" t="n">
        <f aca="false">J652+0.5*(vit_x+G652)*pas*(K652&gt;=0)</f>
        <v>798.144704348483</v>
      </c>
      <c r="K653" s="419" t="n">
        <f aca="false">K652+0.5*(vit_z+H652)*pas</f>
        <v>823.206039079432</v>
      </c>
      <c r="L653" s="417" t="n">
        <f aca="false">SQRT(pos_x^2+pos_z^2)</f>
        <v>1146.60505487128</v>
      </c>
      <c r="M653" s="418" t="n">
        <f aca="false">IF(AND(L652&gt;L_rampe,G653&gt;0),ATAN2(G653,H653),$M$4)</f>
        <v>-1.3794752123951</v>
      </c>
      <c r="N653" s="417" t="n">
        <f aca="false">DEGREES(Beta)</f>
        <v>-79.0381076131523</v>
      </c>
      <c r="O653" s="401"/>
      <c r="P653" s="420" t="n">
        <f aca="false">MATCH(t-pas/2-T_ini,CdP_t)</f>
        <v>23</v>
      </c>
      <c r="Q653" s="417" t="n">
        <f aca="false">(INDEX(CdP,2,i_P+1)-INDEX(CdP,2,i_P+0))/(INDEX(CdP,1,i_P+1)-INDEX(CdP,1,i_P+0))*(t-pas/2-T_ini-INDEX(CdP,1,i_P+0))+INDEX(CdP,2,i_P+0)</f>
        <v>0</v>
      </c>
      <c r="R653" s="418" t="n">
        <f aca="false">Poussee/(g*ISP)</f>
        <v>0</v>
      </c>
      <c r="S653" s="419" t="n">
        <f aca="false">S652-Débit*pas</f>
        <v>7.37799999999998</v>
      </c>
      <c r="T653" s="417" t="n">
        <f aca="false">m*g</f>
        <v>72.3781799999998</v>
      </c>
      <c r="U653" s="421" t="n">
        <f aca="false">IF(pos_xz&lt;L_rampe,Poids*COS(Beta),0)</f>
        <v>0</v>
      </c>
      <c r="V653" s="418" t="n">
        <f aca="false">Rho_moyen*(20000-Alt_rampe-pos_z)/(20000+Alt_rampe+pos_z)</f>
        <v>1.12814388706717</v>
      </c>
      <c r="W653" s="417" t="n">
        <f aca="false">1/2*Rho*Sref*Cx*vit_xz^2</f>
        <v>34.060133946332</v>
      </c>
      <c r="X653" s="401"/>
      <c r="Y653" s="422" t="str">
        <f aca="false">IF(AND(pos_z&lt;=0,K652&gt;0),"Impact balistique","") &amp; IF(AND(H654&lt;0,vit_z&gt;=0),"Apogée","") &amp; IF(AND(Poussee=0,Q652&gt;0),"Fin de propulsion","") &amp; IF(AND(L654&gt;L_rampe,pos_xz&lt;=L_rampe),"Sortie de rampe","")</f>
        <v/>
      </c>
      <c r="Z653" s="423" t="str">
        <f aca="false">IF(ABS(t-T_para)&lt;pas/2,"Para","")</f>
        <v/>
      </c>
      <c r="AA653" s="424" t="str">
        <f aca="false">IF(ABS(t-T_satellite)&lt;pas/2,"Satellite","")</f>
        <v/>
      </c>
      <c r="AB653" s="412"/>
      <c r="AC653" s="420" t="e">
        <f aca="false">IF(ABS(t-ROUND(t,0))&lt;0.001,t,NA())</f>
        <v>#N/A</v>
      </c>
      <c r="AD653" s="425" t="e">
        <f aca="false">IF(ABS(t-ROUND(t,0))&lt;0.001,pos_x,NA())</f>
        <v>#N/A</v>
      </c>
      <c r="AE653" s="426" t="e">
        <f aca="false">IF(t&lt;T_para, pos_z, NA())</f>
        <v>#N/A</v>
      </c>
      <c r="AF653" s="412"/>
      <c r="AG653" s="418" t="n">
        <f aca="false">IF(AND(L652&lt;L_rampe,Poussee&lt;Poids*SIN(M652)),0,(-W652+Poussee)/m-Poids*SIN(M652)/m)</f>
        <v>5.06250242987665</v>
      </c>
      <c r="AH653" s="417" t="n">
        <f aca="false">IF(AND(L652&lt;L_rampe,Poussee&lt;Poids*SIN(M652)), g*SIN(M652), (-W652+Poussee)/m)</f>
        <v>-4.56493936348366</v>
      </c>
    </row>
    <row r="654" customFormat="false" ht="12" hidden="false" customHeight="false" outlineLevel="0" collapsed="false">
      <c r="A654" s="416" t="n">
        <f aca="false">IF(B653+0.01&lt;=T_ini+ROUNDUP(Temps_fin_propu,0), 0.01, IF(K653&gt;0, 0.1, 0.0001))</f>
        <v>0.1</v>
      </c>
      <c r="B654" s="417" t="n">
        <f aca="false">B653+pas</f>
        <v>29.0000000000001</v>
      </c>
      <c r="C654" s="401"/>
      <c r="D654" s="418" t="n">
        <f aca="false">IF(AND(L653&lt;L_rampe,Poussee&lt;Poids*SIN(M653)),0,(-W653+Poussee)/m*COS(M653)-U653/m*SIN(M653))</f>
        <v>-0.877845107817005</v>
      </c>
      <c r="E654" s="419" t="n">
        <f aca="false">IF(AND(L653&lt;L_rampe,Poussee&lt;Poids*SIN(M653)),0,(-W653+Poussee)/m*SIN(M653)+U653/m*COS(M653)-Poids/m)</f>
        <v>-5.27778687295319</v>
      </c>
      <c r="F654" s="417" t="n">
        <f aca="false">SQRT(acc_x^2+acc_z^2)</f>
        <v>5.35029403954916</v>
      </c>
      <c r="G654" s="418" t="n">
        <f aca="false">G653+acc_x*pas</f>
        <v>18.7544873222823</v>
      </c>
      <c r="H654" s="419" t="n">
        <f aca="false">H653+acc_z*pas</f>
        <v>-97.8082567406044</v>
      </c>
      <c r="I654" s="417" t="n">
        <f aca="false">SQRT(vit_x^2+vit_z^2)</f>
        <v>99.5900892727667</v>
      </c>
      <c r="J654" s="418" t="n">
        <f aca="false">J653+0.5*(vit_x+G653)*pas*(K653&gt;=0)</f>
        <v>800.02454230625</v>
      </c>
      <c r="K654" s="419" t="n">
        <f aca="false">K653+0.5*(vit_z+H653)*pas</f>
        <v>813.451602339736</v>
      </c>
      <c r="L654" s="417" t="n">
        <f aca="false">SQRT(pos_x^2+pos_z^2)</f>
        <v>1140.93942768291</v>
      </c>
      <c r="M654" s="418" t="n">
        <f aca="false">IF(AND(L653&gt;L_rampe,G654&gt;0),ATAN2(G654,H654),$M$4)</f>
        <v>-1.38134832260961</v>
      </c>
      <c r="N654" s="417" t="n">
        <f aca="false">DEGREES(Beta)</f>
        <v>-79.1454289230065</v>
      </c>
      <c r="O654" s="401"/>
      <c r="P654" s="420" t="n">
        <f aca="false">MATCH(t-pas/2-T_ini,CdP_t)</f>
        <v>23</v>
      </c>
      <c r="Q654" s="417" t="n">
        <f aca="false">(INDEX(CdP,2,i_P+1)-INDEX(CdP,2,i_P+0))/(INDEX(CdP,1,i_P+1)-INDEX(CdP,1,i_P+0))*(t-pas/2-T_ini-INDEX(CdP,1,i_P+0))+INDEX(CdP,2,i_P+0)</f>
        <v>0</v>
      </c>
      <c r="R654" s="418" t="n">
        <f aca="false">Poussee/(g*ISP)</f>
        <v>0</v>
      </c>
      <c r="S654" s="419" t="n">
        <f aca="false">S653-Débit*pas</f>
        <v>7.37799999999998</v>
      </c>
      <c r="T654" s="417" t="n">
        <f aca="false">m*g</f>
        <v>72.3781799999998</v>
      </c>
      <c r="U654" s="421" t="n">
        <f aca="false">IF(pos_xz&lt;L_rampe,Poids*COS(Beta),0)</f>
        <v>0</v>
      </c>
      <c r="V654" s="418" t="n">
        <f aca="false">Rho_moyen*(20000-Alt_rampe-pos_z)/(20000+Alt_rampe+pos_z)</f>
        <v>1.12924671199138</v>
      </c>
      <c r="W654" s="417" t="n">
        <f aca="false">1/2*Rho*Sref*Cx*vit_xz^2</f>
        <v>34.4394962389218</v>
      </c>
      <c r="X654" s="401"/>
      <c r="Y654" s="422" t="str">
        <f aca="false">IF(AND(pos_z&lt;=0,K653&gt;0),"Impact balistique","") &amp; IF(AND(H655&lt;0,vit_z&gt;=0),"Apogée","") &amp; IF(AND(Poussee=0,Q653&gt;0),"Fin de propulsion","") &amp; IF(AND(L655&gt;L_rampe,pos_xz&lt;=L_rampe),"Sortie de rampe","")</f>
        <v/>
      </c>
      <c r="Z654" s="423" t="str">
        <f aca="false">IF(ABS(t-T_para)&lt;pas/2,"Para","")</f>
        <v/>
      </c>
      <c r="AA654" s="424" t="str">
        <f aca="false">IF(ABS(t-T_satellite)&lt;pas/2,"Satellite","")</f>
        <v/>
      </c>
      <c r="AB654" s="412"/>
      <c r="AC654" s="420" t="n">
        <f aca="false">IF(ABS(t-ROUND(t,0))&lt;0.001,t,NA())</f>
        <v>29.0000000000001</v>
      </c>
      <c r="AD654" s="425" t="n">
        <f aca="false">IF(ABS(t-ROUND(t,0))&lt;0.001,pos_x,NA())</f>
        <v>800.02454230625</v>
      </c>
      <c r="AE654" s="426" t="e">
        <f aca="false">IF(t&lt;T_para, pos_z, NA())</f>
        <v>#N/A</v>
      </c>
      <c r="AF654" s="412"/>
      <c r="AG654" s="418" t="n">
        <f aca="false">IF(AND(L653&lt;L_rampe,Poussee&lt;Poids*SIN(M653)),0,(-W653+Poussee)/m-Poids*SIN(M653)/m)</f>
        <v>5.0145601332301</v>
      </c>
      <c r="AH654" s="417" t="n">
        <f aca="false">IF(AND(L653&lt;L_rampe,Poussee&lt;Poids*SIN(M653)), g*SIN(M653), (-W653+Poussee)/m)</f>
        <v>-4.61644537087721</v>
      </c>
    </row>
    <row r="655" customFormat="false" ht="12" hidden="false" customHeight="false" outlineLevel="0" collapsed="false">
      <c r="A655" s="416" t="n">
        <f aca="false">IF(B654+0.01&lt;=T_ini+ROUNDUP(Temps_fin_propu,0), 0.01, IF(K654&gt;0, 0.1, 0.0001))</f>
        <v>0.1</v>
      </c>
      <c r="B655" s="417" t="n">
        <f aca="false">B654+pas</f>
        <v>29.1000000000001</v>
      </c>
      <c r="C655" s="401"/>
      <c r="D655" s="418" t="n">
        <f aca="false">IF(AND(L654&lt;L_rampe,Poussee&lt;Poids*SIN(M654)),0,(-W654+Poussee)/m*COS(M654)-U654/m*SIN(M654))</f>
        <v>-0.879037118895141</v>
      </c>
      <c r="E655" s="419" t="n">
        <f aca="false">IF(AND(L654&lt;L_rampe,Poussee&lt;Poids*SIN(M654)),0,(-W654+Poussee)/m*SIN(M654)+U654/m*COS(M654)-Poids/m)</f>
        <v>-5.22565243922891</v>
      </c>
      <c r="F655" s="417" t="n">
        <f aca="false">SQRT(acc_x^2+acc_z^2)</f>
        <v>5.29907064229328</v>
      </c>
      <c r="G655" s="418" t="n">
        <f aca="false">G654+acc_x*pas</f>
        <v>18.6665836103928</v>
      </c>
      <c r="H655" s="419" t="n">
        <f aca="false">H654+acc_z*pas</f>
        <v>-98.3308219845273</v>
      </c>
      <c r="I655" s="417" t="n">
        <f aca="false">SQRT(vit_x^2+vit_z^2)</f>
        <v>100.086921702271</v>
      </c>
      <c r="J655" s="418" t="n">
        <f aca="false">J654+0.5*(vit_x+G654)*pas*(K654&gt;=0)</f>
        <v>801.895595852884</v>
      </c>
      <c r="K655" s="419" t="n">
        <f aca="false">K654+0.5*(vit_z+H654)*pas</f>
        <v>803.64464840348</v>
      </c>
      <c r="L655" s="417" t="n">
        <f aca="false">SQRT(pos_x^2+pos_z^2)</f>
        <v>1135.28906783947</v>
      </c>
      <c r="M655" s="418" t="n">
        <f aca="false">IF(AND(L654&gt;L_rampe,G655&gt;0),ATAN2(G655,H655),$M$4)</f>
        <v>-1.38319410711856</v>
      </c>
      <c r="N655" s="417" t="n">
        <f aca="false">DEGREES(Beta)</f>
        <v>-79.2511845852596</v>
      </c>
      <c r="O655" s="401"/>
      <c r="P655" s="420" t="n">
        <f aca="false">MATCH(t-pas/2-T_ini,CdP_t)</f>
        <v>23</v>
      </c>
      <c r="Q655" s="417" t="n">
        <f aca="false">(INDEX(CdP,2,i_P+1)-INDEX(CdP,2,i_P+0))/(INDEX(CdP,1,i_P+1)-INDEX(CdP,1,i_P+0))*(t-pas/2-T_ini-INDEX(CdP,1,i_P+0))+INDEX(CdP,2,i_P+0)</f>
        <v>0</v>
      </c>
      <c r="R655" s="418" t="n">
        <f aca="false">Poussee/(g*ISP)</f>
        <v>0</v>
      </c>
      <c r="S655" s="419" t="n">
        <f aca="false">S654-Débit*pas</f>
        <v>7.37799999999998</v>
      </c>
      <c r="T655" s="417" t="n">
        <f aca="false">m*g</f>
        <v>72.3781799999998</v>
      </c>
      <c r="U655" s="421" t="n">
        <f aca="false">IF(pos_xz&lt;L_rampe,Poids*COS(Beta),0)</f>
        <v>0</v>
      </c>
      <c r="V655" s="418" t="n">
        <f aca="false">Rho_moyen*(20000-Alt_rampe-pos_z)/(20000+Alt_rampe+pos_z)</f>
        <v>1.13035651700148</v>
      </c>
      <c r="W655" s="417" t="n">
        <f aca="false">1/2*Rho*Sref*Cx*vit_xz^2</f>
        <v>34.8181601944135</v>
      </c>
      <c r="X655" s="401"/>
      <c r="Y655" s="422" t="str">
        <f aca="false">IF(AND(pos_z&lt;=0,K654&gt;0),"Impact balistique","") &amp; IF(AND(H656&lt;0,vit_z&gt;=0),"Apogée","") &amp; IF(AND(Poussee=0,Q654&gt;0),"Fin de propulsion","") &amp; IF(AND(L656&gt;L_rampe,pos_xz&lt;=L_rampe),"Sortie de rampe","")</f>
        <v/>
      </c>
      <c r="Z655" s="423" t="str">
        <f aca="false">IF(ABS(t-T_para)&lt;pas/2,"Para","")</f>
        <v/>
      </c>
      <c r="AA655" s="424" t="str">
        <f aca="false">IF(ABS(t-T_satellite)&lt;pas/2,"Satellite","")</f>
        <v/>
      </c>
      <c r="AB655" s="412"/>
      <c r="AC655" s="420" t="e">
        <f aca="false">IF(ABS(t-ROUND(t,0))&lt;0.001,t,NA())</f>
        <v>#N/A</v>
      </c>
      <c r="AD655" s="425" t="e">
        <f aca="false">IF(ABS(t-ROUND(t,0))&lt;0.001,pos_x,NA())</f>
        <v>#N/A</v>
      </c>
      <c r="AE655" s="426" t="e">
        <f aca="false">IF(t&lt;T_para, pos_z, NA())</f>
        <v>#N/A</v>
      </c>
      <c r="AF655" s="412"/>
      <c r="AG655" s="418" t="n">
        <f aca="false">IF(AND(L654&lt;L_rampe,Poussee&lt;Poids*SIN(M654)),0,(-W654+Poussee)/m-Poids*SIN(M654)/m)</f>
        <v>4.96661935462679</v>
      </c>
      <c r="AH655" s="417" t="n">
        <f aca="false">IF(AND(L654&lt;L_rampe,Poussee&lt;Poids*SIN(M654)), g*SIN(M654), (-W654+Poussee)/m)</f>
        <v>-4.66786340999213</v>
      </c>
    </row>
    <row r="656" customFormat="false" ht="12" hidden="false" customHeight="false" outlineLevel="0" collapsed="false">
      <c r="A656" s="416" t="n">
        <f aca="false">IF(B655+0.01&lt;=T_ini+ROUNDUP(Temps_fin_propu,0), 0.01, IF(K655&gt;0, 0.1, 0.0001))</f>
        <v>0.1</v>
      </c>
      <c r="B656" s="417" t="n">
        <f aca="false">B655+pas</f>
        <v>29.2000000000001</v>
      </c>
      <c r="C656" s="401"/>
      <c r="D656" s="418" t="n">
        <f aca="false">IF(AND(L655&lt;L_rampe,Poussee&lt;Poids*SIN(M655)),0,(-W655+Poussee)/m*COS(M655)-U655/m*SIN(M655))</f>
        <v>-0.880145911539375</v>
      </c>
      <c r="E656" s="419" t="n">
        <f aca="false">IF(AND(L655&lt;L_rampe,Poussee&lt;Poids*SIN(M655)),0,(-W655+Poussee)/m*SIN(M655)+U655/m*COS(M655)-Poids/m)</f>
        <v>-5.17361485559666</v>
      </c>
      <c r="F656" s="417" t="n">
        <f aca="false">SQRT(acc_x^2+acc_z^2)</f>
        <v>5.24794697950065</v>
      </c>
      <c r="G656" s="418" t="n">
        <f aca="false">G655+acc_x*pas</f>
        <v>18.5785690192388</v>
      </c>
      <c r="H656" s="419" t="n">
        <f aca="false">H655+acc_z*pas</f>
        <v>-98.848183470087</v>
      </c>
      <c r="I656" s="417" t="n">
        <f aca="false">SQRT(vit_x^2+vit_z^2)</f>
        <v>100.578957054339</v>
      </c>
      <c r="J656" s="418" t="n">
        <f aca="false">J655+0.5*(vit_x+G655)*pas*(K655&gt;=0)</f>
        <v>803.757853484366</v>
      </c>
      <c r="K656" s="419" t="n">
        <f aca="false">K655+0.5*(vit_z+H655)*pas</f>
        <v>793.785698130749</v>
      </c>
      <c r="L656" s="417" t="n">
        <f aca="false">SQRT(pos_x^2+pos_z^2)</f>
        <v>1129.65588636306</v>
      </c>
      <c r="M656" s="418" t="n">
        <f aca="false">IF(AND(L655&gt;L_rampe,G656&gt;0),ATAN2(G656,H656),$M$4)</f>
        <v>-1.38501317801967</v>
      </c>
      <c r="N656" s="417" t="n">
        <f aca="false">DEGREES(Beta)</f>
        <v>-79.3554096705283</v>
      </c>
      <c r="O656" s="401"/>
      <c r="P656" s="420" t="n">
        <f aca="false">MATCH(t-pas/2-T_ini,CdP_t)</f>
        <v>23</v>
      </c>
      <c r="Q656" s="417" t="n">
        <f aca="false">(INDEX(CdP,2,i_P+1)-INDEX(CdP,2,i_P+0))/(INDEX(CdP,1,i_P+1)-INDEX(CdP,1,i_P+0))*(t-pas/2-T_ini-INDEX(CdP,1,i_P+0))+INDEX(CdP,2,i_P+0)</f>
        <v>0</v>
      </c>
      <c r="R656" s="418" t="n">
        <f aca="false">Poussee/(g*ISP)</f>
        <v>0</v>
      </c>
      <c r="S656" s="419" t="n">
        <f aca="false">S655-Débit*pas</f>
        <v>7.37799999999998</v>
      </c>
      <c r="T656" s="417" t="n">
        <f aca="false">m*g</f>
        <v>72.3781799999998</v>
      </c>
      <c r="U656" s="421" t="n">
        <f aca="false">IF(pos_xz&lt;L_rampe,Poids*COS(Beta),0)</f>
        <v>0</v>
      </c>
      <c r="V656" s="418" t="n">
        <f aca="false">Rho_moyen*(20000-Alt_rampe-pos_z)/(20000+Alt_rampe+pos_z)</f>
        <v>1.13147326135543</v>
      </c>
      <c r="W656" s="417" t="n">
        <f aca="false">1/2*Rho*Sref*Cx*vit_xz^2</f>
        <v>35.1960773365752</v>
      </c>
      <c r="X656" s="401"/>
      <c r="Y656" s="422" t="str">
        <f aca="false">IF(AND(pos_z&lt;=0,K655&gt;0),"Impact balistique","") &amp; IF(AND(H657&lt;0,vit_z&gt;=0),"Apogée","") &amp; IF(AND(Poussee=0,Q655&gt;0),"Fin de propulsion","") &amp; IF(AND(L657&gt;L_rampe,pos_xz&lt;=L_rampe),"Sortie de rampe","")</f>
        <v/>
      </c>
      <c r="Z656" s="423" t="str">
        <f aca="false">IF(ABS(t-T_para)&lt;pas/2,"Para","")</f>
        <v/>
      </c>
      <c r="AA656" s="424" t="str">
        <f aca="false">IF(ABS(t-T_satellite)&lt;pas/2,"Satellite","")</f>
        <v/>
      </c>
      <c r="AB656" s="412"/>
      <c r="AC656" s="420" t="e">
        <f aca="false">IF(ABS(t-ROUND(t,0))&lt;0.001,t,NA())</f>
        <v>#N/A</v>
      </c>
      <c r="AD656" s="425" t="e">
        <f aca="false">IF(ABS(t-ROUND(t,0))&lt;0.001,pos_x,NA())</f>
        <v>#N/A</v>
      </c>
      <c r="AE656" s="426" t="e">
        <f aca="false">IF(t&lt;T_para, pos_z, NA())</f>
        <v>#N/A</v>
      </c>
      <c r="AF656" s="412"/>
      <c r="AG656" s="418" t="n">
        <f aca="false">IF(AND(L655&lt;L_rampe,Poussee&lt;Poids*SIN(M655)),0,(-W655+Poussee)/m-Poids*SIN(M655)/m)</f>
        <v>4.91868943276646</v>
      </c>
      <c r="AH656" s="417" t="n">
        <f aca="false">IF(AND(L655&lt;L_rampe,Poussee&lt;Poids*SIN(M655)), g*SIN(M655), (-W655+Poussee)/m)</f>
        <v>-4.71918679783323</v>
      </c>
    </row>
    <row r="657" customFormat="false" ht="12" hidden="false" customHeight="false" outlineLevel="0" collapsed="false">
      <c r="A657" s="416" t="n">
        <f aca="false">IF(B656+0.01&lt;=T_ini+ROUNDUP(Temps_fin_propu,0), 0.01, IF(K656&gt;0, 0.1, 0.0001))</f>
        <v>0.1</v>
      </c>
      <c r="B657" s="417" t="n">
        <f aca="false">B656+pas</f>
        <v>29.3000000000001</v>
      </c>
      <c r="C657" s="401"/>
      <c r="D657" s="418" t="n">
        <f aca="false">IF(AND(L656&lt;L_rampe,Poussee&lt;Poids*SIN(M656)),0,(-W656+Poussee)/m*COS(M656)-U656/m*SIN(M656))</f>
        <v>-0.881172113767783</v>
      </c>
      <c r="E657" s="419" t="n">
        <f aca="false">IF(AND(L656&lt;L_rampe,Poussee&lt;Poids*SIN(M656)),0,(-W656+Poussee)/m*SIN(M656)+U656/m*COS(M656)-Poids/m)</f>
        <v>-5.1216807499951</v>
      </c>
      <c r="F657" s="417" t="n">
        <f aca="false">SQRT(acc_x^2+acc_z^2)</f>
        <v>5.19692967038734</v>
      </c>
      <c r="G657" s="418" t="n">
        <f aca="false">G656+acc_x*pas</f>
        <v>18.4904518078621</v>
      </c>
      <c r="H657" s="419" t="n">
        <f aca="false">H656+acc_z*pas</f>
        <v>-99.3603515450865</v>
      </c>
      <c r="I657" s="417" t="n">
        <f aca="false">SQRT(vit_x^2+vit_z^2)</f>
        <v>101.066197451087</v>
      </c>
      <c r="J657" s="418" t="n">
        <f aca="false">J656+0.5*(vit_x+G656)*pas*(K656&gt;=0)</f>
        <v>805.611304525721</v>
      </c>
      <c r="K657" s="419" t="n">
        <f aca="false">K656+0.5*(vit_z+H656)*pas</f>
        <v>783.87527137999</v>
      </c>
      <c r="L657" s="417" t="n">
        <f aca="false">SQRT(pos_x^2+pos_z^2)</f>
        <v>1124.0418208682</v>
      </c>
      <c r="M657" s="418" t="n">
        <f aca="false">IF(AND(L656&gt;L_rampe,G657&gt;0),ATAN2(G657,H657),$M$4)</f>
        <v>-1.38680612912531</v>
      </c>
      <c r="N657" s="417" t="n">
        <f aca="false">DEGREES(Beta)</f>
        <v>-79.4581382017548</v>
      </c>
      <c r="O657" s="401"/>
      <c r="P657" s="420" t="n">
        <f aca="false">MATCH(t-pas/2-T_ini,CdP_t)</f>
        <v>23</v>
      </c>
      <c r="Q657" s="417" t="n">
        <f aca="false">(INDEX(CdP,2,i_P+1)-INDEX(CdP,2,i_P+0))/(INDEX(CdP,1,i_P+1)-INDEX(CdP,1,i_P+0))*(t-pas/2-T_ini-INDEX(CdP,1,i_P+0))+INDEX(CdP,2,i_P+0)</f>
        <v>0</v>
      </c>
      <c r="R657" s="418" t="n">
        <f aca="false">Poussee/(g*ISP)</f>
        <v>0</v>
      </c>
      <c r="S657" s="419" t="n">
        <f aca="false">S656-Débit*pas</f>
        <v>7.37799999999998</v>
      </c>
      <c r="T657" s="417" t="n">
        <f aca="false">m*g</f>
        <v>72.3781799999998</v>
      </c>
      <c r="U657" s="421" t="n">
        <f aca="false">IF(pos_xz&lt;L_rampe,Poids*COS(Beta),0)</f>
        <v>0</v>
      </c>
      <c r="V657" s="418" t="n">
        <f aca="false">Rho_moyen*(20000-Alt_rampe-pos_z)/(20000+Alt_rampe+pos_z)</f>
        <v>1.13259690434028</v>
      </c>
      <c r="W657" s="417" t="n">
        <f aca="false">1/2*Rho*Sref*Cx*vit_xz^2</f>
        <v>35.5732000242696</v>
      </c>
      <c r="X657" s="401"/>
      <c r="Y657" s="422" t="str">
        <f aca="false">IF(AND(pos_z&lt;=0,K656&gt;0),"Impact balistique","") &amp; IF(AND(H658&lt;0,vit_z&gt;=0),"Apogée","") &amp; IF(AND(Poussee=0,Q656&gt;0),"Fin de propulsion","") &amp; IF(AND(L658&gt;L_rampe,pos_xz&lt;=L_rampe),"Sortie de rampe","")</f>
        <v/>
      </c>
      <c r="Z657" s="423" t="str">
        <f aca="false">IF(ABS(t-T_para)&lt;pas/2,"Para","")</f>
        <v/>
      </c>
      <c r="AA657" s="424" t="str">
        <f aca="false">IF(ABS(t-T_satellite)&lt;pas/2,"Satellite","")</f>
        <v/>
      </c>
      <c r="AB657" s="412"/>
      <c r="AC657" s="420" t="e">
        <f aca="false">IF(ABS(t-ROUND(t,0))&lt;0.001,t,NA())</f>
        <v>#N/A</v>
      </c>
      <c r="AD657" s="425" t="e">
        <f aca="false">IF(ABS(t-ROUND(t,0))&lt;0.001,pos_x,NA())</f>
        <v>#N/A</v>
      </c>
      <c r="AE657" s="426" t="e">
        <f aca="false">IF(t&lt;T_para, pos_z, NA())</f>
        <v>#N/A</v>
      </c>
      <c r="AF657" s="412"/>
      <c r="AG657" s="418" t="n">
        <f aca="false">IF(AND(L656&lt;L_rampe,Poussee&lt;Poids*SIN(M656)),0,(-W656+Poussee)/m-Poids*SIN(M656)/m)</f>
        <v>4.87077949369261</v>
      </c>
      <c r="AH657" s="417" t="n">
        <f aca="false">IF(AND(L656&lt;L_rampe,Poussee&lt;Poids*SIN(M656)), g*SIN(M656), (-W656+Poussee)/m)</f>
        <v>-4.77040896402484</v>
      </c>
    </row>
    <row r="658" customFormat="false" ht="12" hidden="false" customHeight="false" outlineLevel="0" collapsed="false">
      <c r="A658" s="416" t="n">
        <f aca="false">IF(B657+0.01&lt;=T_ini+ROUNDUP(Temps_fin_propu,0), 0.01, IF(K657&gt;0, 0.1, 0.0001))</f>
        <v>0.1</v>
      </c>
      <c r="B658" s="417" t="n">
        <f aca="false">B657+pas</f>
        <v>29.4000000000001</v>
      </c>
      <c r="C658" s="401"/>
      <c r="D658" s="418" t="n">
        <f aca="false">IF(AND(L657&lt;L_rampe,Poussee&lt;Poids*SIN(M657)),0,(-W657+Poussee)/m*COS(M657)-U657/m*SIN(M657))</f>
        <v>-0.882116367951173</v>
      </c>
      <c r="E658" s="419" t="n">
        <f aca="false">IF(AND(L657&lt;L_rampe,Poussee&lt;Poids*SIN(M657)),0,(-W657+Poussee)/m*SIN(M657)+U657/m*COS(M657)-Poids/m)</f>
        <v>-5.06985663660008</v>
      </c>
      <c r="F658" s="417" t="n">
        <f aca="false">SQRT(acc_x^2+acc_z^2)</f>
        <v>5.14602522363476</v>
      </c>
      <c r="G658" s="418" t="n">
        <f aca="false">G657+acc_x*pas</f>
        <v>18.4022401710669</v>
      </c>
      <c r="H658" s="419" t="n">
        <f aca="false">H657+acc_z*pas</f>
        <v>-99.8673372087465</v>
      </c>
      <c r="I658" s="417" t="n">
        <f aca="false">SQRT(vit_x^2+vit_z^2)</f>
        <v>101.54864590175</v>
      </c>
      <c r="J658" s="418" t="n">
        <f aca="false">J657+0.5*(vit_x+G657)*pas*(K657&gt;=0)</f>
        <v>807.455939124667</v>
      </c>
      <c r="K658" s="419" t="n">
        <f aca="false">K657+0.5*(vit_z+H657)*pas</f>
        <v>773.913886942299</v>
      </c>
      <c r="L658" s="417" t="n">
        <f aca="false">SQRT(pos_x^2+pos_z^2)</f>
        <v>1118.44883567816</v>
      </c>
      <c r="M658" s="418" t="n">
        <f aca="false">IF(AND(L657&gt;L_rampe,G658&gt;0),ATAN2(G658,H658),$M$4)</f>
        <v>-1.38857353662679</v>
      </c>
      <c r="N658" s="417" t="n">
        <f aca="false">DEGREES(Beta)</f>
        <v>-79.5594031922693</v>
      </c>
      <c r="O658" s="401"/>
      <c r="P658" s="420" t="n">
        <f aca="false">MATCH(t-pas/2-T_ini,CdP_t)</f>
        <v>23</v>
      </c>
      <c r="Q658" s="417" t="n">
        <f aca="false">(INDEX(CdP,2,i_P+1)-INDEX(CdP,2,i_P+0))/(INDEX(CdP,1,i_P+1)-INDEX(CdP,1,i_P+0))*(t-pas/2-T_ini-INDEX(CdP,1,i_P+0))+INDEX(CdP,2,i_P+0)</f>
        <v>0</v>
      </c>
      <c r="R658" s="418" t="n">
        <f aca="false">Poussee/(g*ISP)</f>
        <v>0</v>
      </c>
      <c r="S658" s="419" t="n">
        <f aca="false">S657-Débit*pas</f>
        <v>7.37799999999998</v>
      </c>
      <c r="T658" s="417" t="n">
        <f aca="false">m*g</f>
        <v>72.3781799999998</v>
      </c>
      <c r="U658" s="421" t="n">
        <f aca="false">IF(pos_xz&lt;L_rampe,Poids*COS(Beta),0)</f>
        <v>0</v>
      </c>
      <c r="V658" s="418" t="n">
        <f aca="false">Rho_moyen*(20000-Alt_rampe-pos_z)/(20000+Alt_rampe+pos_z)</f>
        <v>1.13372740527723</v>
      </c>
      <c r="W658" s="417" t="n">
        <f aca="false">1/2*Rho*Sref*Cx*vit_xz^2</f>
        <v>35.949481455168</v>
      </c>
      <c r="X658" s="401"/>
      <c r="Y658" s="422" t="str">
        <f aca="false">IF(AND(pos_z&lt;=0,K657&gt;0),"Impact balistique","") &amp; IF(AND(H659&lt;0,vit_z&gt;=0),"Apogée","") &amp; IF(AND(Poussee=0,Q657&gt;0),"Fin de propulsion","") &amp; IF(AND(L659&gt;L_rampe,pos_xz&lt;=L_rampe),"Sortie de rampe","")</f>
        <v/>
      </c>
      <c r="Z658" s="423" t="str">
        <f aca="false">IF(ABS(t-T_para)&lt;pas/2,"Para","")</f>
        <v/>
      </c>
      <c r="AA658" s="424" t="str">
        <f aca="false">IF(ABS(t-T_satellite)&lt;pas/2,"Satellite","")</f>
        <v/>
      </c>
      <c r="AB658" s="412"/>
      <c r="AC658" s="420" t="e">
        <f aca="false">IF(ABS(t-ROUND(t,0))&lt;0.001,t,NA())</f>
        <v>#N/A</v>
      </c>
      <c r="AD658" s="425" t="e">
        <f aca="false">IF(ABS(t-ROUND(t,0))&lt;0.001,pos_x,NA())</f>
        <v>#N/A</v>
      </c>
      <c r="AE658" s="426" t="e">
        <f aca="false">IF(t&lt;T_para, pos_z, NA())</f>
        <v>#N/A</v>
      </c>
      <c r="AF658" s="412"/>
      <c r="AG658" s="418" t="n">
        <f aca="false">IF(AND(L657&lt;L_rampe,Poussee&lt;Poids*SIN(M657)),0,(-W657+Poussee)/m-Poids*SIN(M657)/m)</f>
        <v>4.82289845466037</v>
      </c>
      <c r="AH658" s="417" t="n">
        <f aca="false">IF(AND(L657&lt;L_rampe,Poussee&lt;Poids*SIN(M657)), g*SIN(M657), (-W657+Poussee)/m)</f>
        <v>-4.82152345137838</v>
      </c>
    </row>
    <row r="659" customFormat="false" ht="12" hidden="false" customHeight="false" outlineLevel="0" collapsed="false">
      <c r="A659" s="416" t="n">
        <f aca="false">IF(B658+0.01&lt;=T_ini+ROUNDUP(Temps_fin_propu,0), 0.01, IF(K658&gt;0, 0.1, 0.0001))</f>
        <v>0.1</v>
      </c>
      <c r="B659" s="417" t="n">
        <f aca="false">B658+pas</f>
        <v>29.5000000000001</v>
      </c>
      <c r="C659" s="401"/>
      <c r="D659" s="418" t="n">
        <f aca="false">IF(AND(L658&lt;L_rampe,Poussee&lt;Poids*SIN(M658)),0,(-W658+Poussee)/m*COS(M658)-U658/m*SIN(M658))</f>
        <v>-0.882979330276201</v>
      </c>
      <c r="E659" s="419" t="n">
        <f aca="false">IF(AND(L658&lt;L_rampe,Poussee&lt;Poids*SIN(M658)),0,(-W658+Poussee)/m*SIN(M658)+U658/m*COS(M658)-Poids/m)</f>
        <v>-5.01814891527775</v>
      </c>
      <c r="F659" s="417" t="n">
        <f aca="false">SQRT(acc_x^2+acc_z^2)</f>
        <v>5.09524003689701</v>
      </c>
      <c r="G659" s="418" t="n">
        <f aca="false">G658+acc_x*pas</f>
        <v>18.3139422380393</v>
      </c>
      <c r="H659" s="419" t="n">
        <f aca="false">H658+acc_z*pas</f>
        <v>-100.369152100274</v>
      </c>
      <c r="I659" s="417" t="n">
        <f aca="false">SQRT(vit_x^2+vit_z^2)</f>
        <v>102.026306282381</v>
      </c>
      <c r="J659" s="418" t="n">
        <f aca="false">J658+0.5*(vit_x+G658)*pas*(K658&gt;=0)</f>
        <v>809.291748245123</v>
      </c>
      <c r="K659" s="419" t="n">
        <f aca="false">K658+0.5*(vit_z+H658)*pas</f>
        <v>763.902062476848</v>
      </c>
      <c r="L659" s="417" t="n">
        <f aca="false">SQRT(pos_x^2+pos_z^2)</f>
        <v>1112.87892191111</v>
      </c>
      <c r="M659" s="418" t="n">
        <f aca="false">IF(AND(L658&gt;L_rampe,G659&gt;0),ATAN2(G659,H659),$M$4)</f>
        <v>-1.39031595973048</v>
      </c>
      <c r="N659" s="417" t="n">
        <f aca="false">DEGREES(Beta)</f>
        <v>-79.6592366822371</v>
      </c>
      <c r="O659" s="401"/>
      <c r="P659" s="420" t="n">
        <f aca="false">MATCH(t-pas/2-T_ini,CdP_t)</f>
        <v>23</v>
      </c>
      <c r="Q659" s="417" t="n">
        <f aca="false">(INDEX(CdP,2,i_P+1)-INDEX(CdP,2,i_P+0))/(INDEX(CdP,1,i_P+1)-INDEX(CdP,1,i_P+0))*(t-pas/2-T_ini-INDEX(CdP,1,i_P+0))+INDEX(CdP,2,i_P+0)</f>
        <v>0</v>
      </c>
      <c r="R659" s="418" t="n">
        <f aca="false">Poussee/(g*ISP)</f>
        <v>0</v>
      </c>
      <c r="S659" s="419" t="n">
        <f aca="false">S658-Débit*pas</f>
        <v>7.37799999999998</v>
      </c>
      <c r="T659" s="417" t="n">
        <f aca="false">m*g</f>
        <v>72.3781799999998</v>
      </c>
      <c r="U659" s="421" t="n">
        <f aca="false">IF(pos_xz&lt;L_rampe,Poids*COS(Beta),0)</f>
        <v>0</v>
      </c>
      <c r="V659" s="418" t="n">
        <f aca="false">Rho_moyen*(20000-Alt_rampe-pos_z)/(20000+Alt_rampe+pos_z)</f>
        <v>1.13486472352658</v>
      </c>
      <c r="W659" s="417" t="n">
        <f aca="false">1/2*Rho*Sref*Cx*vit_xz^2</f>
        <v>36.3248756689971</v>
      </c>
      <c r="X659" s="401"/>
      <c r="Y659" s="422" t="str">
        <f aca="false">IF(AND(pos_z&lt;=0,K658&gt;0),"Impact balistique","") &amp; IF(AND(H660&lt;0,vit_z&gt;=0),"Apogée","") &amp; IF(AND(Poussee=0,Q658&gt;0),"Fin de propulsion","") &amp; IF(AND(L660&gt;L_rampe,pos_xz&lt;=L_rampe),"Sortie de rampe","")</f>
        <v/>
      </c>
      <c r="Z659" s="423" t="str">
        <f aca="false">IF(ABS(t-T_para)&lt;pas/2,"Para","")</f>
        <v/>
      </c>
      <c r="AA659" s="424" t="str">
        <f aca="false">IF(ABS(t-T_satellite)&lt;pas/2,"Satellite","")</f>
        <v/>
      </c>
      <c r="AB659" s="412"/>
      <c r="AC659" s="420" t="e">
        <f aca="false">IF(ABS(t-ROUND(t,0))&lt;0.001,t,NA())</f>
        <v>#N/A</v>
      </c>
      <c r="AD659" s="425" t="e">
        <f aca="false">IF(ABS(t-ROUND(t,0))&lt;0.001,pos_x,NA())</f>
        <v>#N/A</v>
      </c>
      <c r="AE659" s="426" t="e">
        <f aca="false">IF(t&lt;T_para, pos_z, NA())</f>
        <v>#N/A</v>
      </c>
      <c r="AF659" s="412"/>
      <c r="AG659" s="418" t="n">
        <f aca="false">IF(AND(L658&lt;L_rampe,Poussee&lt;Poids*SIN(M658)),0,(-W658+Poussee)/m-Poids*SIN(M658)/m)</f>
        <v>4.77505502784414</v>
      </c>
      <c r="AH659" s="417" t="n">
        <f aca="false">IF(AND(L658&lt;L_rampe,Poussee&lt;Poids*SIN(M658)), g*SIN(M658), (-W658+Poussee)/m)</f>
        <v>-4.87252391639578</v>
      </c>
    </row>
    <row r="660" customFormat="false" ht="12" hidden="false" customHeight="false" outlineLevel="0" collapsed="false">
      <c r="A660" s="416" t="n">
        <f aca="false">IF(B659+0.01&lt;=T_ini+ROUNDUP(Temps_fin_propu,0), 0.01, IF(K659&gt;0, 0.1, 0.0001))</f>
        <v>0.1</v>
      </c>
      <c r="B660" s="417" t="n">
        <f aca="false">B659+pas</f>
        <v>29.6000000000001</v>
      </c>
      <c r="C660" s="401"/>
      <c r="D660" s="418" t="n">
        <f aca="false">IF(AND(L659&lt;L_rampe,Poussee&lt;Poids*SIN(M659)),0,(-W659+Poussee)/m*COS(M659)-U659/m*SIN(M659))</f>
        <v>-0.883761670215402</v>
      </c>
      <c r="E660" s="419" t="n">
        <f aca="false">IF(AND(L659&lt;L_rampe,Poussee&lt;Poids*SIN(M659)),0,(-W659+Poussee)/m*SIN(M659)+U659/m*COS(M659)-Poids/m)</f>
        <v>-4.96656387110356</v>
      </c>
      <c r="F660" s="417" t="n">
        <f aca="false">SQRT(acc_x^2+acc_z^2)</f>
        <v>5.04458039637521</v>
      </c>
      <c r="G660" s="418" t="n">
        <f aca="false">G659+acc_x*pas</f>
        <v>18.2255660710178</v>
      </c>
      <c r="H660" s="419" t="n">
        <f aca="false">H659+acc_z*pas</f>
        <v>-100.865808487385</v>
      </c>
      <c r="I660" s="417" t="n">
        <f aca="false">SQRT(vit_x^2+vit_z^2)</f>
        <v>102.499183315882</v>
      </c>
      <c r="J660" s="418" t="n">
        <f aca="false">J659+0.5*(vit_x+G659)*pas*(K659&gt;=0)</f>
        <v>811.118723660575</v>
      </c>
      <c r="K660" s="419" t="n">
        <f aca="false">K659+0.5*(vit_z+H659)*pas</f>
        <v>753.840314447465</v>
      </c>
      <c r="L660" s="417" t="n">
        <f aca="false">SQRT(pos_x^2+pos_z^2)</f>
        <v>1107.33409753291</v>
      </c>
      <c r="M660" s="418" t="n">
        <f aca="false">IF(AND(L659&gt;L_rampe,G660&gt;0),ATAN2(G660,H660),$M$4)</f>
        <v>-1.39203394126716</v>
      </c>
      <c r="N660" s="417" t="n">
        <f aca="false">DEGREES(Beta)</f>
        <v>-79.7576697735702</v>
      </c>
      <c r="O660" s="401"/>
      <c r="P660" s="420" t="n">
        <f aca="false">MATCH(t-pas/2-T_ini,CdP_t)</f>
        <v>23</v>
      </c>
      <c r="Q660" s="417" t="n">
        <f aca="false">(INDEX(CdP,2,i_P+1)-INDEX(CdP,2,i_P+0))/(INDEX(CdP,1,i_P+1)-INDEX(CdP,1,i_P+0))*(t-pas/2-T_ini-INDEX(CdP,1,i_P+0))+INDEX(CdP,2,i_P+0)</f>
        <v>0</v>
      </c>
      <c r="R660" s="418" t="n">
        <f aca="false">Poussee/(g*ISP)</f>
        <v>0</v>
      </c>
      <c r="S660" s="419" t="n">
        <f aca="false">S659-Débit*pas</f>
        <v>7.37799999999998</v>
      </c>
      <c r="T660" s="417" t="n">
        <f aca="false">m*g</f>
        <v>72.3781799999998</v>
      </c>
      <c r="U660" s="421" t="n">
        <f aca="false">IF(pos_xz&lt;L_rampe,Poids*COS(Beta),0)</f>
        <v>0</v>
      </c>
      <c r="V660" s="418" t="n">
        <f aca="false">Rho_moyen*(20000-Alt_rampe-pos_z)/(20000+Alt_rampe+pos_z)</f>
        <v>1.13600881849271</v>
      </c>
      <c r="W660" s="417" t="n">
        <f aca="false">1/2*Rho*Sref*Cx*vit_xz^2</f>
        <v>36.6993375503277</v>
      </c>
      <c r="X660" s="401"/>
      <c r="Y660" s="422" t="str">
        <f aca="false">IF(AND(pos_z&lt;=0,K659&gt;0),"Impact balistique","") &amp; IF(AND(H661&lt;0,vit_z&gt;=0),"Apogée","") &amp; IF(AND(Poussee=0,Q659&gt;0),"Fin de propulsion","") &amp; IF(AND(L661&gt;L_rampe,pos_xz&lt;=L_rampe),"Sortie de rampe","")</f>
        <v/>
      </c>
      <c r="Z660" s="423" t="str">
        <f aca="false">IF(ABS(t-T_para)&lt;pas/2,"Para","")</f>
        <v/>
      </c>
      <c r="AA660" s="424" t="str">
        <f aca="false">IF(ABS(t-T_satellite)&lt;pas/2,"Satellite","")</f>
        <v/>
      </c>
      <c r="AB660" s="412"/>
      <c r="AC660" s="420" t="e">
        <f aca="false">IF(ABS(t-ROUND(t,0))&lt;0.001,t,NA())</f>
        <v>#N/A</v>
      </c>
      <c r="AD660" s="425" t="e">
        <f aca="false">IF(ABS(t-ROUND(t,0))&lt;0.001,pos_x,NA())</f>
        <v>#N/A</v>
      </c>
      <c r="AE660" s="426" t="e">
        <f aca="false">IF(t&lt;T_para, pos_z, NA())</f>
        <v>#N/A</v>
      </c>
      <c r="AF660" s="412"/>
      <c r="AG660" s="418" t="n">
        <f aca="false">IF(AND(L659&lt;L_rampe,Poussee&lt;Poids*SIN(M659)),0,(-W659+Poussee)/m-Poids*SIN(M659)/m)</f>
        <v>4.72725772389637</v>
      </c>
      <c r="AH660" s="417" t="n">
        <f aca="false">IF(AND(L659&lt;L_rampe,Poussee&lt;Poids*SIN(M659)), g*SIN(M659), (-W659+Poussee)/m)</f>
        <v>-4.92340412970957</v>
      </c>
    </row>
    <row r="661" customFormat="false" ht="12" hidden="false" customHeight="false" outlineLevel="0" collapsed="false">
      <c r="A661" s="416" t="n">
        <f aca="false">IF(B660+0.01&lt;=T_ini+ROUNDUP(Temps_fin_propu,0), 0.01, IF(K660&gt;0, 0.1, 0.0001))</f>
        <v>0.1</v>
      </c>
      <c r="B661" s="417" t="n">
        <f aca="false">B660+pas</f>
        <v>29.7000000000001</v>
      </c>
      <c r="C661" s="401"/>
      <c r="D661" s="418" t="n">
        <f aca="false">IF(AND(L660&lt;L_rampe,Poussee&lt;Poids*SIN(M660)),0,(-W660+Poussee)/m*COS(M660)-U660/m*SIN(M660))</f>
        <v>-0.884464070004151</v>
      </c>
      <c r="E661" s="419" t="n">
        <f aca="false">IF(AND(L660&lt;L_rampe,Poussee&lt;Poids*SIN(M660)),0,(-W660+Poussee)/m*SIN(M660)+U660/m*COS(M660)-Poids/m)</f>
        <v>-4.91510767394621</v>
      </c>
      <c r="F661" s="417" t="n">
        <f aca="false">SQRT(acc_x^2+acc_z^2)</f>
        <v>4.99405247645769</v>
      </c>
      <c r="G661" s="418" t="n">
        <f aca="false">G660+acc_x*pas</f>
        <v>18.1371196640174</v>
      </c>
      <c r="H661" s="419" t="n">
        <f aca="false">H660+acc_z*pas</f>
        <v>-101.357319254779</v>
      </c>
      <c r="I661" s="417" t="n">
        <f aca="false">SQRT(vit_x^2+vit_z^2)</f>
        <v>102.967282552382</v>
      </c>
      <c r="J661" s="418" t="n">
        <f aca="false">J660+0.5*(vit_x+G660)*pas*(K660&gt;=0)</f>
        <v>812.936857947327</v>
      </c>
      <c r="K661" s="419" t="n">
        <f aca="false">K660+0.5*(vit_z+H660)*pas</f>
        <v>743.729158060357</v>
      </c>
      <c r="L661" s="417" t="n">
        <f aca="false">SQRT(pos_x^2+pos_z^2)</f>
        <v>1101.81640737395</v>
      </c>
      <c r="M661" s="418" t="n">
        <f aca="false">IF(AND(L660&gt;L_rampe,G661&gt;0),ATAN2(G661,H661),$M$4)</f>
        <v>-1.39372800827576</v>
      </c>
      <c r="N661" s="417" t="n">
        <f aca="false">DEGREES(Beta)</f>
        <v>-79.8547326633754</v>
      </c>
      <c r="O661" s="401"/>
      <c r="P661" s="420" t="n">
        <f aca="false">MATCH(t-pas/2-T_ini,CdP_t)</f>
        <v>23</v>
      </c>
      <c r="Q661" s="417" t="n">
        <f aca="false">(INDEX(CdP,2,i_P+1)-INDEX(CdP,2,i_P+0))/(INDEX(CdP,1,i_P+1)-INDEX(CdP,1,i_P+0))*(t-pas/2-T_ini-INDEX(CdP,1,i_P+0))+INDEX(CdP,2,i_P+0)</f>
        <v>0</v>
      </c>
      <c r="R661" s="418" t="n">
        <f aca="false">Poussee/(g*ISP)</f>
        <v>0</v>
      </c>
      <c r="S661" s="419" t="n">
        <f aca="false">S660-Débit*pas</f>
        <v>7.37799999999998</v>
      </c>
      <c r="T661" s="417" t="n">
        <f aca="false">m*g</f>
        <v>72.3781799999998</v>
      </c>
      <c r="U661" s="421" t="n">
        <f aca="false">IF(pos_xz&lt;L_rampe,Poids*COS(Beta),0)</f>
        <v>0</v>
      </c>
      <c r="V661" s="418" t="n">
        <f aca="false">Rho_moyen*(20000-Alt_rampe-pos_z)/(20000+Alt_rampe+pos_z)</f>
        <v>1.13715964962887</v>
      </c>
      <c r="W661" s="417" t="n">
        <f aca="false">1/2*Rho*Sref*Cx*vit_xz^2</f>
        <v>37.0728228309097</v>
      </c>
      <c r="X661" s="401"/>
      <c r="Y661" s="422" t="str">
        <f aca="false">IF(AND(pos_z&lt;=0,K660&gt;0),"Impact balistique","") &amp; IF(AND(H662&lt;0,vit_z&gt;=0),"Apogée","") &amp; IF(AND(Poussee=0,Q660&gt;0),"Fin de propulsion","") &amp; IF(AND(L662&gt;L_rampe,pos_xz&lt;=L_rampe),"Sortie de rampe","")</f>
        <v/>
      </c>
      <c r="Z661" s="423" t="str">
        <f aca="false">IF(ABS(t-T_para)&lt;pas/2,"Para","")</f>
        <v/>
      </c>
      <c r="AA661" s="424" t="str">
        <f aca="false">IF(ABS(t-T_satellite)&lt;pas/2,"Satellite","")</f>
        <v/>
      </c>
      <c r="AB661" s="412"/>
      <c r="AC661" s="420" t="e">
        <f aca="false">IF(ABS(t-ROUND(t,0))&lt;0.001,t,NA())</f>
        <v>#N/A</v>
      </c>
      <c r="AD661" s="425" t="e">
        <f aca="false">IF(ABS(t-ROUND(t,0))&lt;0.001,pos_x,NA())</f>
        <v>#N/A</v>
      </c>
      <c r="AE661" s="426" t="e">
        <f aca="false">IF(t&lt;T_para, pos_z, NA())</f>
        <v>#N/A</v>
      </c>
      <c r="AF661" s="412"/>
      <c r="AG661" s="418" t="n">
        <f aca="false">IF(AND(L660&lt;L_rampe,Poussee&lt;Poids*SIN(M660)),0,(-W660+Poussee)/m-Poids*SIN(M660)/m)</f>
        <v>4.67951485536871</v>
      </c>
      <c r="AH661" s="417" t="n">
        <f aca="false">IF(AND(L660&lt;L_rampe,Poussee&lt;Poids*SIN(M660)), g*SIN(M660), (-W660+Poussee)/m)</f>
        <v>-4.9741579764608</v>
      </c>
    </row>
    <row r="662" customFormat="false" ht="12" hidden="false" customHeight="false" outlineLevel="0" collapsed="false">
      <c r="A662" s="416" t="n">
        <f aca="false">IF(B661+0.01&lt;=T_ini+ROUNDUP(Temps_fin_propu,0), 0.01, IF(K661&gt;0, 0.1, 0.0001))</f>
        <v>0.1</v>
      </c>
      <c r="B662" s="417" t="n">
        <f aca="false">B661+pas</f>
        <v>29.8000000000001</v>
      </c>
      <c r="C662" s="401"/>
      <c r="D662" s="418" t="n">
        <f aca="false">IF(AND(L661&lt;L_rampe,Poussee&lt;Poids*SIN(M661)),0,(-W661+Poussee)/m*COS(M661)-U661/m*SIN(M661))</f>
        <v>-0.885087224124519</v>
      </c>
      <c r="E662" s="419" t="n">
        <f aca="false">IF(AND(L661&lt;L_rampe,Poussee&lt;Poids*SIN(M661)),0,(-W661+Poussee)/m*SIN(M661)+U661/m*COS(M661)-Poids/m)</f>
        <v>-4.86378637811532</v>
      </c>
      <c r="F662" s="417" t="n">
        <f aca="false">SQRT(acc_x^2+acc_z^2)</f>
        <v>4.94366233942495</v>
      </c>
      <c r="G662" s="418" t="n">
        <f aca="false">G661+acc_x*pas</f>
        <v>18.0486109416049</v>
      </c>
      <c r="H662" s="419" t="n">
        <f aca="false">H661+acc_z*pas</f>
        <v>-101.843697892591</v>
      </c>
      <c r="I662" s="417" t="n">
        <f aca="false">SQRT(vit_x^2+vit_z^2)</f>
        <v>103.430610349928</v>
      </c>
      <c r="J662" s="418" t="n">
        <f aca="false">J661+0.5*(vit_x+G661)*pas*(K661&gt;=0)</f>
        <v>814.746144477608</v>
      </c>
      <c r="K662" s="419" t="n">
        <f aca="false">K661+0.5*(vit_z+H661)*pas</f>
        <v>733.569107202988</v>
      </c>
      <c r="L662" s="417" t="n">
        <f aca="false">SQRT(pos_x^2+pos_z^2)</f>
        <v>1096.32792310682</v>
      </c>
      <c r="M662" s="418" t="n">
        <f aca="false">IF(AND(L661&gt;L_rampe,G662&gt;0),ATAN2(G662,H662),$M$4)</f>
        <v>-1.39539867256285</v>
      </c>
      <c r="N662" s="417" t="n">
        <f aca="false">DEGREES(Beta)</f>
        <v>-79.950454676009</v>
      </c>
      <c r="O662" s="401"/>
      <c r="P662" s="420" t="n">
        <f aca="false">MATCH(t-pas/2-T_ini,CdP_t)</f>
        <v>23</v>
      </c>
      <c r="Q662" s="417" t="n">
        <f aca="false">(INDEX(CdP,2,i_P+1)-INDEX(CdP,2,i_P+0))/(INDEX(CdP,1,i_P+1)-INDEX(CdP,1,i_P+0))*(t-pas/2-T_ini-INDEX(CdP,1,i_P+0))+INDEX(CdP,2,i_P+0)</f>
        <v>0</v>
      </c>
      <c r="R662" s="418" t="n">
        <f aca="false">Poussee/(g*ISP)</f>
        <v>0</v>
      </c>
      <c r="S662" s="419" t="n">
        <f aca="false">S661-Débit*pas</f>
        <v>7.37799999999998</v>
      </c>
      <c r="T662" s="417" t="n">
        <f aca="false">m*g</f>
        <v>72.3781799999998</v>
      </c>
      <c r="U662" s="421" t="n">
        <f aca="false">IF(pos_xz&lt;L_rampe,Poids*COS(Beta),0)</f>
        <v>0</v>
      </c>
      <c r="V662" s="418" t="n">
        <f aca="false">Rho_moyen*(20000-Alt_rampe-pos_z)/(20000+Alt_rampe+pos_z)</f>
        <v>1.138317176442</v>
      </c>
      <c r="W662" s="417" t="n">
        <f aca="false">1/2*Rho*Sref*Cx*vit_xz^2</f>
        <v>37.4452880915636</v>
      </c>
      <c r="X662" s="401"/>
      <c r="Y662" s="422" t="str">
        <f aca="false">IF(AND(pos_z&lt;=0,K661&gt;0),"Impact balistique","") &amp; IF(AND(H663&lt;0,vit_z&gt;=0),"Apogée","") &amp; IF(AND(Poussee=0,Q661&gt;0),"Fin de propulsion","") &amp; IF(AND(L663&gt;L_rampe,pos_xz&lt;=L_rampe),"Sortie de rampe","")</f>
        <v/>
      </c>
      <c r="Z662" s="423" t="str">
        <f aca="false">IF(ABS(t-T_para)&lt;pas/2,"Para","")</f>
        <v/>
      </c>
      <c r="AA662" s="424" t="str">
        <f aca="false">IF(ABS(t-T_satellite)&lt;pas/2,"Satellite","")</f>
        <v/>
      </c>
      <c r="AB662" s="412"/>
      <c r="AC662" s="420" t="e">
        <f aca="false">IF(ABS(t-ROUND(t,0))&lt;0.001,t,NA())</f>
        <v>#N/A</v>
      </c>
      <c r="AD662" s="425" t="e">
        <f aca="false">IF(ABS(t-ROUND(t,0))&lt;0.001,pos_x,NA())</f>
        <v>#N/A</v>
      </c>
      <c r="AE662" s="426" t="e">
        <f aca="false">IF(t&lt;T_para, pos_z, NA())</f>
        <v>#N/A</v>
      </c>
      <c r="AF662" s="412"/>
      <c r="AG662" s="418" t="n">
        <f aca="false">IF(AND(L661&lt;L_rampe,Poussee&lt;Poids*SIN(M661)),0,(-W661+Poussee)/m-Poids*SIN(M661)/m)</f>
        <v>4.63183454000561</v>
      </c>
      <c r="AH662" s="417" t="n">
        <f aca="false">IF(AND(L661&lt;L_rampe,Poussee&lt;Poids*SIN(M661)), g*SIN(M661), (-W661+Poussee)/m)</f>
        <v>-5.02477945661558</v>
      </c>
    </row>
    <row r="663" customFormat="false" ht="12" hidden="false" customHeight="false" outlineLevel="0" collapsed="false">
      <c r="A663" s="416" t="n">
        <f aca="false">IF(B662+0.01&lt;=T_ini+ROUNDUP(Temps_fin_propu,0), 0.01, IF(K662&gt;0, 0.1, 0.0001))</f>
        <v>0.1</v>
      </c>
      <c r="B663" s="417" t="n">
        <f aca="false">B662+pas</f>
        <v>29.9000000000001</v>
      </c>
      <c r="C663" s="401"/>
      <c r="D663" s="418" t="n">
        <f aca="false">IF(AND(L662&lt;L_rampe,Poussee&lt;Poids*SIN(M662)),0,(-W662+Poussee)/m*COS(M662)-U662/m*SIN(M662))</f>
        <v>-0.885631838796066</v>
      </c>
      <c r="E663" s="419" t="n">
        <f aca="false">IF(AND(L662&lt;L_rampe,Poussee&lt;Poids*SIN(M662)),0,(-W662+Poussee)/m*SIN(M662)+U662/m*COS(M662)-Poids/m)</f>
        <v>-4.81260592207182</v>
      </c>
      <c r="F663" s="417" t="n">
        <f aca="false">SQRT(acc_x^2+acc_z^2)</f>
        <v>4.89341593521847</v>
      </c>
      <c r="G663" s="418" t="n">
        <f aca="false">G662+acc_x*pas</f>
        <v>17.9600477577253</v>
      </c>
      <c r="H663" s="419" t="n">
        <f aca="false">H662+acc_z*pas</f>
        <v>-102.324958484798</v>
      </c>
      <c r="I663" s="417" t="n">
        <f aca="false">SQRT(vit_x^2+vit_z^2)</f>
        <v>103.889173855486</v>
      </c>
      <c r="J663" s="418" t="n">
        <f aca="false">J662+0.5*(vit_x+G662)*pas*(K662&gt;=0)</f>
        <v>816.546577412575</v>
      </c>
      <c r="K663" s="419" t="n">
        <f aca="false">K662+0.5*(vit_z+H662)*pas</f>
        <v>723.360674384119</v>
      </c>
      <c r="L663" s="417" t="n">
        <f aca="false">SQRT(pos_x^2+pos_z^2)</f>
        <v>1090.87074318163</v>
      </c>
      <c r="M663" s="418" t="n">
        <f aca="false">IF(AND(L662&gt;L_rampe,G663&gt;0),ATAN2(G663,H663),$M$4)</f>
        <v>-1.39704643123894</v>
      </c>
      <c r="N663" s="417" t="n">
        <f aca="false">DEGREES(Beta)</f>
        <v>-80.0448642938048</v>
      </c>
      <c r="O663" s="401"/>
      <c r="P663" s="420" t="n">
        <f aca="false">MATCH(t-pas/2-T_ini,CdP_t)</f>
        <v>23</v>
      </c>
      <c r="Q663" s="417" t="n">
        <f aca="false">(INDEX(CdP,2,i_P+1)-INDEX(CdP,2,i_P+0))/(INDEX(CdP,1,i_P+1)-INDEX(CdP,1,i_P+0))*(t-pas/2-T_ini-INDEX(CdP,1,i_P+0))+INDEX(CdP,2,i_P+0)</f>
        <v>0</v>
      </c>
      <c r="R663" s="418" t="n">
        <f aca="false">Poussee/(g*ISP)</f>
        <v>0</v>
      </c>
      <c r="S663" s="419" t="n">
        <f aca="false">S662-Débit*pas</f>
        <v>7.37799999999998</v>
      </c>
      <c r="T663" s="417" t="n">
        <f aca="false">m*g</f>
        <v>72.3781799999998</v>
      </c>
      <c r="U663" s="421" t="n">
        <f aca="false">IF(pos_xz&lt;L_rampe,Poids*COS(Beta),0)</f>
        <v>0</v>
      </c>
      <c r="V663" s="418" t="n">
        <f aca="false">Rho_moyen*(20000-Alt_rampe-pos_z)/(20000+Alt_rampe+pos_z)</f>
        <v>1.13948135849743</v>
      </c>
      <c r="W663" s="417" t="n">
        <f aca="false">1/2*Rho*Sref*Cx*vit_xz^2</f>
        <v>37.8166907636348</v>
      </c>
      <c r="X663" s="401"/>
      <c r="Y663" s="422" t="str">
        <f aca="false">IF(AND(pos_z&lt;=0,K662&gt;0),"Impact balistique","") &amp; IF(AND(H664&lt;0,vit_z&gt;=0),"Apogée","") &amp; IF(AND(Poussee=0,Q662&gt;0),"Fin de propulsion","") &amp; IF(AND(L664&gt;L_rampe,pos_xz&lt;=L_rampe),"Sortie de rampe","")</f>
        <v/>
      </c>
      <c r="Z663" s="423" t="str">
        <f aca="false">IF(ABS(t-T_para)&lt;pas/2,"Para","")</f>
        <v/>
      </c>
      <c r="AA663" s="424" t="str">
        <f aca="false">IF(ABS(t-T_satellite)&lt;pas/2,"Satellite","")</f>
        <v/>
      </c>
      <c r="AB663" s="412"/>
      <c r="AC663" s="420" t="e">
        <f aca="false">IF(ABS(t-ROUND(t,0))&lt;0.001,t,NA())</f>
        <v>#N/A</v>
      </c>
      <c r="AD663" s="425" t="e">
        <f aca="false">IF(ABS(t-ROUND(t,0))&lt;0.001,pos_x,NA())</f>
        <v>#N/A</v>
      </c>
      <c r="AE663" s="426" t="e">
        <f aca="false">IF(t&lt;T_para, pos_z, NA())</f>
        <v>#N/A</v>
      </c>
      <c r="AF663" s="412"/>
      <c r="AG663" s="418" t="n">
        <f aca="false">IF(AND(L662&lt;L_rampe,Poussee&lt;Poids*SIN(M662)),0,(-W662+Poussee)/m-Poids*SIN(M662)/m)</f>
        <v>4.58422470391982</v>
      </c>
      <c r="AH663" s="417" t="n">
        <f aca="false">IF(AND(L662&lt;L_rampe,Poussee&lt;Poids*SIN(M662)), g*SIN(M662), (-W662+Poussee)/m)</f>
        <v>-5.07526268522142</v>
      </c>
    </row>
    <row r="664" customFormat="false" ht="12" hidden="false" customHeight="false" outlineLevel="0" collapsed="false">
      <c r="A664" s="416" t="n">
        <f aca="false">IF(B663+0.01&lt;=T_ini+ROUNDUP(Temps_fin_propu,0), 0.01, IF(K663&gt;0, 0.1, 0.0001))</f>
        <v>0.1</v>
      </c>
      <c r="B664" s="417" t="n">
        <f aca="false">B663+pas</f>
        <v>30.0000000000001</v>
      </c>
      <c r="C664" s="401"/>
      <c r="D664" s="418" t="n">
        <f aca="false">IF(AND(L663&lt;L_rampe,Poussee&lt;Poids*SIN(M663)),0,(-W663+Poussee)/m*COS(M663)-U663/m*SIN(M663))</f>
        <v>-0.886098631473525</v>
      </c>
      <c r="E664" s="419" t="n">
        <f aca="false">IF(AND(L663&lt;L_rampe,Poussee&lt;Poids*SIN(M663)),0,(-W663+Poussee)/m*SIN(M663)+U663/m*COS(M663)-Poids/m)</f>
        <v>-4.76157212819971</v>
      </c>
      <c r="F664" s="417" t="n">
        <f aca="false">SQRT(acc_x^2+acc_z^2)</f>
        <v>4.84331910127214</v>
      </c>
      <c r="G664" s="418" t="n">
        <f aca="false">G663+acc_x*pas</f>
        <v>17.871437894578</v>
      </c>
      <c r="H664" s="419" t="n">
        <f aca="false">H663+acc_z*pas</f>
        <v>-102.801115697618</v>
      </c>
      <c r="I664" s="417" t="n">
        <f aca="false">SQRT(vit_x^2+vit_z^2)</f>
        <v>104.34298098624</v>
      </c>
      <c r="J664" s="418" t="n">
        <f aca="false">J663+0.5*(vit_x+G663)*pas*(K663&gt;=0)</f>
        <v>818.33815169519</v>
      </c>
      <c r="K664" s="419" t="n">
        <f aca="false">K663+0.5*(vit_z+H663)*pas</f>
        <v>713.104370674998</v>
      </c>
      <c r="L664" s="417" t="n">
        <f aca="false">SQRT(pos_x^2+pos_z^2)</f>
        <v>1085.44699271576</v>
      </c>
      <c r="M664" s="418" t="n">
        <f aca="false">IF(AND(L663&gt;L_rampe,G664&gt;0),ATAN2(G664,H664),$M$4)</f>
        <v>-1.39867176723267</v>
      </c>
      <c r="N664" s="417" t="n">
        <f aca="false">DEGREES(Beta)</f>
        <v>-80.1379891865363</v>
      </c>
      <c r="O664" s="401"/>
      <c r="P664" s="420" t="n">
        <f aca="false">MATCH(t-pas/2-T_ini,CdP_t)</f>
        <v>23</v>
      </c>
      <c r="Q664" s="417" t="n">
        <f aca="false">(INDEX(CdP,2,i_P+1)-INDEX(CdP,2,i_P+0))/(INDEX(CdP,1,i_P+1)-INDEX(CdP,1,i_P+0))*(t-pas/2-T_ini-INDEX(CdP,1,i_P+0))+INDEX(CdP,2,i_P+0)</f>
        <v>0</v>
      </c>
      <c r="R664" s="418" t="n">
        <f aca="false">Poussee/(g*ISP)</f>
        <v>0</v>
      </c>
      <c r="S664" s="419" t="n">
        <f aca="false">S663-Débit*pas</f>
        <v>7.37799999999998</v>
      </c>
      <c r="T664" s="417" t="n">
        <f aca="false">m*g</f>
        <v>72.3781799999998</v>
      </c>
      <c r="U664" s="421" t="n">
        <f aca="false">IF(pos_xz&lt;L_rampe,Poids*COS(Beta),0)</f>
        <v>0</v>
      </c>
      <c r="V664" s="418" t="n">
        <f aca="false">Rho_moyen*(20000-Alt_rampe-pos_z)/(20000+Alt_rampe+pos_z)</f>
        <v>1.14065215542354</v>
      </c>
      <c r="W664" s="417" t="n">
        <f aca="false">1/2*Rho*Sref*Cx*vit_xz^2</f>
        <v>38.1869891300195</v>
      </c>
      <c r="X664" s="401"/>
      <c r="Y664" s="422" t="str">
        <f aca="false">IF(AND(pos_z&lt;=0,K663&gt;0),"Impact balistique","") &amp; IF(AND(H665&lt;0,vit_z&gt;=0),"Apogée","") &amp; IF(AND(Poussee=0,Q663&gt;0),"Fin de propulsion","") &amp; IF(AND(L665&gt;L_rampe,pos_xz&lt;=L_rampe),"Sortie de rampe","")</f>
        <v/>
      </c>
      <c r="Z664" s="423" t="str">
        <f aca="false">IF(ABS(t-T_para)&lt;pas/2,"Para","")</f>
        <v/>
      </c>
      <c r="AA664" s="424" t="str">
        <f aca="false">IF(ABS(t-T_satellite)&lt;pas/2,"Satellite","")</f>
        <v/>
      </c>
      <c r="AB664" s="412"/>
      <c r="AC664" s="420" t="n">
        <f aca="false">IF(ABS(t-ROUND(t,0))&lt;0.001,t,NA())</f>
        <v>30.0000000000001</v>
      </c>
      <c r="AD664" s="425" t="n">
        <f aca="false">IF(ABS(t-ROUND(t,0))&lt;0.001,pos_x,NA())</f>
        <v>818.33815169519</v>
      </c>
      <c r="AE664" s="426" t="e">
        <f aca="false">IF(t&lt;T_para, pos_z, NA())</f>
        <v>#N/A</v>
      </c>
      <c r="AF664" s="412"/>
      <c r="AG664" s="418" t="n">
        <f aca="false">IF(AND(L663&lt;L_rampe,Poussee&lt;Poids*SIN(M663)),0,(-W663+Poussee)/m-Poids*SIN(M663)/m)</f>
        <v>4.53669308465868</v>
      </c>
      <c r="AH664" s="417" t="n">
        <f aca="false">IF(AND(L663&lt;L_rampe,Poussee&lt;Poids*SIN(M663)), g*SIN(M663), (-W663+Poussee)/m)</f>
        <v>-5.12560189260435</v>
      </c>
    </row>
    <row r="665" customFormat="false" ht="12" hidden="false" customHeight="false" outlineLevel="0" collapsed="false">
      <c r="A665" s="416" t="n">
        <f aca="false">IF(B664+0.01&lt;=T_ini+ROUNDUP(Temps_fin_propu,0), 0.01, IF(K664&gt;0, 0.1, 0.0001))</f>
        <v>0.1</v>
      </c>
      <c r="B665" s="417" t="n">
        <f aca="false">B664+pas</f>
        <v>30.1000000000001</v>
      </c>
      <c r="C665" s="401"/>
      <c r="D665" s="418" t="n">
        <f aca="false">IF(AND(L664&lt;L_rampe,Poussee&lt;Poids*SIN(M664)),0,(-W664+Poussee)/m*COS(M664)-U664/m*SIN(M664))</f>
        <v>-0.886488330351433</v>
      </c>
      <c r="E665" s="419" t="n">
        <f aca="false">IF(AND(L664&lt;L_rampe,Poussee&lt;Poids*SIN(M664)),0,(-W664+Poussee)/m*SIN(M664)+U664/m*COS(M664)-Poids/m)</f>
        <v>-4.71069070263818</v>
      </c>
      <c r="F665" s="417" t="n">
        <f aca="false">SQRT(acc_x^2+acc_z^2)</f>
        <v>4.79337756240535</v>
      </c>
      <c r="G665" s="418" t="n">
        <f aca="false">G664+acc_x*pas</f>
        <v>17.7827890615428</v>
      </c>
      <c r="H665" s="419" t="n">
        <f aca="false">H664+acc_z*pas</f>
        <v>-103.272184767882</v>
      </c>
      <c r="I665" s="417" t="n">
        <f aca="false">SQRT(vit_x^2+vit_z^2)</f>
        <v>104.792040411182</v>
      </c>
      <c r="J665" s="418" t="n">
        <f aca="false">J664+0.5*(vit_x+G664)*pas*(K664&gt;=0)</f>
        <v>820.120863042996</v>
      </c>
      <c r="K665" s="419" t="n">
        <f aca="false">K664+0.5*(vit_z+H664)*pas</f>
        <v>702.800705651723</v>
      </c>
      <c r="L665" s="417" t="n">
        <f aca="false">SQRT(pos_x^2+pos_z^2)</f>
        <v>1080.05882333461</v>
      </c>
      <c r="M665" s="418" t="n">
        <f aca="false">IF(AND(L664&gt;L_rampe,G665&gt;0),ATAN2(G665,H665),$M$4)</f>
        <v>-1.40027514978403</v>
      </c>
      <c r="N665" s="417" t="n">
        <f aca="false">DEGREES(Beta)</f>
        <v>-80.2298562396742</v>
      </c>
      <c r="O665" s="401"/>
      <c r="P665" s="420" t="n">
        <f aca="false">MATCH(t-pas/2-T_ini,CdP_t)</f>
        <v>23</v>
      </c>
      <c r="Q665" s="417" t="n">
        <f aca="false">(INDEX(CdP,2,i_P+1)-INDEX(CdP,2,i_P+0))/(INDEX(CdP,1,i_P+1)-INDEX(CdP,1,i_P+0))*(t-pas/2-T_ini-INDEX(CdP,1,i_P+0))+INDEX(CdP,2,i_P+0)</f>
        <v>0</v>
      </c>
      <c r="R665" s="418" t="n">
        <f aca="false">Poussee/(g*ISP)</f>
        <v>0</v>
      </c>
      <c r="S665" s="419" t="n">
        <f aca="false">S664-Débit*pas</f>
        <v>7.37799999999998</v>
      </c>
      <c r="T665" s="417" t="n">
        <f aca="false">m*g</f>
        <v>72.3781799999998</v>
      </c>
      <c r="U665" s="421" t="n">
        <f aca="false">IF(pos_xz&lt;L_rampe,Poids*COS(Beta),0)</f>
        <v>0</v>
      </c>
      <c r="V665" s="418" t="n">
        <f aca="false">Rho_moyen*(20000-Alt_rampe-pos_z)/(20000+Alt_rampe+pos_z)</f>
        <v>1.14182952691629</v>
      </c>
      <c r="W665" s="417" t="n">
        <f aca="false">1/2*Rho*Sref*Cx*vit_xz^2</f>
        <v>38.5561423257695</v>
      </c>
      <c r="X665" s="401"/>
      <c r="Y665" s="422" t="str">
        <f aca="false">IF(AND(pos_z&lt;=0,K664&gt;0),"Impact balistique","") &amp; IF(AND(H666&lt;0,vit_z&gt;=0),"Apogée","") &amp; IF(AND(Poussee=0,Q664&gt;0),"Fin de propulsion","") &amp; IF(AND(L666&gt;L_rampe,pos_xz&lt;=L_rampe),"Sortie de rampe","")</f>
        <v/>
      </c>
      <c r="Z665" s="423" t="str">
        <f aca="false">IF(ABS(t-T_para)&lt;pas/2,"Para","")</f>
        <v/>
      </c>
      <c r="AA665" s="424" t="str">
        <f aca="false">IF(ABS(t-T_satellite)&lt;pas/2,"Satellite","")</f>
        <v/>
      </c>
      <c r="AB665" s="412"/>
      <c r="AC665" s="420" t="e">
        <f aca="false">IF(ABS(t-ROUND(t,0))&lt;0.001,t,NA())</f>
        <v>#N/A</v>
      </c>
      <c r="AD665" s="425" t="e">
        <f aca="false">IF(ABS(t-ROUND(t,0))&lt;0.001,pos_x,NA())</f>
        <v>#N/A</v>
      </c>
      <c r="AE665" s="426" t="e">
        <f aca="false">IF(t&lt;T_para, pos_z, NA())</f>
        <v>#N/A</v>
      </c>
      <c r="AF665" s="412"/>
      <c r="AG665" s="418" t="n">
        <f aca="false">IF(AND(L664&lt;L_rampe,Poussee&lt;Poids*SIN(M664)),0,(-W664+Poussee)/m-Poids*SIN(M664)/m)</f>
        <v>4.4892472341693</v>
      </c>
      <c r="AH665" s="417" t="n">
        <f aca="false">IF(AND(L664&lt;L_rampe,Poussee&lt;Poids*SIN(M664)), g*SIN(M664), (-W664+Poussee)/m)</f>
        <v>-5.17579142450795</v>
      </c>
    </row>
    <row r="666" customFormat="false" ht="12" hidden="false" customHeight="false" outlineLevel="0" collapsed="false">
      <c r="A666" s="416" t="n">
        <f aca="false">IF(B665+0.01&lt;=T_ini+ROUNDUP(Temps_fin_propu,0), 0.01, IF(K665&gt;0, 0.1, 0.0001))</f>
        <v>0.1</v>
      </c>
      <c r="B666" s="417" t="n">
        <f aca="false">B665+pas</f>
        <v>30.2000000000001</v>
      </c>
      <c r="C666" s="401"/>
      <c r="D666" s="418" t="n">
        <f aca="false">IF(AND(L665&lt;L_rampe,Poussee&lt;Poids*SIN(M665)),0,(-W665+Poussee)/m*COS(M665)-U665/m*SIN(M665))</f>
        <v>-0.88680167387568</v>
      </c>
      <c r="E666" s="419" t="n">
        <f aca="false">IF(AND(L665&lt;L_rampe,Poussee&lt;Poids*SIN(M665)),0,(-W665+Poussee)/m*SIN(M665)+U665/m*COS(M665)-Poids/m)</f>
        <v>-4.65996723517281</v>
      </c>
      <c r="F666" s="417" t="n">
        <f aca="false">SQRT(acc_x^2+acc_z^2)</f>
        <v>4.74359693077656</v>
      </c>
      <c r="G666" s="418" t="n">
        <f aca="false">G665+acc_x*pas</f>
        <v>17.6941088941552</v>
      </c>
      <c r="H666" s="419" t="n">
        <f aca="false">H665+acc_z*pas</f>
        <v>-103.738181491399</v>
      </c>
      <c r="I666" s="417" t="n">
        <f aca="false">SQRT(vit_x^2+vit_z^2)</f>
        <v>105.236361532983</v>
      </c>
      <c r="J666" s="418" t="n">
        <f aca="false">J665+0.5*(vit_x+G665)*pas*(K665&gt;=0)</f>
        <v>821.894707940781</v>
      </c>
      <c r="K666" s="419" t="n">
        <f aca="false">K665+0.5*(vit_z+H665)*pas</f>
        <v>692.450187338759</v>
      </c>
      <c r="L666" s="417" t="n">
        <f aca="false">SQRT(pos_x^2+pos_z^2)</f>
        <v>1074.70841295979</v>
      </c>
      <c r="M666" s="418" t="n">
        <f aca="false">IF(AND(L665&gt;L_rampe,G666&gt;0),ATAN2(G666,H666),$M$4)</f>
        <v>-1.40185703491745</v>
      </c>
      <c r="N666" s="417" t="n">
        <f aca="false">DEGREES(Beta)</f>
        <v>-80.3204915814938</v>
      </c>
      <c r="O666" s="401"/>
      <c r="P666" s="420" t="n">
        <f aca="false">MATCH(t-pas/2-T_ini,CdP_t)</f>
        <v>23</v>
      </c>
      <c r="Q666" s="417" t="n">
        <f aca="false">(INDEX(CdP,2,i_P+1)-INDEX(CdP,2,i_P+0))/(INDEX(CdP,1,i_P+1)-INDEX(CdP,1,i_P+0))*(t-pas/2-T_ini-INDEX(CdP,1,i_P+0))+INDEX(CdP,2,i_P+0)</f>
        <v>0</v>
      </c>
      <c r="R666" s="418" t="n">
        <f aca="false">Poussee/(g*ISP)</f>
        <v>0</v>
      </c>
      <c r="S666" s="419" t="n">
        <f aca="false">S665-Débit*pas</f>
        <v>7.37799999999998</v>
      </c>
      <c r="T666" s="417" t="n">
        <f aca="false">m*g</f>
        <v>72.3781799999998</v>
      </c>
      <c r="U666" s="421" t="n">
        <f aca="false">IF(pos_xz&lt;L_rampe,Poids*COS(Beta),0)</f>
        <v>0</v>
      </c>
      <c r="V666" s="418" t="n">
        <f aca="false">Rho_moyen*(20000-Alt_rampe-pos_z)/(20000+Alt_rampe+pos_z)</f>
        <v>1.14301343274379</v>
      </c>
      <c r="W666" s="417" t="n">
        <f aca="false">1/2*Rho*Sref*Cx*vit_xz^2</f>
        <v>38.9241103382845</v>
      </c>
      <c r="X666" s="401"/>
      <c r="Y666" s="422" t="str">
        <f aca="false">IF(AND(pos_z&lt;=0,K665&gt;0),"Impact balistique","") &amp; IF(AND(H667&lt;0,vit_z&gt;=0),"Apogée","") &amp; IF(AND(Poussee=0,Q665&gt;0),"Fin de propulsion","") &amp; IF(AND(L667&gt;L_rampe,pos_xz&lt;=L_rampe),"Sortie de rampe","")</f>
        <v/>
      </c>
      <c r="Z666" s="423" t="str">
        <f aca="false">IF(ABS(t-T_para)&lt;pas/2,"Para","")</f>
        <v/>
      </c>
      <c r="AA666" s="424" t="str">
        <f aca="false">IF(ABS(t-T_satellite)&lt;pas/2,"Satellite","")</f>
        <v/>
      </c>
      <c r="AB666" s="412"/>
      <c r="AC666" s="420" t="e">
        <f aca="false">IF(ABS(t-ROUND(t,0))&lt;0.001,t,NA())</f>
        <v>#N/A</v>
      </c>
      <c r="AD666" s="425" t="e">
        <f aca="false">IF(ABS(t-ROUND(t,0))&lt;0.001,pos_x,NA())</f>
        <v>#N/A</v>
      </c>
      <c r="AE666" s="426" t="e">
        <f aca="false">IF(t&lt;T_para, pos_z, NA())</f>
        <v>#N/A</v>
      </c>
      <c r="AF666" s="412"/>
      <c r="AG666" s="418" t="n">
        <f aca="false">IF(AND(L665&lt;L_rampe,Poussee&lt;Poids*SIN(M665)),0,(-W665+Poussee)/m-Poids*SIN(M665)/m)</f>
        <v>4.44189452167034</v>
      </c>
      <c r="AH666" s="417" t="n">
        <f aca="false">IF(AND(L665&lt;L_rampe,Poussee&lt;Poids*SIN(M665)), g*SIN(M665), (-W665+Poussee)/m)</f>
        <v>-5.22582574217533</v>
      </c>
    </row>
    <row r="667" customFormat="false" ht="12" hidden="false" customHeight="false" outlineLevel="0" collapsed="false">
      <c r="A667" s="416" t="n">
        <f aca="false">IF(B666+0.01&lt;=T_ini+ROUNDUP(Temps_fin_propu,0), 0.01, IF(K666&gt;0, 0.1, 0.0001))</f>
        <v>0.1</v>
      </c>
      <c r="B667" s="417" t="n">
        <f aca="false">B666+pas</f>
        <v>30.3000000000001</v>
      </c>
      <c r="C667" s="401"/>
      <c r="D667" s="418" t="n">
        <f aca="false">IF(AND(L666&lt;L_rampe,Poussee&lt;Poids*SIN(M666)),0,(-W666+Poussee)/m*COS(M666)-U666/m*SIN(M666))</f>
        <v>-0.887039410262036</v>
      </c>
      <c r="E667" s="419" t="n">
        <f aca="false">IF(AND(L666&lt;L_rampe,Poussee&lt;Poids*SIN(M666)),0,(-W666+Poussee)/m*SIN(M666)+U666/m*COS(M666)-Poids/m)</f>
        <v>-4.60940719918465</v>
      </c>
      <c r="F667" s="417" t="n">
        <f aca="false">SQRT(acc_x^2+acc_z^2)</f>
        <v>4.69398270589627</v>
      </c>
      <c r="G667" s="418" t="n">
        <f aca="false">G666+acc_x*pas</f>
        <v>17.605404953129</v>
      </c>
      <c r="H667" s="419" t="n">
        <f aca="false">H666+acc_z*pas</f>
        <v>-104.199122211317</v>
      </c>
      <c r="I667" s="417" t="n">
        <f aca="false">SQRT(vit_x^2+vit_z^2)</f>
        <v>105.675954470129</v>
      </c>
      <c r="J667" s="418" t="n">
        <f aca="false">J666+0.5*(vit_x+G666)*pas*(K666&gt;=0)</f>
        <v>823.659683633145</v>
      </c>
      <c r="K667" s="419" t="n">
        <f aca="false">K666+0.5*(vit_z+H666)*pas</f>
        <v>682.053322153623</v>
      </c>
      <c r="L667" s="417" t="n">
        <f aca="false">SQRT(pos_x^2+pos_z^2)</f>
        <v>1069.3979655411</v>
      </c>
      <c r="M667" s="418" t="n">
        <f aca="false">IF(AND(L666&gt;L_rampe,G667&gt;0),ATAN2(G667,H667),$M$4)</f>
        <v>-1.4034178658958</v>
      </c>
      <c r="N667" s="417" t="n">
        <f aca="false">DEGREES(Beta)</f>
        <v>-80.4099206090864</v>
      </c>
      <c r="O667" s="401"/>
      <c r="P667" s="420" t="n">
        <f aca="false">MATCH(t-pas/2-T_ini,CdP_t)</f>
        <v>23</v>
      </c>
      <c r="Q667" s="417" t="n">
        <f aca="false">(INDEX(CdP,2,i_P+1)-INDEX(CdP,2,i_P+0))/(INDEX(CdP,1,i_P+1)-INDEX(CdP,1,i_P+0))*(t-pas/2-T_ini-INDEX(CdP,1,i_P+0))+INDEX(CdP,2,i_P+0)</f>
        <v>0</v>
      </c>
      <c r="R667" s="418" t="n">
        <f aca="false">Poussee/(g*ISP)</f>
        <v>0</v>
      </c>
      <c r="S667" s="419" t="n">
        <f aca="false">S666-Débit*pas</f>
        <v>7.37799999999998</v>
      </c>
      <c r="T667" s="417" t="n">
        <f aca="false">m*g</f>
        <v>72.3781799999998</v>
      </c>
      <c r="U667" s="421" t="n">
        <f aca="false">IF(pos_xz&lt;L_rampe,Poids*COS(Beta),0)</f>
        <v>0</v>
      </c>
      <c r="V667" s="418" t="n">
        <f aca="false">Rho_moyen*(20000-Alt_rampe-pos_z)/(20000+Alt_rampe+pos_z)</f>
        <v>1.14420383275067</v>
      </c>
      <c r="W667" s="417" t="n">
        <f aca="false">1/2*Rho*Sref*Cx*vit_xz^2</f>
        <v>39.2908540071009</v>
      </c>
      <c r="X667" s="401"/>
      <c r="Y667" s="422" t="str">
        <f aca="false">IF(AND(pos_z&lt;=0,K666&gt;0),"Impact balistique","") &amp; IF(AND(H668&lt;0,vit_z&gt;=0),"Apogée","") &amp; IF(AND(Poussee=0,Q666&gt;0),"Fin de propulsion","") &amp; IF(AND(L668&gt;L_rampe,pos_xz&lt;=L_rampe),"Sortie de rampe","")</f>
        <v/>
      </c>
      <c r="Z667" s="423" t="str">
        <f aca="false">IF(ABS(t-T_para)&lt;pas/2,"Para","")</f>
        <v/>
      </c>
      <c r="AA667" s="424" t="str">
        <f aca="false">IF(ABS(t-T_satellite)&lt;pas/2,"Satellite","")</f>
        <v/>
      </c>
      <c r="AB667" s="412"/>
      <c r="AC667" s="420" t="e">
        <f aca="false">IF(ABS(t-ROUND(t,0))&lt;0.001,t,NA())</f>
        <v>#N/A</v>
      </c>
      <c r="AD667" s="425" t="e">
        <f aca="false">IF(ABS(t-ROUND(t,0))&lt;0.001,pos_x,NA())</f>
        <v>#N/A</v>
      </c>
      <c r="AE667" s="426" t="e">
        <f aca="false">IF(t&lt;T_para, pos_z, NA())</f>
        <v>#N/A</v>
      </c>
      <c r="AF667" s="412"/>
      <c r="AG667" s="418" t="n">
        <f aca="false">IF(AND(L666&lt;L_rampe,Poussee&lt;Poids*SIN(M666)),0,(-W666+Poussee)/m-Poids*SIN(M666)/m)</f>
        <v>4.39464213643729</v>
      </c>
      <c r="AH667" s="417" t="n">
        <f aca="false">IF(AND(L666&lt;L_rampe,Poussee&lt;Poids*SIN(M666)), g*SIN(M666), (-W666+Poussee)/m)</f>
        <v>-5.27569942237524</v>
      </c>
    </row>
    <row r="668" customFormat="false" ht="12" hidden="false" customHeight="false" outlineLevel="0" collapsed="false">
      <c r="A668" s="416" t="n">
        <f aca="false">IF(B667+0.01&lt;=T_ini+ROUNDUP(Temps_fin_propu,0), 0.01, IF(K667&gt;0, 0.1, 0.0001))</f>
        <v>0.1</v>
      </c>
      <c r="B668" s="417" t="n">
        <f aca="false">B667+pas</f>
        <v>30.4000000000001</v>
      </c>
      <c r="C668" s="401"/>
      <c r="D668" s="418" t="n">
        <f aca="false">IF(AND(L667&lt;L_rampe,Poussee&lt;Poids*SIN(M667)),0,(-W667+Poussee)/m*COS(M667)-U667/m*SIN(M667))</f>
        <v>-0.887202297021621</v>
      </c>
      <c r="E668" s="419" t="n">
        <f aca="false">IF(AND(L667&lt;L_rampe,Poussee&lt;Poids*SIN(M667)),0,(-W667+Poussee)/m*SIN(M667)+U667/m*COS(M667)-Poids/m)</f>
        <v>-4.55901595165598</v>
      </c>
      <c r="F668" s="417" t="n">
        <f aca="false">SQRT(acc_x^2+acc_z^2)</f>
        <v>4.64454027469825</v>
      </c>
      <c r="G668" s="418" t="n">
        <f aca="false">G667+acc_x*pas</f>
        <v>17.5166847234269</v>
      </c>
      <c r="H668" s="419" t="n">
        <f aca="false">H667+acc_z*pas</f>
        <v>-104.655023806483</v>
      </c>
      <c r="I668" s="417" t="n">
        <f aca="false">SQRT(vit_x^2+vit_z^2)</f>
        <v>106.11083003933</v>
      </c>
      <c r="J668" s="418" t="n">
        <f aca="false">J667+0.5*(vit_x+G667)*pas*(K667&gt;=0)</f>
        <v>825.415788116973</v>
      </c>
      <c r="K668" s="419" t="n">
        <f aca="false">K667+0.5*(vit_z+H667)*pas</f>
        <v>671.610614852733</v>
      </c>
      <c r="L668" s="417" t="n">
        <f aca="false">SQRT(pos_x^2+pos_z^2)</f>
        <v>1064.12971072874</v>
      </c>
      <c r="M668" s="418" t="n">
        <f aca="false">IF(AND(L667&gt;L_rampe,G668&gt;0),ATAN2(G668,H668),$M$4)</f>
        <v>-1.4049580736561</v>
      </c>
      <c r="N668" s="417" t="n">
        <f aca="false">DEGREES(Beta)</f>
        <v>-80.4981680133247</v>
      </c>
      <c r="O668" s="401"/>
      <c r="P668" s="420" t="n">
        <f aca="false">MATCH(t-pas/2-T_ini,CdP_t)</f>
        <v>23</v>
      </c>
      <c r="Q668" s="417" t="n">
        <f aca="false">(INDEX(CdP,2,i_P+1)-INDEX(CdP,2,i_P+0))/(INDEX(CdP,1,i_P+1)-INDEX(CdP,1,i_P+0))*(t-pas/2-T_ini-INDEX(CdP,1,i_P+0))+INDEX(CdP,2,i_P+0)</f>
        <v>0</v>
      </c>
      <c r="R668" s="418" t="n">
        <f aca="false">Poussee/(g*ISP)</f>
        <v>0</v>
      </c>
      <c r="S668" s="419" t="n">
        <f aca="false">S667-Débit*pas</f>
        <v>7.37799999999998</v>
      </c>
      <c r="T668" s="417" t="n">
        <f aca="false">m*g</f>
        <v>72.3781799999998</v>
      </c>
      <c r="U668" s="421" t="n">
        <f aca="false">IF(pos_xz&lt;L_rampe,Poids*COS(Beta),0)</f>
        <v>0</v>
      </c>
      <c r="V668" s="418" t="n">
        <f aca="false">Rho_moyen*(20000-Alt_rampe-pos_z)/(20000+Alt_rampe+pos_z)</f>
        <v>1.14540068686245</v>
      </c>
      <c r="W668" s="417" t="n">
        <f aca="false">1/2*Rho*Sref*Cx*vit_xz^2</f>
        <v>39.6563350232846</v>
      </c>
      <c r="X668" s="401"/>
      <c r="Y668" s="422" t="str">
        <f aca="false">IF(AND(pos_z&lt;=0,K667&gt;0),"Impact balistique","") &amp; IF(AND(H669&lt;0,vit_z&gt;=0),"Apogée","") &amp; IF(AND(Poussee=0,Q667&gt;0),"Fin de propulsion","") &amp; IF(AND(L669&gt;L_rampe,pos_xz&lt;=L_rampe),"Sortie de rampe","")</f>
        <v/>
      </c>
      <c r="Z668" s="423" t="str">
        <f aca="false">IF(ABS(t-T_para)&lt;pas/2,"Para","")</f>
        <v/>
      </c>
      <c r="AA668" s="424" t="str">
        <f aca="false">IF(ABS(t-T_satellite)&lt;pas/2,"Satellite","")</f>
        <v/>
      </c>
      <c r="AB668" s="412"/>
      <c r="AC668" s="420" t="e">
        <f aca="false">IF(ABS(t-ROUND(t,0))&lt;0.001,t,NA())</f>
        <v>#N/A</v>
      </c>
      <c r="AD668" s="425" t="e">
        <f aca="false">IF(ABS(t-ROUND(t,0))&lt;0.001,pos_x,NA())</f>
        <v>#N/A</v>
      </c>
      <c r="AE668" s="426" t="e">
        <f aca="false">IF(t&lt;T_para, pos_z, NA())</f>
        <v>#N/A</v>
      </c>
      <c r="AF668" s="412"/>
      <c r="AG668" s="418" t="n">
        <f aca="false">IF(AND(L667&lt;L_rampe,Poussee&lt;Poids*SIN(M667)),0,(-W667+Poussee)/m-Poids*SIN(M667)/m)</f>
        <v>4.34749709050794</v>
      </c>
      <c r="AH668" s="417" t="n">
        <f aca="false">IF(AND(L667&lt;L_rampe,Poussee&lt;Poids*SIN(M667)), g*SIN(M667), (-W667+Poussee)/m)</f>
        <v>-5.3254071573734</v>
      </c>
    </row>
    <row r="669" customFormat="false" ht="12" hidden="false" customHeight="false" outlineLevel="0" collapsed="false">
      <c r="A669" s="416" t="n">
        <f aca="false">IF(B668+0.01&lt;=T_ini+ROUNDUP(Temps_fin_propu,0), 0.01, IF(K668&gt;0, 0.1, 0.0001))</f>
        <v>0.1</v>
      </c>
      <c r="B669" s="417" t="n">
        <f aca="false">B668+pas</f>
        <v>30.5000000000001</v>
      </c>
      <c r="C669" s="401"/>
      <c r="D669" s="418" t="n">
        <f aca="false">IF(AND(L668&lt;L_rampe,Poussee&lt;Poids*SIN(M668)),0,(-W668+Poussee)/m*COS(M668)-U668/m*SIN(M668))</f>
        <v>-0.887291100493383</v>
      </c>
      <c r="E669" s="419" t="n">
        <f aca="false">IF(AND(L668&lt;L_rampe,Poussee&lt;Poids*SIN(M668)),0,(-W668+Poussee)/m*SIN(M668)+U668/m*COS(M668)-Poids/m)</f>
        <v>-4.50879873323147</v>
      </c>
      <c r="F669" s="417" t="n">
        <f aca="false">SQRT(acc_x^2+acc_z^2)</f>
        <v>4.5952749116679</v>
      </c>
      <c r="G669" s="418" t="n">
        <f aca="false">G668+acc_x*pas</f>
        <v>17.4279556133775</v>
      </c>
      <c r="H669" s="419" t="n">
        <f aca="false">H668+acc_z*pas</f>
        <v>-105.105903679806</v>
      </c>
      <c r="I669" s="417" t="n">
        <f aca="false">SQRT(vit_x^2+vit_z^2)</f>
        <v>106.540999738179</v>
      </c>
      <c r="J669" s="418" t="n">
        <f aca="false">J668+0.5*(vit_x+G668)*pas*(K668&gt;=0)</f>
        <v>827.163020133813</v>
      </c>
      <c r="K669" s="419" t="n">
        <f aca="false">K668+0.5*(vit_z+H668)*pas</f>
        <v>661.122568478419</v>
      </c>
      <c r="L669" s="417" t="n">
        <f aca="false">SQRT(pos_x^2+pos_z^2)</f>
        <v>1058.9059034817</v>
      </c>
      <c r="M669" s="418" t="n">
        <f aca="false">IF(AND(L668&gt;L_rampe,G669&gt;0),ATAN2(G669,H669),$M$4)</f>
        <v>-1.40647807722785</v>
      </c>
      <c r="N669" s="417" t="n">
        <f aca="false">DEGREES(Beta)</f>
        <v>-80.5852578028308</v>
      </c>
      <c r="O669" s="401"/>
      <c r="P669" s="420" t="n">
        <f aca="false">MATCH(t-pas/2-T_ini,CdP_t)</f>
        <v>23</v>
      </c>
      <c r="Q669" s="417" t="n">
        <f aca="false">(INDEX(CdP,2,i_P+1)-INDEX(CdP,2,i_P+0))/(INDEX(CdP,1,i_P+1)-INDEX(CdP,1,i_P+0))*(t-pas/2-T_ini-INDEX(CdP,1,i_P+0))+INDEX(CdP,2,i_P+0)</f>
        <v>0</v>
      </c>
      <c r="R669" s="418" t="n">
        <f aca="false">Poussee/(g*ISP)</f>
        <v>0</v>
      </c>
      <c r="S669" s="419" t="n">
        <f aca="false">S668-Débit*pas</f>
        <v>7.37799999999998</v>
      </c>
      <c r="T669" s="417" t="n">
        <f aca="false">m*g</f>
        <v>72.3781799999998</v>
      </c>
      <c r="U669" s="421" t="n">
        <f aca="false">IF(pos_xz&lt;L_rampe,Poids*COS(Beta),0)</f>
        <v>0</v>
      </c>
      <c r="V669" s="418" t="n">
        <f aca="false">Rho_moyen*(20000-Alt_rampe-pos_z)/(20000+Alt_rampe+pos_z)</f>
        <v>1.14660395508987</v>
      </c>
      <c r="W669" s="417" t="n">
        <f aca="false">1/2*Rho*Sref*Cx*vit_xz^2</f>
        <v>40.0205159284371</v>
      </c>
      <c r="X669" s="401"/>
      <c r="Y669" s="422" t="str">
        <f aca="false">IF(AND(pos_z&lt;=0,K668&gt;0),"Impact balistique","") &amp; IF(AND(H670&lt;0,vit_z&gt;=0),"Apogée","") &amp; IF(AND(Poussee=0,Q668&gt;0),"Fin de propulsion","") &amp; IF(AND(L670&gt;L_rampe,pos_xz&lt;=L_rampe),"Sortie de rampe","")</f>
        <v/>
      </c>
      <c r="Z669" s="423" t="str">
        <f aca="false">IF(ABS(t-T_para)&lt;pas/2,"Para","")</f>
        <v/>
      </c>
      <c r="AA669" s="424" t="str">
        <f aca="false">IF(ABS(t-T_satellite)&lt;pas/2,"Satellite","")</f>
        <v/>
      </c>
      <c r="AB669" s="412"/>
      <c r="AC669" s="420" t="e">
        <f aca="false">IF(ABS(t-ROUND(t,0))&lt;0.001,t,NA())</f>
        <v>#N/A</v>
      </c>
      <c r="AD669" s="425" t="e">
        <f aca="false">IF(ABS(t-ROUND(t,0))&lt;0.001,pos_x,NA())</f>
        <v>#N/A</v>
      </c>
      <c r="AE669" s="426" t="e">
        <f aca="false">IF(t&lt;T_para, pos_z, NA())</f>
        <v>#N/A</v>
      </c>
      <c r="AF669" s="412"/>
      <c r="AG669" s="418" t="n">
        <f aca="false">IF(AND(L668&lt;L_rampe,Poussee&lt;Poids*SIN(M668)),0,(-W668+Poussee)/m-Poids*SIN(M668)/m)</f>
        <v>4.30046622131407</v>
      </c>
      <c r="AH669" s="417" t="n">
        <f aca="false">IF(AND(L668&lt;L_rampe,Poussee&lt;Poids*SIN(M668)), g*SIN(M668), (-W668+Poussee)/m)</f>
        <v>-5.37494375485019</v>
      </c>
    </row>
    <row r="670" customFormat="false" ht="12" hidden="false" customHeight="false" outlineLevel="0" collapsed="false">
      <c r="A670" s="416" t="n">
        <f aca="false">IF(B669+0.01&lt;=T_ini+ROUNDUP(Temps_fin_propu,0), 0.01, IF(K669&gt;0, 0.1, 0.0001))</f>
        <v>0.1</v>
      </c>
      <c r="B670" s="417" t="n">
        <f aca="false">B669+pas</f>
        <v>30.6000000000001</v>
      </c>
      <c r="C670" s="401"/>
      <c r="D670" s="418" t="n">
        <f aca="false">IF(AND(L669&lt;L_rampe,Poussee&lt;Poids*SIN(M669)),0,(-W669+Poussee)/m*COS(M669)-U669/m*SIN(M669))</f>
        <v>-0.887306595383572</v>
      </c>
      <c r="E670" s="419" t="n">
        <f aca="false">IF(AND(L669&lt;L_rampe,Poussee&lt;Poids*SIN(M669)),0,(-W669+Poussee)/m*SIN(M669)+U669/m*COS(M669)-Poids/m)</f>
        <v>-4.45876066833358</v>
      </c>
      <c r="F670" s="417" t="n">
        <f aca="false">SQRT(acc_x^2+acc_z^2)</f>
        <v>4.54619177902667</v>
      </c>
      <c r="G670" s="418" t="n">
        <f aca="false">G669+acc_x*pas</f>
        <v>17.3392249538392</v>
      </c>
      <c r="H670" s="419" t="n">
        <f aca="false">H669+acc_z*pas</f>
        <v>-105.55177974664</v>
      </c>
      <c r="I670" s="417" t="n">
        <f aca="false">SQRT(vit_x^2+vit_z^2)</f>
        <v>106.966475728066</v>
      </c>
      <c r="J670" s="418" t="n">
        <f aca="false">J669+0.5*(vit_x+G669)*pas*(K669&gt;=0)</f>
        <v>828.901379162174</v>
      </c>
      <c r="K670" s="419" t="n">
        <f aca="false">K669+0.5*(vit_z+H669)*pas</f>
        <v>650.589684307097</v>
      </c>
      <c r="L670" s="417" t="n">
        <f aca="false">SQRT(pos_x^2+pos_z^2)</f>
        <v>1053.72882360869</v>
      </c>
      <c r="M670" s="418" t="n">
        <f aca="false">IF(AND(L669&gt;L_rampe,G670&gt;0),ATAN2(G670,H670),$M$4)</f>
        <v>-1.40797828413473</v>
      </c>
      <c r="N670" s="417" t="n">
        <f aca="false">DEGREES(Beta)</f>
        <v>-80.6712133269912</v>
      </c>
      <c r="O670" s="401"/>
      <c r="P670" s="420" t="n">
        <f aca="false">MATCH(t-pas/2-T_ini,CdP_t)</f>
        <v>23</v>
      </c>
      <c r="Q670" s="417" t="n">
        <f aca="false">(INDEX(CdP,2,i_P+1)-INDEX(CdP,2,i_P+0))/(INDEX(CdP,1,i_P+1)-INDEX(CdP,1,i_P+0))*(t-pas/2-T_ini-INDEX(CdP,1,i_P+0))+INDEX(CdP,2,i_P+0)</f>
        <v>0</v>
      </c>
      <c r="R670" s="418" t="n">
        <f aca="false">Poussee/(g*ISP)</f>
        <v>0</v>
      </c>
      <c r="S670" s="419" t="n">
        <f aca="false">S669-Débit*pas</f>
        <v>7.37799999999998</v>
      </c>
      <c r="T670" s="417" t="n">
        <f aca="false">m*g</f>
        <v>72.3781799999998</v>
      </c>
      <c r="U670" s="421" t="n">
        <f aca="false">IF(pos_xz&lt;L_rampe,Poids*COS(Beta),0)</f>
        <v>0</v>
      </c>
      <c r="V670" s="418" t="n">
        <f aca="false">Rho_moyen*(20000-Alt_rampe-pos_z)/(20000+Alt_rampe+pos_z)</f>
        <v>1.14781359753307</v>
      </c>
      <c r="W670" s="417" t="n">
        <f aca="false">1/2*Rho*Sref*Cx*vit_xz^2</f>
        <v>40.3833601133232</v>
      </c>
      <c r="X670" s="401"/>
      <c r="Y670" s="422" t="str">
        <f aca="false">IF(AND(pos_z&lt;=0,K669&gt;0),"Impact balistique","") &amp; IF(AND(H671&lt;0,vit_z&gt;=0),"Apogée","") &amp; IF(AND(Poussee=0,Q669&gt;0),"Fin de propulsion","") &amp; IF(AND(L671&gt;L_rampe,pos_xz&lt;=L_rampe),"Sortie de rampe","")</f>
        <v/>
      </c>
      <c r="Z670" s="423" t="str">
        <f aca="false">IF(ABS(t-T_para)&lt;pas/2,"Para","")</f>
        <v/>
      </c>
      <c r="AA670" s="424" t="str">
        <f aca="false">IF(ABS(t-T_satellite)&lt;pas/2,"Satellite","")</f>
        <v/>
      </c>
      <c r="AB670" s="412"/>
      <c r="AC670" s="420" t="e">
        <f aca="false">IF(ABS(t-ROUND(t,0))&lt;0.001,t,NA())</f>
        <v>#N/A</v>
      </c>
      <c r="AD670" s="425" t="e">
        <f aca="false">IF(ABS(t-ROUND(t,0))&lt;0.001,pos_x,NA())</f>
        <v>#N/A</v>
      </c>
      <c r="AE670" s="426" t="e">
        <f aca="false">IF(t&lt;T_para, pos_z, NA())</f>
        <v>#N/A</v>
      </c>
      <c r="AF670" s="412"/>
      <c r="AG670" s="418" t="n">
        <f aca="false">IF(AND(L669&lt;L_rampe,Poussee&lt;Poids*SIN(M669)),0,(-W669+Poussee)/m-Poids*SIN(M669)/m)</f>
        <v>4.25355619424492</v>
      </c>
      <c r="AH670" s="417" t="n">
        <f aca="false">IF(AND(L669&lt;L_rampe,Poussee&lt;Poids*SIN(M669)), g*SIN(M669), (-W669+Poussee)/m)</f>
        <v>-5.42430413776596</v>
      </c>
    </row>
    <row r="671" customFormat="false" ht="12" hidden="false" customHeight="false" outlineLevel="0" collapsed="false">
      <c r="A671" s="416" t="n">
        <f aca="false">IF(B670+0.01&lt;=T_ini+ROUNDUP(Temps_fin_propu,0), 0.01, IF(K670&gt;0, 0.1, 0.0001))</f>
        <v>0.1</v>
      </c>
      <c r="B671" s="417" t="n">
        <f aca="false">B670+pas</f>
        <v>30.7000000000001</v>
      </c>
      <c r="C671" s="401"/>
      <c r="D671" s="418" t="n">
        <f aca="false">IF(AND(L670&lt;L_rampe,Poussee&lt;Poids*SIN(M670)),0,(-W670+Poussee)/m*COS(M670)-U670/m*SIN(M670))</f>
        <v>-0.887249564312243</v>
      </c>
      <c r="E671" s="419" t="n">
        <f aca="false">IF(AND(L670&lt;L_rampe,Poussee&lt;Poids*SIN(M670)),0,(-W670+Poussee)/m*SIN(M670)+U670/m*COS(M670)-Poids/m)</f>
        <v>-4.40890676533083</v>
      </c>
      <c r="F671" s="417" t="n">
        <f aca="false">SQRT(acc_x^2+acc_z^2)</f>
        <v>4.49729592697125</v>
      </c>
      <c r="G671" s="418" t="n">
        <f aca="false">G670+acc_x*pas</f>
        <v>17.250499997408</v>
      </c>
      <c r="H671" s="419" t="n">
        <f aca="false">H670+acc_z*pas</f>
        <v>-105.992670423173</v>
      </c>
      <c r="I671" s="417" t="n">
        <f aca="false">SQRT(vit_x^2+vit_z^2)</f>
        <v>107.387270817336</v>
      </c>
      <c r="J671" s="418" t="n">
        <f aca="false">J670+0.5*(vit_x+G670)*pas*(K670&gt;=0)</f>
        <v>830.630865409736</v>
      </c>
      <c r="K671" s="419" t="n">
        <f aca="false">K670+0.5*(vit_z+H670)*pas</f>
        <v>640.012461798606</v>
      </c>
      <c r="L671" s="417" t="n">
        <f aca="false">SQRT(pos_x^2+pos_z^2)</f>
        <v>1048.60077523757</v>
      </c>
      <c r="M671" s="418" t="n">
        <f aca="false">IF(AND(L670&gt;L_rampe,G671&gt;0),ATAN2(G671,H671),$M$4)</f>
        <v>-1.4094590907804</v>
      </c>
      <c r="N671" s="417" t="n">
        <f aca="false">DEGREES(Beta)</f>
        <v>-80.7560572980631</v>
      </c>
      <c r="O671" s="401"/>
      <c r="P671" s="420" t="n">
        <f aca="false">MATCH(t-pas/2-T_ini,CdP_t)</f>
        <v>23</v>
      </c>
      <c r="Q671" s="417" t="n">
        <f aca="false">(INDEX(CdP,2,i_P+1)-INDEX(CdP,2,i_P+0))/(INDEX(CdP,1,i_P+1)-INDEX(CdP,1,i_P+0))*(t-pas/2-T_ini-INDEX(CdP,1,i_P+0))+INDEX(CdP,2,i_P+0)</f>
        <v>0</v>
      </c>
      <c r="R671" s="418" t="n">
        <f aca="false">Poussee/(g*ISP)</f>
        <v>0</v>
      </c>
      <c r="S671" s="419" t="n">
        <f aca="false">S670-Débit*pas</f>
        <v>7.37799999999998</v>
      </c>
      <c r="T671" s="417" t="n">
        <f aca="false">m*g</f>
        <v>72.3781799999998</v>
      </c>
      <c r="U671" s="421" t="n">
        <f aca="false">IF(pos_xz&lt;L_rampe,Poids*COS(Beta),0)</f>
        <v>0</v>
      </c>
      <c r="V671" s="418" t="n">
        <f aca="false">Rho_moyen*(20000-Alt_rampe-pos_z)/(20000+Alt_rampe+pos_z)</f>
        <v>1.14902957438573</v>
      </c>
      <c r="W671" s="417" t="n">
        <f aca="false">1/2*Rho*Sref*Cx*vit_xz^2</f>
        <v>40.7448318161295</v>
      </c>
      <c r="X671" s="401"/>
      <c r="Y671" s="422" t="str">
        <f aca="false">IF(AND(pos_z&lt;=0,K670&gt;0),"Impact balistique","") &amp; IF(AND(H672&lt;0,vit_z&gt;=0),"Apogée","") &amp; IF(AND(Poussee=0,Q670&gt;0),"Fin de propulsion","") &amp; IF(AND(L672&gt;L_rampe,pos_xz&lt;=L_rampe),"Sortie de rampe","")</f>
        <v/>
      </c>
      <c r="Z671" s="423" t="str">
        <f aca="false">IF(ABS(t-T_para)&lt;pas/2,"Para","")</f>
        <v/>
      </c>
      <c r="AA671" s="424" t="str">
        <f aca="false">IF(ABS(t-T_satellite)&lt;pas/2,"Satellite","")</f>
        <v/>
      </c>
      <c r="AB671" s="412"/>
      <c r="AC671" s="420" t="e">
        <f aca="false">IF(ABS(t-ROUND(t,0))&lt;0.001,t,NA())</f>
        <v>#N/A</v>
      </c>
      <c r="AD671" s="425" t="e">
        <f aca="false">IF(ABS(t-ROUND(t,0))&lt;0.001,pos_x,NA())</f>
        <v>#N/A</v>
      </c>
      <c r="AE671" s="426" t="e">
        <f aca="false">IF(t&lt;T_para, pos_z, NA())</f>
        <v>#N/A</v>
      </c>
      <c r="AF671" s="412"/>
      <c r="AG671" s="418" t="n">
        <f aca="false">IF(AND(L670&lt;L_rampe,Poussee&lt;Poids*SIN(M670)),0,(-W670+Poussee)/m-Poids*SIN(M670)/m)</f>
        <v>4.20677350514779</v>
      </c>
      <c r="AH671" s="417" t="n">
        <f aca="false">IF(AND(L670&lt;L_rampe,Poussee&lt;Poids*SIN(M670)), g*SIN(M670), (-W670+Poussee)/m)</f>
        <v>-5.47348334417502</v>
      </c>
    </row>
    <row r="672" customFormat="false" ht="12" hidden="false" customHeight="false" outlineLevel="0" collapsed="false">
      <c r="A672" s="416" t="n">
        <f aca="false">IF(B671+0.01&lt;=T_ini+ROUNDUP(Temps_fin_propu,0), 0.01, IF(K671&gt;0, 0.1, 0.0001))</f>
        <v>0.1</v>
      </c>
      <c r="B672" s="417" t="n">
        <f aca="false">B671+pas</f>
        <v>30.8000000000001</v>
      </c>
      <c r="C672" s="401"/>
      <c r="D672" s="418" t="n">
        <f aca="false">IF(AND(L671&lt;L_rampe,Poussee&lt;Poids*SIN(M671)),0,(-W671+Poussee)/m*COS(M671)-U671/m*SIN(M671))</f>
        <v>-0.887120797366806</v>
      </c>
      <c r="E672" s="419" t="n">
        <f aca="false">IF(AND(L671&lt;L_rampe,Poussee&lt;Poids*SIN(M671)),0,(-W671+Poussee)/m*SIN(M671)+U671/m*COS(M671)-Poids/m)</f>
        <v>-4.35924191675774</v>
      </c>
      <c r="F672" s="417" t="n">
        <f aca="false">SQRT(acc_x^2+acc_z^2)</f>
        <v>4.44859229396654</v>
      </c>
      <c r="G672" s="418" t="n">
        <f aca="false">G671+acc_x*pas</f>
        <v>17.1617879176713</v>
      </c>
      <c r="H672" s="419" t="n">
        <f aca="false">H671+acc_z*pas</f>
        <v>-106.428594614848</v>
      </c>
      <c r="I672" s="417" t="n">
        <f aca="false">SQRT(vit_x^2+vit_z^2)</f>
        <v>107.803398444682</v>
      </c>
      <c r="J672" s="418" t="n">
        <f aca="false">J671+0.5*(vit_x+G671)*pas*(K671&gt;=0)</f>
        <v>832.35147980549</v>
      </c>
      <c r="K672" s="419" t="n">
        <f aca="false">K671+0.5*(vit_z+H671)*pas</f>
        <v>629.391398546705</v>
      </c>
      <c r="L672" s="417" t="n">
        <f aca="false">SQRT(pos_x^2+pos_z^2)</f>
        <v>1043.52408620931</v>
      </c>
      <c r="M672" s="418" t="n">
        <f aca="false">IF(AND(L671&gt;L_rampe,G672&gt;0),ATAN2(G672,H672),$M$4)</f>
        <v>-1.41092088281919</v>
      </c>
      <c r="N672" s="417" t="n">
        <f aca="false">DEGREES(Beta)</f>
        <v>-80.8398118124118</v>
      </c>
      <c r="O672" s="401"/>
      <c r="P672" s="420" t="n">
        <f aca="false">MATCH(t-pas/2-T_ini,CdP_t)</f>
        <v>23</v>
      </c>
      <c r="Q672" s="417" t="n">
        <f aca="false">(INDEX(CdP,2,i_P+1)-INDEX(CdP,2,i_P+0))/(INDEX(CdP,1,i_P+1)-INDEX(CdP,1,i_P+0))*(t-pas/2-T_ini-INDEX(CdP,1,i_P+0))+INDEX(CdP,2,i_P+0)</f>
        <v>0</v>
      </c>
      <c r="R672" s="418" t="n">
        <f aca="false">Poussee/(g*ISP)</f>
        <v>0</v>
      </c>
      <c r="S672" s="419" t="n">
        <f aca="false">S671-Débit*pas</f>
        <v>7.37799999999998</v>
      </c>
      <c r="T672" s="417" t="n">
        <f aca="false">m*g</f>
        <v>72.3781799999998</v>
      </c>
      <c r="U672" s="421" t="n">
        <f aca="false">IF(pos_xz&lt;L_rampe,Poids*COS(Beta),0)</f>
        <v>0</v>
      </c>
      <c r="V672" s="418" t="n">
        <f aca="false">Rho_moyen*(20000-Alt_rampe-pos_z)/(20000+Alt_rampe+pos_z)</f>
        <v>1.15025184593918</v>
      </c>
      <c r="W672" s="417" t="n">
        <f aca="false">1/2*Rho*Sref*Cx*vit_xz^2</f>
        <v>41.1048961203622</v>
      </c>
      <c r="X672" s="401"/>
      <c r="Y672" s="422" t="str">
        <f aca="false">IF(AND(pos_z&lt;=0,K671&gt;0),"Impact balistique","") &amp; IF(AND(H673&lt;0,vit_z&gt;=0),"Apogée","") &amp; IF(AND(Poussee=0,Q671&gt;0),"Fin de propulsion","") &amp; IF(AND(L673&gt;L_rampe,pos_xz&lt;=L_rampe),"Sortie de rampe","")</f>
        <v/>
      </c>
      <c r="Z672" s="423" t="str">
        <f aca="false">IF(ABS(t-T_para)&lt;pas/2,"Para","")</f>
        <v/>
      </c>
      <c r="AA672" s="424" t="str">
        <f aca="false">IF(ABS(t-T_satellite)&lt;pas/2,"Satellite","")</f>
        <v/>
      </c>
      <c r="AB672" s="412"/>
      <c r="AC672" s="420" t="e">
        <f aca="false">IF(ABS(t-ROUND(t,0))&lt;0.001,t,NA())</f>
        <v>#N/A</v>
      </c>
      <c r="AD672" s="425" t="e">
        <f aca="false">IF(ABS(t-ROUND(t,0))&lt;0.001,pos_x,NA())</f>
        <v>#N/A</v>
      </c>
      <c r="AE672" s="426" t="e">
        <f aca="false">IF(t&lt;T_para, pos_z, NA())</f>
        <v>#N/A</v>
      </c>
      <c r="AF672" s="412"/>
      <c r="AG672" s="418" t="n">
        <f aca="false">IF(AND(L671&lt;L_rampe,Poussee&lt;Poids*SIN(M671)),0,(-W671+Poussee)/m-Poids*SIN(M671)/m)</f>
        <v>4.16012448277051</v>
      </c>
      <c r="AH672" s="417" t="n">
        <f aca="false">IF(AND(L671&lt;L_rampe,Poussee&lt;Poids*SIN(M671)), g*SIN(M671), (-W671+Poussee)/m)</f>
        <v>-5.52247652698964</v>
      </c>
    </row>
    <row r="673" customFormat="false" ht="12" hidden="false" customHeight="false" outlineLevel="0" collapsed="false">
      <c r="A673" s="416" t="n">
        <f aca="false">IF(B672+0.01&lt;=T_ini+ROUNDUP(Temps_fin_propu,0), 0.01, IF(K672&gt;0, 0.1, 0.0001))</f>
        <v>0.1</v>
      </c>
      <c r="B673" s="417" t="n">
        <f aca="false">B672+pas</f>
        <v>30.9000000000001</v>
      </c>
      <c r="C673" s="401"/>
      <c r="D673" s="418" t="n">
        <f aca="false">IF(AND(L672&lt;L_rampe,Poussee&lt;Poids*SIN(M672)),0,(-W672+Poussee)/m*COS(M672)-U672/m*SIN(M672))</f>
        <v>-0.886921091662646</v>
      </c>
      <c r="E673" s="419" t="n">
        <f aca="false">IF(AND(L672&lt;L_rampe,Poussee&lt;Poids*SIN(M672)),0,(-W672+Poussee)/m*SIN(M672)+U672/m*COS(M672)-Poids/m)</f>
        <v>-4.30977089958521</v>
      </c>
      <c r="F673" s="417" t="n">
        <f aca="false">SQRT(acc_x^2+acc_z^2)</f>
        <v>4.40008570709112</v>
      </c>
      <c r="G673" s="418" t="n">
        <f aca="false">G672+acc_x*pas</f>
        <v>17.073095808505</v>
      </c>
      <c r="H673" s="419" t="n">
        <f aca="false">H672+acc_z*pas</f>
        <v>-106.859571704807</v>
      </c>
      <c r="I673" s="417" t="n">
        <f aca="false">SQRT(vit_x^2+vit_z^2)</f>
        <v>108.214872662778</v>
      </c>
      <c r="J673" s="418" t="n">
        <f aca="false">J672+0.5*(vit_x+G672)*pas*(K672&gt;=0)</f>
        <v>834.063223991799</v>
      </c>
      <c r="K673" s="419" t="n">
        <f aca="false">K672+0.5*(vit_z+H672)*pas</f>
        <v>618.726990230722</v>
      </c>
      <c r="L673" s="417" t="n">
        <f aca="false">SQRT(pos_x^2+pos_z^2)</f>
        <v>1038.50110739255</v>
      </c>
      <c r="M673" s="418" t="n">
        <f aca="false">IF(AND(L672&gt;L_rampe,G673&gt;0),ATAN2(G673,H673),$M$4)</f>
        <v>-1.41236403551229</v>
      </c>
      <c r="N673" s="417" t="n">
        <f aca="false">DEGREES(Beta)</f>
        <v>-80.9224983709196</v>
      </c>
      <c r="O673" s="401"/>
      <c r="P673" s="420" t="n">
        <f aca="false">MATCH(t-pas/2-T_ini,CdP_t)</f>
        <v>23</v>
      </c>
      <c r="Q673" s="417" t="n">
        <f aca="false">(INDEX(CdP,2,i_P+1)-INDEX(CdP,2,i_P+0))/(INDEX(CdP,1,i_P+1)-INDEX(CdP,1,i_P+0))*(t-pas/2-T_ini-INDEX(CdP,1,i_P+0))+INDEX(CdP,2,i_P+0)</f>
        <v>0</v>
      </c>
      <c r="R673" s="418" t="n">
        <f aca="false">Poussee/(g*ISP)</f>
        <v>0</v>
      </c>
      <c r="S673" s="419" t="n">
        <f aca="false">S672-Débit*pas</f>
        <v>7.37799999999998</v>
      </c>
      <c r="T673" s="417" t="n">
        <f aca="false">m*g</f>
        <v>72.3781799999998</v>
      </c>
      <c r="U673" s="421" t="n">
        <f aca="false">IF(pos_xz&lt;L_rampe,Poids*COS(Beta),0)</f>
        <v>0</v>
      </c>
      <c r="V673" s="418" t="n">
        <f aca="false">Rho_moyen*(20000-Alt_rampe-pos_z)/(20000+Alt_rampe+pos_z)</f>
        <v>1.15148037258636</v>
      </c>
      <c r="W673" s="417" t="n">
        <f aca="false">1/2*Rho*Sref*Cx*vit_xz^2</f>
        <v>41.4635189523941</v>
      </c>
      <c r="X673" s="401"/>
      <c r="Y673" s="422" t="str">
        <f aca="false">IF(AND(pos_z&lt;=0,K672&gt;0),"Impact balistique","") &amp; IF(AND(H674&lt;0,vit_z&gt;=0),"Apogée","") &amp; IF(AND(Poussee=0,Q672&gt;0),"Fin de propulsion","") &amp; IF(AND(L674&gt;L_rampe,pos_xz&lt;=L_rampe),"Sortie de rampe","")</f>
        <v/>
      </c>
      <c r="Z673" s="423" t="str">
        <f aca="false">IF(ABS(t-T_para)&lt;pas/2,"Para","")</f>
        <v/>
      </c>
      <c r="AA673" s="424" t="str">
        <f aca="false">IF(ABS(t-T_satellite)&lt;pas/2,"Satellite","")</f>
        <v/>
      </c>
      <c r="AB673" s="412"/>
      <c r="AC673" s="420" t="e">
        <f aca="false">IF(ABS(t-ROUND(t,0))&lt;0.001,t,NA())</f>
        <v>#N/A</v>
      </c>
      <c r="AD673" s="425" t="e">
        <f aca="false">IF(ABS(t-ROUND(t,0))&lt;0.001,pos_x,NA())</f>
        <v>#N/A</v>
      </c>
      <c r="AE673" s="426" t="e">
        <f aca="false">IF(t&lt;T_para, pos_z, NA())</f>
        <v>#N/A</v>
      </c>
      <c r="AF673" s="412"/>
      <c r="AG673" s="418" t="n">
        <f aca="false">IF(AND(L672&lt;L_rampe,Poussee&lt;Poids*SIN(M672)),0,(-W672+Poussee)/m-Poids*SIN(M672)/m)</f>
        <v>4.11361529115019</v>
      </c>
      <c r="AH673" s="417" t="n">
        <f aca="false">IF(AND(L672&lt;L_rampe,Poussee&lt;Poids*SIN(M672)), g*SIN(M672), (-W672+Poussee)/m)</f>
        <v>-5.57127895369508</v>
      </c>
    </row>
    <row r="674" customFormat="false" ht="12" hidden="false" customHeight="false" outlineLevel="0" collapsed="false">
      <c r="A674" s="416" t="n">
        <f aca="false">IF(B673+0.01&lt;=T_ini+ROUNDUP(Temps_fin_propu,0), 0.01, IF(K673&gt;0, 0.1, 0.0001))</f>
        <v>0.1</v>
      </c>
      <c r="B674" s="417" t="n">
        <f aca="false">B673+pas</f>
        <v>31.0000000000001</v>
      </c>
      <c r="C674" s="401"/>
      <c r="D674" s="418" t="n">
        <f aca="false">IF(AND(L673&lt;L_rampe,Poussee&lt;Poids*SIN(M673)),0,(-W673+Poussee)/m*COS(M673)-U673/m*SIN(M673))</f>
        <v>-0.886651250910817</v>
      </c>
      <c r="E674" s="419" t="n">
        <f aca="false">IF(AND(L673&lt;L_rampe,Poussee&lt;Poids*SIN(M673)),0,(-W673+Poussee)/m*SIN(M673)+U673/m*COS(M673)-Poids/m)</f>
        <v>-4.26049837553991</v>
      </c>
      <c r="F674" s="417" t="n">
        <f aca="false">SQRT(acc_x^2+acc_z^2)</f>
        <v>4.35178088243422</v>
      </c>
      <c r="G674" s="418" t="n">
        <f aca="false">G673+acc_x*pas</f>
        <v>16.9844306834139</v>
      </c>
      <c r="H674" s="419" t="n">
        <f aca="false">H673+acc_z*pas</f>
        <v>-107.285621542361</v>
      </c>
      <c r="I674" s="417" t="n">
        <f aca="false">SQRT(vit_x^2+vit_z^2)</f>
        <v>108.621708122136</v>
      </c>
      <c r="J674" s="418" t="n">
        <f aca="false">J673+0.5*(vit_x+G673)*pas*(K673&gt;=0)</f>
        <v>835.766100316395</v>
      </c>
      <c r="K674" s="419" t="n">
        <f aca="false">K673+0.5*(vit_z+H673)*pas</f>
        <v>608.019730568364</v>
      </c>
      <c r="L674" s="417" t="n">
        <f aca="false">SQRT(pos_x^2+pos_z^2)</f>
        <v>1033.53421191487</v>
      </c>
      <c r="M674" s="418" t="n">
        <f aca="false">IF(AND(L673&gt;L_rampe,G674&gt;0),ATAN2(G674,H674),$M$4)</f>
        <v>-1.41378891407011</v>
      </c>
      <c r="N674" s="417" t="n">
        <f aca="false">DEGREES(Beta)</f>
        <v>-81.0041378986012</v>
      </c>
      <c r="O674" s="401"/>
      <c r="P674" s="420" t="n">
        <f aca="false">MATCH(t-pas/2-T_ini,CdP_t)</f>
        <v>23</v>
      </c>
      <c r="Q674" s="417" t="n">
        <f aca="false">(INDEX(CdP,2,i_P+1)-INDEX(CdP,2,i_P+0))/(INDEX(CdP,1,i_P+1)-INDEX(CdP,1,i_P+0))*(t-pas/2-T_ini-INDEX(CdP,1,i_P+0))+INDEX(CdP,2,i_P+0)</f>
        <v>0</v>
      </c>
      <c r="R674" s="418" t="n">
        <f aca="false">Poussee/(g*ISP)</f>
        <v>0</v>
      </c>
      <c r="S674" s="419" t="n">
        <f aca="false">S673-Débit*pas</f>
        <v>7.37799999999998</v>
      </c>
      <c r="T674" s="417" t="n">
        <f aca="false">m*g</f>
        <v>72.3781799999998</v>
      </c>
      <c r="U674" s="421" t="n">
        <f aca="false">IF(pos_xz&lt;L_rampe,Poids*COS(Beta),0)</f>
        <v>0</v>
      </c>
      <c r="V674" s="418" t="n">
        <f aca="false">Rho_moyen*(20000-Alt_rampe-pos_z)/(20000+Alt_rampe+pos_z)</f>
        <v>1.15271511482577</v>
      </c>
      <c r="W674" s="417" t="n">
        <f aca="false">1/2*Rho*Sref*Cx*vit_xz^2</f>
        <v>41.8206670786678</v>
      </c>
      <c r="X674" s="401"/>
      <c r="Y674" s="422" t="str">
        <f aca="false">IF(AND(pos_z&lt;=0,K673&gt;0),"Impact balistique","") &amp; IF(AND(H675&lt;0,vit_z&gt;=0),"Apogée","") &amp; IF(AND(Poussee=0,Q673&gt;0),"Fin de propulsion","") &amp; IF(AND(L675&gt;L_rampe,pos_xz&lt;=L_rampe),"Sortie de rampe","")</f>
        <v/>
      </c>
      <c r="Z674" s="423" t="str">
        <f aca="false">IF(ABS(t-T_para)&lt;pas/2,"Para","")</f>
        <v/>
      </c>
      <c r="AA674" s="424" t="str">
        <f aca="false">IF(ABS(t-T_satellite)&lt;pas/2,"Satellite","")</f>
        <v/>
      </c>
      <c r="AB674" s="412"/>
      <c r="AC674" s="420" t="n">
        <f aca="false">IF(ABS(t-ROUND(t,0))&lt;0.001,t,NA())</f>
        <v>31.0000000000001</v>
      </c>
      <c r="AD674" s="425" t="n">
        <f aca="false">IF(ABS(t-ROUND(t,0))&lt;0.001,pos_x,NA())</f>
        <v>835.766100316395</v>
      </c>
      <c r="AE674" s="426" t="e">
        <f aca="false">IF(t&lt;T_para, pos_z, NA())</f>
        <v>#N/A</v>
      </c>
      <c r="AF674" s="412"/>
      <c r="AG674" s="418" t="n">
        <f aca="false">IF(AND(L673&lt;L_rampe,Poussee&lt;Poids*SIN(M673)),0,(-W673+Poussee)/m-Poids*SIN(M673)/m)</f>
        <v>4.06725193195263</v>
      </c>
      <c r="AH674" s="417" t="n">
        <f aca="false">IF(AND(L673&lt;L_rampe,Poussee&lt;Poids*SIN(M673)), g*SIN(M673), (-W673+Poussee)/m)</f>
        <v>-5.6198860060171</v>
      </c>
    </row>
    <row r="675" customFormat="false" ht="12" hidden="false" customHeight="false" outlineLevel="0" collapsed="false">
      <c r="A675" s="416" t="n">
        <f aca="false">IF(B674+0.01&lt;=T_ini+ROUNDUP(Temps_fin_propu,0), 0.01, IF(K674&gt;0, 0.1, 0.0001))</f>
        <v>0.1</v>
      </c>
      <c r="B675" s="417" t="n">
        <f aca="false">B674+pas</f>
        <v>31.1000000000001</v>
      </c>
      <c r="C675" s="401"/>
      <c r="D675" s="418" t="n">
        <f aca="false">IF(AND(L674&lt;L_rampe,Poussee&lt;Poids*SIN(M674)),0,(-W674+Poussee)/m*COS(M674)-U674/m*SIN(M674))</f>
        <v>-0.886312084992855</v>
      </c>
      <c r="E675" s="419" t="n">
        <f aca="false">IF(AND(L674&lt;L_rampe,Poussee&lt;Poids*SIN(M674)),0,(-W674+Poussee)/m*SIN(M674)+U674/m*COS(M674)-Poids/m)</f>
        <v>-4.21142889147161</v>
      </c>
      <c r="F675" s="417" t="n">
        <f aca="false">SQRT(acc_x^2+acc_z^2)</f>
        <v>4.30368242554283</v>
      </c>
      <c r="G675" s="418" t="n">
        <f aca="false">G674+acc_x*pas</f>
        <v>16.8957994749146</v>
      </c>
      <c r="H675" s="419" t="n">
        <f aca="false">H674+acc_z*pas</f>
        <v>-107.706764431508</v>
      </c>
      <c r="I675" s="417" t="n">
        <f aca="false">SQRT(vit_x^2+vit_z^2)</f>
        <v>109.023920055192</v>
      </c>
      <c r="J675" s="418" t="n">
        <f aca="false">J674+0.5*(vit_x+G674)*pas*(K674&gt;=0)</f>
        <v>837.460111824312</v>
      </c>
      <c r="K675" s="419" t="n">
        <f aca="false">K674+0.5*(vit_z+H674)*pas</f>
        <v>597.27011126967</v>
      </c>
      <c r="L675" s="417" t="n">
        <f aca="false">SQRT(pos_x^2+pos_z^2)</f>
        <v>1028.62579430659</v>
      </c>
      <c r="M675" s="418" t="n">
        <f aca="false">IF(AND(L674&gt;L_rampe,G675&gt;0),ATAN2(G675,H675),$M$4)</f>
        <v>-1.41519587398141</v>
      </c>
      <c r="N675" s="417" t="n">
        <f aca="false">DEGREES(Beta)</f>
        <v>-81.0847507634626</v>
      </c>
      <c r="O675" s="401"/>
      <c r="P675" s="420" t="n">
        <f aca="false">MATCH(t-pas/2-T_ini,CdP_t)</f>
        <v>23</v>
      </c>
      <c r="Q675" s="417" t="n">
        <f aca="false">(INDEX(CdP,2,i_P+1)-INDEX(CdP,2,i_P+0))/(INDEX(CdP,1,i_P+1)-INDEX(CdP,1,i_P+0))*(t-pas/2-T_ini-INDEX(CdP,1,i_P+0))+INDEX(CdP,2,i_P+0)</f>
        <v>0</v>
      </c>
      <c r="R675" s="418" t="n">
        <f aca="false">Poussee/(g*ISP)</f>
        <v>0</v>
      </c>
      <c r="S675" s="419" t="n">
        <f aca="false">S674-Débit*pas</f>
        <v>7.37799999999998</v>
      </c>
      <c r="T675" s="417" t="n">
        <f aca="false">m*g</f>
        <v>72.3781799999998</v>
      </c>
      <c r="U675" s="421" t="n">
        <f aca="false">IF(pos_xz&lt;L_rampe,Poids*COS(Beta),0)</f>
        <v>0</v>
      </c>
      <c r="V675" s="418" t="n">
        <f aca="false">Rho_moyen*(20000-Alt_rampe-pos_z)/(20000+Alt_rampe+pos_z)</f>
        <v>1.1539560332653</v>
      </c>
      <c r="W675" s="417" t="n">
        <f aca="false">1/2*Rho*Sref*Cx*vit_xz^2</f>
        <v>42.1763081025668</v>
      </c>
      <c r="X675" s="401"/>
      <c r="Y675" s="422" t="str">
        <f aca="false">IF(AND(pos_z&lt;=0,K674&gt;0),"Impact balistique","") &amp; IF(AND(H676&lt;0,vit_z&gt;=0),"Apogée","") &amp; IF(AND(Poussee=0,Q674&gt;0),"Fin de propulsion","") &amp; IF(AND(L676&gt;L_rampe,pos_xz&lt;=L_rampe),"Sortie de rampe","")</f>
        <v/>
      </c>
      <c r="Z675" s="423" t="str">
        <f aca="false">IF(ABS(t-T_para)&lt;pas/2,"Para","")</f>
        <v/>
      </c>
      <c r="AA675" s="424" t="str">
        <f aca="false">IF(ABS(t-T_satellite)&lt;pas/2,"Satellite","")</f>
        <v/>
      </c>
      <c r="AB675" s="412"/>
      <c r="AC675" s="420" t="e">
        <f aca="false">IF(ABS(t-ROUND(t,0))&lt;0.001,t,NA())</f>
        <v>#N/A</v>
      </c>
      <c r="AD675" s="425" t="e">
        <f aca="false">IF(ABS(t-ROUND(t,0))&lt;0.001,pos_x,NA())</f>
        <v>#N/A</v>
      </c>
      <c r="AE675" s="426" t="e">
        <f aca="false">IF(t&lt;T_para, pos_z, NA())</f>
        <v>#N/A</v>
      </c>
      <c r="AF675" s="412"/>
      <c r="AG675" s="418" t="n">
        <f aca="false">IF(AND(L674&lt;L_rampe,Poussee&lt;Poids*SIN(M674)),0,(-W674+Poussee)/m-Poids*SIN(M674)/m)</f>
        <v>4.02104024676581</v>
      </c>
      <c r="AH675" s="417" t="n">
        <f aca="false">IF(AND(L674&lt;L_rampe,Poussee&lt;Poids*SIN(M674)), g*SIN(M674), (-W674+Poussee)/m)</f>
        <v>-5.66829317954295</v>
      </c>
    </row>
    <row r="676" customFormat="false" ht="12" hidden="false" customHeight="false" outlineLevel="0" collapsed="false">
      <c r="A676" s="416" t="n">
        <f aca="false">IF(B675+0.01&lt;=T_ini+ROUNDUP(Temps_fin_propu,0), 0.01, IF(K675&gt;0, 0.1, 0.0001))</f>
        <v>0.1</v>
      </c>
      <c r="B676" s="417" t="n">
        <f aca="false">B675+pas</f>
        <v>31.2000000000001</v>
      </c>
      <c r="C676" s="401"/>
      <c r="D676" s="418" t="n">
        <f aca="false">IF(AND(L675&lt;L_rampe,Poussee&lt;Poids*SIN(M675)),0,(-W675+Poussee)/m*COS(M675)-U675/m*SIN(M675))</f>
        <v>-0.885904409542694</v>
      </c>
      <c r="E676" s="419" t="n">
        <f aca="false">IF(AND(L675&lt;L_rampe,Poussee&lt;Poids*SIN(M675)),0,(-W675+Poussee)/m*SIN(M675)+U675/m*COS(M675)-Poids/m)</f>
        <v>-4.16256687976695</v>
      </c>
      <c r="F676" s="417" t="n">
        <f aca="false">SQRT(acc_x^2+acc_z^2)</f>
        <v>4.255794831918</v>
      </c>
      <c r="G676" s="418" t="n">
        <f aca="false">G675+acc_x*pas</f>
        <v>16.8072090339604</v>
      </c>
      <c r="H676" s="419" t="n">
        <f aca="false">H675+acc_z*pas</f>
        <v>-108.123021119485</v>
      </c>
      <c r="I676" s="417" t="n">
        <f aca="false">SQRT(vit_x^2+vit_z^2)</f>
        <v>109.421524260612</v>
      </c>
      <c r="J676" s="418" t="n">
        <f aca="false">J675+0.5*(vit_x+G675)*pas*(K675&gt;=0)</f>
        <v>839.145262249755</v>
      </c>
      <c r="K676" s="419" t="n">
        <f aca="false">K675+0.5*(vit_z+H675)*pas</f>
        <v>586.478621992121</v>
      </c>
      <c r="L676" s="417" t="n">
        <f aca="false">SQRT(pos_x^2+pos_z^2)</f>
        <v>1023.77826955351</v>
      </c>
      <c r="M676" s="418" t="n">
        <f aca="false">IF(AND(L675&gt;L_rampe,G676&gt;0),ATAN2(G676,H676),$M$4)</f>
        <v>-1.41658526132983</v>
      </c>
      <c r="N676" s="417" t="n">
        <f aca="false">DEGREES(Beta)</f>
        <v>-81.1643567946358</v>
      </c>
      <c r="O676" s="401"/>
      <c r="P676" s="420" t="n">
        <f aca="false">MATCH(t-pas/2-T_ini,CdP_t)</f>
        <v>23</v>
      </c>
      <c r="Q676" s="417" t="n">
        <f aca="false">(INDEX(CdP,2,i_P+1)-INDEX(CdP,2,i_P+0))/(INDEX(CdP,1,i_P+1)-INDEX(CdP,1,i_P+0))*(t-pas/2-T_ini-INDEX(CdP,1,i_P+0))+INDEX(CdP,2,i_P+0)</f>
        <v>0</v>
      </c>
      <c r="R676" s="418" t="n">
        <f aca="false">Poussee/(g*ISP)</f>
        <v>0</v>
      </c>
      <c r="S676" s="419" t="n">
        <f aca="false">S675-Débit*pas</f>
        <v>7.37799999999998</v>
      </c>
      <c r="T676" s="417" t="n">
        <f aca="false">m*g</f>
        <v>72.3781799999998</v>
      </c>
      <c r="U676" s="421" t="n">
        <f aca="false">IF(pos_xz&lt;L_rampe,Poids*COS(Beta),0)</f>
        <v>0</v>
      </c>
      <c r="V676" s="418" t="n">
        <f aca="false">Rho_moyen*(20000-Alt_rampe-pos_z)/(20000+Alt_rampe+pos_z)</f>
        <v>1.15520308862606</v>
      </c>
      <c r="W676" s="417" t="n">
        <f aca="false">1/2*Rho*Sref*Cx*vit_xz^2</f>
        <v>42.5304104609612</v>
      </c>
      <c r="X676" s="401"/>
      <c r="Y676" s="422" t="str">
        <f aca="false">IF(AND(pos_z&lt;=0,K675&gt;0),"Impact balistique","") &amp; IF(AND(H677&lt;0,vit_z&gt;=0),"Apogée","") &amp; IF(AND(Poussee=0,Q675&gt;0),"Fin de propulsion","") &amp; IF(AND(L677&gt;L_rampe,pos_xz&lt;=L_rampe),"Sortie de rampe","")</f>
        <v/>
      </c>
      <c r="Z676" s="423" t="str">
        <f aca="false">IF(ABS(t-T_para)&lt;pas/2,"Para","")</f>
        <v/>
      </c>
      <c r="AA676" s="424" t="str">
        <f aca="false">IF(ABS(t-T_satellite)&lt;pas/2,"Satellite","")</f>
        <v/>
      </c>
      <c r="AB676" s="412"/>
      <c r="AC676" s="420" t="e">
        <f aca="false">IF(ABS(t-ROUND(t,0))&lt;0.001,t,NA())</f>
        <v>#N/A</v>
      </c>
      <c r="AD676" s="425" t="e">
        <f aca="false">IF(ABS(t-ROUND(t,0))&lt;0.001,pos_x,NA())</f>
        <v>#N/A</v>
      </c>
      <c r="AE676" s="426" t="e">
        <f aca="false">IF(t&lt;T_para, pos_z, NA())</f>
        <v>#N/A</v>
      </c>
      <c r="AF676" s="412"/>
      <c r="AG676" s="418" t="n">
        <f aca="false">IF(AND(L675&lt;L_rampe,Poussee&lt;Poids*SIN(M675)),0,(-W675+Poussee)/m-Poids*SIN(M675)/m)</f>
        <v>3.97498591935139</v>
      </c>
      <c r="AH676" s="417" t="n">
        <f aca="false">IF(AND(L675&lt;L_rampe,Poussee&lt;Poids*SIN(M675)), g*SIN(M675), (-W675+Poussee)/m)</f>
        <v>-5.71649608329722</v>
      </c>
    </row>
    <row r="677" customFormat="false" ht="12" hidden="false" customHeight="false" outlineLevel="0" collapsed="false">
      <c r="A677" s="416" t="n">
        <f aca="false">IF(B676+0.01&lt;=T_ini+ROUNDUP(Temps_fin_propu,0), 0.01, IF(K676&gt;0, 0.1, 0.0001))</f>
        <v>0.1</v>
      </c>
      <c r="B677" s="417" t="n">
        <f aca="false">B676+pas</f>
        <v>31.3000000000001</v>
      </c>
      <c r="C677" s="401"/>
      <c r="D677" s="418" t="n">
        <f aca="false">IF(AND(L676&lt;L_rampe,Poussee&lt;Poids*SIN(M676)),0,(-W676+Poussee)/m*COS(M676)-U676/m*SIN(M676))</f>
        <v>-0.885429045535731</v>
      </c>
      <c r="E677" s="419" t="n">
        <f aca="false">IF(AND(L676&lt;L_rampe,Poussee&lt;Poids*SIN(M676)),0,(-W676+Poussee)/m*SIN(M676)+U676/m*COS(M676)-Poids/m)</f>
        <v>-4.11391665880849</v>
      </c>
      <c r="F677" s="417" t="n">
        <f aca="false">SQRT(acc_x^2+acc_z^2)</f>
        <v>4.20812248755907</v>
      </c>
      <c r="G677" s="418" t="n">
        <f aca="false">G676+acc_x*pas</f>
        <v>16.7186661294068</v>
      </c>
      <c r="H677" s="419" t="n">
        <f aca="false">H676+acc_z*pas</f>
        <v>-108.534412785366</v>
      </c>
      <c r="I677" s="417" t="n">
        <f aca="false">SQRT(vit_x^2+vit_z^2)</f>
        <v>109.814537087813</v>
      </c>
      <c r="J677" s="418" t="n">
        <f aca="false">J676+0.5*(vit_x+G676)*pas*(K676&gt;=0)</f>
        <v>840.821556007924</v>
      </c>
      <c r="K677" s="419" t="n">
        <f aca="false">K676+0.5*(vit_z+H676)*pas</f>
        <v>575.645750296878</v>
      </c>
      <c r="L677" s="417" t="n">
        <f aca="false">SQRT(pos_x^2+pos_z^2)</f>
        <v>1018.99407205461</v>
      </c>
      <c r="M677" s="418" t="n">
        <f aca="false">IF(AND(L676&gt;L_rampe,G677&gt;0),ATAN2(G677,H677),$M$4)</f>
        <v>-1.41795741309831</v>
      </c>
      <c r="N677" s="417" t="n">
        <f aca="false">DEGREES(Beta)</f>
        <v>-81.2429752998216</v>
      </c>
      <c r="O677" s="401"/>
      <c r="P677" s="420" t="n">
        <f aca="false">MATCH(t-pas/2-T_ini,CdP_t)</f>
        <v>23</v>
      </c>
      <c r="Q677" s="417" t="n">
        <f aca="false">(INDEX(CdP,2,i_P+1)-INDEX(CdP,2,i_P+0))/(INDEX(CdP,1,i_P+1)-INDEX(CdP,1,i_P+0))*(t-pas/2-T_ini-INDEX(CdP,1,i_P+0))+INDEX(CdP,2,i_P+0)</f>
        <v>0</v>
      </c>
      <c r="R677" s="418" t="n">
        <f aca="false">Poussee/(g*ISP)</f>
        <v>0</v>
      </c>
      <c r="S677" s="419" t="n">
        <f aca="false">S676-Débit*pas</f>
        <v>7.37799999999998</v>
      </c>
      <c r="T677" s="417" t="n">
        <f aca="false">m*g</f>
        <v>72.3781799999998</v>
      </c>
      <c r="U677" s="421" t="n">
        <f aca="false">IF(pos_xz&lt;L_rampe,Poids*COS(Beta),0)</f>
        <v>0</v>
      </c>
      <c r="V677" s="418" t="n">
        <f aca="false">Rho_moyen*(20000-Alt_rampe-pos_z)/(20000+Alt_rampe+pos_z)</f>
        <v>1.15645624174605</v>
      </c>
      <c r="W677" s="417" t="n">
        <f aca="false">1/2*Rho*Sref*Cx*vit_xz^2</f>
        <v>42.8829434204391</v>
      </c>
      <c r="X677" s="401"/>
      <c r="Y677" s="422" t="str">
        <f aca="false">IF(AND(pos_z&lt;=0,K676&gt;0),"Impact balistique","") &amp; IF(AND(H678&lt;0,vit_z&gt;=0),"Apogée","") &amp; IF(AND(Poussee=0,Q676&gt;0),"Fin de propulsion","") &amp; IF(AND(L678&gt;L_rampe,pos_xz&lt;=L_rampe),"Sortie de rampe","")</f>
        <v/>
      </c>
      <c r="Z677" s="423" t="str">
        <f aca="false">IF(ABS(t-T_para)&lt;pas/2,"Para","")</f>
        <v/>
      </c>
      <c r="AA677" s="424" t="str">
        <f aca="false">IF(ABS(t-T_satellite)&lt;pas/2,"Satellite","")</f>
        <v/>
      </c>
      <c r="AB677" s="412"/>
      <c r="AC677" s="420" t="e">
        <f aca="false">IF(ABS(t-ROUND(t,0))&lt;0.001,t,NA())</f>
        <v>#N/A</v>
      </c>
      <c r="AD677" s="425" t="e">
        <f aca="false">IF(ABS(t-ROUND(t,0))&lt;0.001,pos_x,NA())</f>
        <v>#N/A</v>
      </c>
      <c r="AE677" s="426" t="e">
        <f aca="false">IF(t&lt;T_para, pos_z, NA())</f>
        <v>#N/A</v>
      </c>
      <c r="AF677" s="412"/>
      <c r="AG677" s="418" t="n">
        <f aca="false">IF(AND(L676&lt;L_rampe,Poussee&lt;Poids*SIN(M676)),0,(-W676+Poussee)/m-Poids*SIN(M676)/m)</f>
        <v>3.92909447785721</v>
      </c>
      <c r="AH677" s="417" t="n">
        <f aca="false">IF(AND(L676&lt;L_rampe,Poussee&lt;Poids*SIN(M676)), g*SIN(M676), (-W676+Poussee)/m)</f>
        <v>-5.76449043927369</v>
      </c>
    </row>
    <row r="678" customFormat="false" ht="12" hidden="false" customHeight="false" outlineLevel="0" collapsed="false">
      <c r="A678" s="416" t="n">
        <f aca="false">IF(B677+0.01&lt;=T_ini+ROUNDUP(Temps_fin_propu,0), 0.01, IF(K677&gt;0, 0.1, 0.0001))</f>
        <v>0.1</v>
      </c>
      <c r="B678" s="417" t="n">
        <f aca="false">B677+pas</f>
        <v>31.4000000000001</v>
      </c>
      <c r="C678" s="401"/>
      <c r="D678" s="418" t="n">
        <f aca="false">IF(AND(L677&lt;L_rampe,Poussee&lt;Poids*SIN(M677)),0,(-W677+Poussee)/m*COS(M677)-U677/m*SIN(M677))</f>
        <v>-0.88488681888504</v>
      </c>
      <c r="E678" s="419" t="n">
        <f aca="false">IF(AND(L677&lt;L_rampe,Poussee&lt;Poids*SIN(M677)),0,(-W677+Poussee)/m*SIN(M677)+U677/m*COS(M677)-Poids/m)</f>
        <v>-4.06548243347774</v>
      </c>
      <c r="F678" s="417" t="n">
        <f aca="false">SQRT(acc_x^2+acc_z^2)</f>
        <v>4.16066966955472</v>
      </c>
      <c r="G678" s="418" t="n">
        <f aca="false">G677+acc_x*pas</f>
        <v>16.6301774475183</v>
      </c>
      <c r="H678" s="419" t="n">
        <f aca="false">H677+acc_z*pas</f>
        <v>-108.940961028713</v>
      </c>
      <c r="I678" s="417" t="n">
        <f aca="false">SQRT(vit_x^2+vit_z^2)</f>
        <v>110.202975421699</v>
      </c>
      <c r="J678" s="418" t="n">
        <f aca="false">J677+0.5*(vit_x+G677)*pas*(K677&gt;=0)</f>
        <v>842.48899818677</v>
      </c>
      <c r="K678" s="419" t="n">
        <f aca="false">K677+0.5*(vit_z+H677)*pas</f>
        <v>564.771981606174</v>
      </c>
      <c r="L678" s="417" t="n">
        <f aca="false">SQRT(pos_x^2+pos_z^2)</f>
        <v>1014.27565448112</v>
      </c>
      <c r="M678" s="418" t="n">
        <f aca="false">IF(AND(L677&gt;L_rampe,G678&gt;0),ATAN2(G678,H678),$M$4)</f>
        <v>-1.419312657462</v>
      </c>
      <c r="N678" s="417" t="n">
        <f aca="false">DEGREES(Beta)</f>
        <v>-81.3206250820699</v>
      </c>
      <c r="O678" s="401"/>
      <c r="P678" s="420" t="n">
        <f aca="false">MATCH(t-pas/2-T_ini,CdP_t)</f>
        <v>23</v>
      </c>
      <c r="Q678" s="417" t="n">
        <f aca="false">(INDEX(CdP,2,i_P+1)-INDEX(CdP,2,i_P+0))/(INDEX(CdP,1,i_P+1)-INDEX(CdP,1,i_P+0))*(t-pas/2-T_ini-INDEX(CdP,1,i_P+0))+INDEX(CdP,2,i_P+0)</f>
        <v>0</v>
      </c>
      <c r="R678" s="418" t="n">
        <f aca="false">Poussee/(g*ISP)</f>
        <v>0</v>
      </c>
      <c r="S678" s="419" t="n">
        <f aca="false">S677-Débit*pas</f>
        <v>7.37799999999998</v>
      </c>
      <c r="T678" s="417" t="n">
        <f aca="false">m*g</f>
        <v>72.3781799999998</v>
      </c>
      <c r="U678" s="421" t="n">
        <f aca="false">IF(pos_xz&lt;L_rampe,Poids*COS(Beta),0)</f>
        <v>0</v>
      </c>
      <c r="V678" s="418" t="n">
        <f aca="false">Rho_moyen*(20000-Alt_rampe-pos_z)/(20000+Alt_rampe+pos_z)</f>
        <v>1.15771545358379</v>
      </c>
      <c r="W678" s="417" t="n">
        <f aca="false">1/2*Rho*Sref*Cx*vit_xz^2</f>
        <v>43.2338770732312</v>
      </c>
      <c r="X678" s="401"/>
      <c r="Y678" s="422" t="str">
        <f aca="false">IF(AND(pos_z&lt;=0,K677&gt;0),"Impact balistique","") &amp; IF(AND(H679&lt;0,vit_z&gt;=0),"Apogée","") &amp; IF(AND(Poussee=0,Q677&gt;0),"Fin de propulsion","") &amp; IF(AND(L679&gt;L_rampe,pos_xz&lt;=L_rampe),"Sortie de rampe","")</f>
        <v/>
      </c>
      <c r="Z678" s="423" t="str">
        <f aca="false">IF(ABS(t-T_para)&lt;pas/2,"Para","")</f>
        <v/>
      </c>
      <c r="AA678" s="424" t="str">
        <f aca="false">IF(ABS(t-T_satellite)&lt;pas/2,"Satellite","")</f>
        <v/>
      </c>
      <c r="AB678" s="412"/>
      <c r="AC678" s="420" t="e">
        <f aca="false">IF(ABS(t-ROUND(t,0))&lt;0.001,t,NA())</f>
        <v>#N/A</v>
      </c>
      <c r="AD678" s="425" t="e">
        <f aca="false">IF(ABS(t-ROUND(t,0))&lt;0.001,pos_x,NA())</f>
        <v>#N/A</v>
      </c>
      <c r="AE678" s="426" t="e">
        <f aca="false">IF(t&lt;T_para, pos_z, NA())</f>
        <v>#N/A</v>
      </c>
      <c r="AF678" s="412"/>
      <c r="AG678" s="418" t="n">
        <f aca="false">IF(AND(L677&lt;L_rampe,Poussee&lt;Poids*SIN(M677)),0,(-W677+Poussee)/m-Poids*SIN(M677)/m)</f>
        <v>3.88337129699379</v>
      </c>
      <c r="AH678" s="417" t="n">
        <f aca="false">IF(AND(L677&lt;L_rampe,Poussee&lt;Poids*SIN(M677)), g*SIN(M677), (-W677+Poussee)/m)</f>
        <v>-5.81227208192453</v>
      </c>
    </row>
    <row r="679" customFormat="false" ht="12" hidden="false" customHeight="false" outlineLevel="0" collapsed="false">
      <c r="A679" s="416" t="n">
        <f aca="false">IF(B678+0.01&lt;=T_ini+ROUNDUP(Temps_fin_propu,0), 0.01, IF(K678&gt;0, 0.1, 0.0001))</f>
        <v>0.1</v>
      </c>
      <c r="B679" s="417" t="n">
        <f aca="false">B678+pas</f>
        <v>31.5000000000001</v>
      </c>
      <c r="C679" s="401"/>
      <c r="D679" s="418" t="n">
        <f aca="false">IF(AND(L678&lt;L_rampe,Poussee&lt;Poids*SIN(M678)),0,(-W678+Poussee)/m*COS(M678)-U678/m*SIN(M678))</f>
        <v>-0.884278560044736</v>
      </c>
      <c r="E679" s="419" t="n">
        <f aca="false">IF(AND(L678&lt;L_rampe,Poussee&lt;Poids*SIN(M678)),0,(-W678+Poussee)/m*SIN(M678)+U678/m*COS(M678)-Poids/m)</f>
        <v>-4.01726829570082</v>
      </c>
      <c r="F679" s="417" t="n">
        <f aca="false">SQRT(acc_x^2+acc_z^2)</f>
        <v>4.11344054671971</v>
      </c>
      <c r="G679" s="418" t="n">
        <f aca="false">G678+acc_x*pas</f>
        <v>16.5417495915138</v>
      </c>
      <c r="H679" s="419" t="n">
        <f aca="false">H678+acc_z*pas</f>
        <v>-109.342687858284</v>
      </c>
      <c r="I679" s="417" t="n">
        <f aca="false">SQRT(vit_x^2+vit_z^2)</f>
        <v>110.586856667609</v>
      </c>
      <c r="J679" s="418" t="n">
        <f aca="false">J678+0.5*(vit_x+G678)*pas*(K678&gt;=0)</f>
        <v>844.147594538722</v>
      </c>
      <c r="K679" s="419" t="n">
        <f aca="false">K678+0.5*(vit_z+H678)*pas</f>
        <v>553.857799161824</v>
      </c>
      <c r="L679" s="417" t="n">
        <f aca="false">SQRT(pos_x^2+pos_z^2)</f>
        <v>1009.62548653344</v>
      </c>
      <c r="M679" s="418" t="n">
        <f aca="false">IF(AND(L678&gt;L_rampe,G679&gt;0),ATAN2(G679,H679),$M$4)</f>
        <v>-1.42065131407003</v>
      </c>
      <c r="N679" s="417" t="n">
        <f aca="false">DEGREES(Beta)</f>
        <v>-81.3973244559271</v>
      </c>
      <c r="O679" s="401"/>
      <c r="P679" s="420" t="n">
        <f aca="false">MATCH(t-pas/2-T_ini,CdP_t)</f>
        <v>23</v>
      </c>
      <c r="Q679" s="417" t="n">
        <f aca="false">(INDEX(CdP,2,i_P+1)-INDEX(CdP,2,i_P+0))/(INDEX(CdP,1,i_P+1)-INDEX(CdP,1,i_P+0))*(t-pas/2-T_ini-INDEX(CdP,1,i_P+0))+INDEX(CdP,2,i_P+0)</f>
        <v>0</v>
      </c>
      <c r="R679" s="418" t="n">
        <f aca="false">Poussee/(g*ISP)</f>
        <v>0</v>
      </c>
      <c r="S679" s="419" t="n">
        <f aca="false">S678-Débit*pas</f>
        <v>7.37799999999998</v>
      </c>
      <c r="T679" s="417" t="n">
        <f aca="false">m*g</f>
        <v>72.3781799999998</v>
      </c>
      <c r="U679" s="421" t="n">
        <f aca="false">IF(pos_xz&lt;L_rampe,Poids*COS(Beta),0)</f>
        <v>0</v>
      </c>
      <c r="V679" s="418" t="n">
        <f aca="false">Rho_moyen*(20000-Alt_rampe-pos_z)/(20000+Alt_rampe+pos_z)</f>
        <v>1.15898068522193</v>
      </c>
      <c r="W679" s="417" t="n">
        <f aca="false">1/2*Rho*Sref*Cx*vit_xz^2</f>
        <v>43.5831823328389</v>
      </c>
      <c r="X679" s="401"/>
      <c r="Y679" s="422" t="str">
        <f aca="false">IF(AND(pos_z&lt;=0,K678&gt;0),"Impact balistique","") &amp; IF(AND(H680&lt;0,vit_z&gt;=0),"Apogée","") &amp; IF(AND(Poussee=0,Q678&gt;0),"Fin de propulsion","") &amp; IF(AND(L680&gt;L_rampe,pos_xz&lt;=L_rampe),"Sortie de rampe","")</f>
        <v/>
      </c>
      <c r="Z679" s="423" t="str">
        <f aca="false">IF(ABS(t-T_para)&lt;pas/2,"Para","")</f>
        <v/>
      </c>
      <c r="AA679" s="424" t="str">
        <f aca="false">IF(ABS(t-T_satellite)&lt;pas/2,"Satellite","")</f>
        <v/>
      </c>
      <c r="AB679" s="412"/>
      <c r="AC679" s="420" t="e">
        <f aca="false">IF(ABS(t-ROUND(t,0))&lt;0.001,t,NA())</f>
        <v>#N/A</v>
      </c>
      <c r="AD679" s="425" t="e">
        <f aca="false">IF(ABS(t-ROUND(t,0))&lt;0.001,pos_x,NA())</f>
        <v>#N/A</v>
      </c>
      <c r="AE679" s="426" t="e">
        <f aca="false">IF(t&lt;T_para, pos_z, NA())</f>
        <v>#N/A</v>
      </c>
      <c r="AF679" s="412"/>
      <c r="AG679" s="418" t="n">
        <f aca="false">IF(AND(L678&lt;L_rampe,Poussee&lt;Poids*SIN(M678)),0,(-W678+Poussee)/m-Poids*SIN(M678)/m)</f>
        <v>3.8378216001777</v>
      </c>
      <c r="AH679" s="417" t="n">
        <f aca="false">IF(AND(L678&lt;L_rampe,Poussee&lt;Poids*SIN(M678)), g*SIN(M678), (-W678+Poussee)/m)</f>
        <v>-5.85983695760792</v>
      </c>
    </row>
    <row r="680" customFormat="false" ht="12" hidden="false" customHeight="false" outlineLevel="0" collapsed="false">
      <c r="A680" s="416" t="n">
        <f aca="false">IF(B679+0.01&lt;=T_ini+ROUNDUP(Temps_fin_propu,0), 0.01, IF(K679&gt;0, 0.1, 0.0001))</f>
        <v>0.1</v>
      </c>
      <c r="B680" s="417" t="n">
        <f aca="false">B679+pas</f>
        <v>31.6000000000001</v>
      </c>
      <c r="C680" s="401"/>
      <c r="D680" s="418" t="n">
        <f aca="false">IF(AND(L679&lt;L_rampe,Poussee&lt;Poids*SIN(M679)),0,(-W679+Poussee)/m*COS(M679)-U679/m*SIN(M679))</f>
        <v>-0.883605103620526</v>
      </c>
      <c r="E680" s="419" t="n">
        <f aca="false">IF(AND(L679&lt;L_rampe,Poussee&lt;Poids*SIN(M679)),0,(-W679+Poussee)/m*SIN(M679)+U679/m*COS(M679)-Poids/m)</f>
        <v>-3.96927822503548</v>
      </c>
      <c r="F680" s="417" t="n">
        <f aca="false">SQRT(acc_x^2+acc_z^2)</f>
        <v>4.06643918027616</v>
      </c>
      <c r="G680" s="418" t="n">
        <f aca="false">G679+acc_x*pas</f>
        <v>16.4533890811518</v>
      </c>
      <c r="H680" s="419" t="n">
        <f aca="false">H679+acc_z*pas</f>
        <v>-109.739615680787</v>
      </c>
      <c r="I680" s="417" t="n">
        <f aca="false">SQRT(vit_x^2+vit_z^2)</f>
        <v>110.966198736474</v>
      </c>
      <c r="J680" s="418" t="n">
        <f aca="false">J679+0.5*(vit_x+G679)*pas*(K679&gt;=0)</f>
        <v>845.797351472355</v>
      </c>
      <c r="K680" s="419" t="n">
        <f aca="false">K679+0.5*(vit_z+H679)*pas</f>
        <v>542.903683984871</v>
      </c>
      <c r="L680" s="417" t="n">
        <f aca="false">SQRT(pos_x^2+pos_z^2)</f>
        <v>1005.04605359257</v>
      </c>
      <c r="M680" s="418" t="n">
        <f aca="false">IF(AND(L679&gt;L_rampe,G680&gt;0),ATAN2(G680,H680),$M$4)</f>
        <v>-1.42197369431678</v>
      </c>
      <c r="N680" s="417" t="n">
        <f aca="false">DEGREES(Beta)</f>
        <v>-81.4730912629776</v>
      </c>
      <c r="O680" s="401"/>
      <c r="P680" s="420" t="n">
        <f aca="false">MATCH(t-pas/2-T_ini,CdP_t)</f>
        <v>23</v>
      </c>
      <c r="Q680" s="417" t="n">
        <f aca="false">(INDEX(CdP,2,i_P+1)-INDEX(CdP,2,i_P+0))/(INDEX(CdP,1,i_P+1)-INDEX(CdP,1,i_P+0))*(t-pas/2-T_ini-INDEX(CdP,1,i_P+0))+INDEX(CdP,2,i_P+0)</f>
        <v>0</v>
      </c>
      <c r="R680" s="418" t="n">
        <f aca="false">Poussee/(g*ISP)</f>
        <v>0</v>
      </c>
      <c r="S680" s="419" t="n">
        <f aca="false">S679-Débit*pas</f>
        <v>7.37799999999998</v>
      </c>
      <c r="T680" s="417" t="n">
        <f aca="false">m*g</f>
        <v>72.3781799999998</v>
      </c>
      <c r="U680" s="421" t="n">
        <f aca="false">IF(pos_xz&lt;L_rampe,Poids*COS(Beta),0)</f>
        <v>0</v>
      </c>
      <c r="V680" s="418" t="n">
        <f aca="false">Rho_moyen*(20000-Alt_rampe-pos_z)/(20000+Alt_rampe+pos_z)</f>
        <v>1.1602518978707</v>
      </c>
      <c r="W680" s="417" t="n">
        <f aca="false">1/2*Rho*Sref*Cx*vit_xz^2</f>
        <v>43.9308309293748</v>
      </c>
      <c r="X680" s="401"/>
      <c r="Y680" s="422" t="str">
        <f aca="false">IF(AND(pos_z&lt;=0,K679&gt;0),"Impact balistique","") &amp; IF(AND(H681&lt;0,vit_z&gt;=0),"Apogée","") &amp; IF(AND(Poussee=0,Q679&gt;0),"Fin de propulsion","") &amp; IF(AND(L681&gt;L_rampe,pos_xz&lt;=L_rampe),"Sortie de rampe","")</f>
        <v/>
      </c>
      <c r="Z680" s="423" t="str">
        <f aca="false">IF(ABS(t-T_para)&lt;pas/2,"Para","")</f>
        <v/>
      </c>
      <c r="AA680" s="424" t="str">
        <f aca="false">IF(ABS(t-T_satellite)&lt;pas/2,"Satellite","")</f>
        <v/>
      </c>
      <c r="AB680" s="412"/>
      <c r="AC680" s="420" t="e">
        <f aca="false">IF(ABS(t-ROUND(t,0))&lt;0.001,t,NA())</f>
        <v>#N/A</v>
      </c>
      <c r="AD680" s="425" t="e">
        <f aca="false">IF(ABS(t-ROUND(t,0))&lt;0.001,pos_x,NA())</f>
        <v>#N/A</v>
      </c>
      <c r="AE680" s="426" t="e">
        <f aca="false">IF(t&lt;T_para, pos_z, NA())</f>
        <v>#N/A</v>
      </c>
      <c r="AF680" s="412"/>
      <c r="AG680" s="418" t="n">
        <f aca="false">IF(AND(L679&lt;L_rampe,Poussee&lt;Poids*SIN(M679)),0,(-W679+Poussee)/m-Poids*SIN(M679)/m)</f>
        <v>3.79245046164425</v>
      </c>
      <c r="AH680" s="417" t="n">
        <f aca="false">IF(AND(L679&lt;L_rampe,Poussee&lt;Poids*SIN(M679)), g*SIN(M679), (-W679+Poussee)/m)</f>
        <v>-5.90718112399552</v>
      </c>
    </row>
    <row r="681" customFormat="false" ht="12" hidden="false" customHeight="false" outlineLevel="0" collapsed="false">
      <c r="A681" s="416" t="n">
        <f aca="false">IF(B680+0.01&lt;=T_ini+ROUNDUP(Temps_fin_propu,0), 0.01, IF(K680&gt;0, 0.1, 0.0001))</f>
        <v>0.1</v>
      </c>
      <c r="B681" s="417" t="n">
        <f aca="false">B680+pas</f>
        <v>31.7000000000001</v>
      </c>
      <c r="C681" s="401"/>
      <c r="D681" s="418" t="n">
        <f aca="false">IF(AND(L680&lt;L_rampe,Poussee&lt;Poids*SIN(M680)),0,(-W680+Poussee)/m*COS(M680)-U680/m*SIN(M680))</f>
        <v>-0.882867287987427</v>
      </c>
      <c r="E681" s="419" t="n">
        <f aca="false">IF(AND(L680&lt;L_rampe,Poussee&lt;Poids*SIN(M680)),0,(-W680+Poussee)/m*SIN(M680)+U680/m*COS(M680)-Poids/m)</f>
        <v>-3.92151608929819</v>
      </c>
      <c r="F681" s="417" t="n">
        <f aca="false">SQRT(acc_x^2+acc_z^2)</f>
        <v>4.01966952457822</v>
      </c>
      <c r="G681" s="418" t="n">
        <f aca="false">G680+acc_x*pas</f>
        <v>16.365102352353</v>
      </c>
      <c r="H681" s="419" t="n">
        <f aca="false">H680+acc_z*pas</f>
        <v>-110.131767289717</v>
      </c>
      <c r="I681" s="417" t="n">
        <f aca="false">SQRT(vit_x^2+vit_z^2)</f>
        <v>111.341020030173</v>
      </c>
      <c r="J681" s="418" t="n">
        <f aca="false">J680+0.5*(vit_x+G680)*pas*(K680&gt;=0)</f>
        <v>847.43827604403</v>
      </c>
      <c r="K681" s="419" t="n">
        <f aca="false">K680+0.5*(vit_z+H680)*pas</f>
        <v>531.910114836345</v>
      </c>
      <c r="L681" s="417" t="n">
        <f aca="false">SQRT(pos_x^2+pos_z^2)</f>
        <v>1000.53985526299</v>
      </c>
      <c r="M681" s="418" t="n">
        <f aca="false">IF(AND(L680&gt;L_rampe,G681&gt;0),ATAN2(G681,H681),$M$4)</f>
        <v>-1.42328010160304</v>
      </c>
      <c r="N681" s="417" t="n">
        <f aca="false">DEGREES(Beta)</f>
        <v>-81.5479428868053</v>
      </c>
      <c r="O681" s="401"/>
      <c r="P681" s="420" t="n">
        <f aca="false">MATCH(t-pas/2-T_ini,CdP_t)</f>
        <v>23</v>
      </c>
      <c r="Q681" s="417" t="n">
        <f aca="false">(INDEX(CdP,2,i_P+1)-INDEX(CdP,2,i_P+0))/(INDEX(CdP,1,i_P+1)-INDEX(CdP,1,i_P+0))*(t-pas/2-T_ini-INDEX(CdP,1,i_P+0))+INDEX(CdP,2,i_P+0)</f>
        <v>0</v>
      </c>
      <c r="R681" s="418" t="n">
        <f aca="false">Poussee/(g*ISP)</f>
        <v>0</v>
      </c>
      <c r="S681" s="419" t="n">
        <f aca="false">S680-Débit*pas</f>
        <v>7.37799999999998</v>
      </c>
      <c r="T681" s="417" t="n">
        <f aca="false">m*g</f>
        <v>72.3781799999998</v>
      </c>
      <c r="U681" s="421" t="n">
        <f aca="false">IF(pos_xz&lt;L_rampe,Poids*COS(Beta),0)</f>
        <v>0</v>
      </c>
      <c r="V681" s="418" t="n">
        <f aca="false">Rho_moyen*(20000-Alt_rampe-pos_z)/(20000+Alt_rampe+pos_z)</f>
        <v>1.16152905287135</v>
      </c>
      <c r="W681" s="417" t="n">
        <f aca="false">1/2*Rho*Sref*Cx*vit_xz^2</f>
        <v>44.2767954046243</v>
      </c>
      <c r="X681" s="401"/>
      <c r="Y681" s="422" t="str">
        <f aca="false">IF(AND(pos_z&lt;=0,K680&gt;0),"Impact balistique","") &amp; IF(AND(H682&lt;0,vit_z&gt;=0),"Apogée","") &amp; IF(AND(Poussee=0,Q680&gt;0),"Fin de propulsion","") &amp; IF(AND(L682&gt;L_rampe,pos_xz&lt;=L_rampe),"Sortie de rampe","")</f>
        <v/>
      </c>
      <c r="Z681" s="423" t="str">
        <f aca="false">IF(ABS(t-T_para)&lt;pas/2,"Para","")</f>
        <v/>
      </c>
      <c r="AA681" s="424" t="str">
        <f aca="false">IF(ABS(t-T_satellite)&lt;pas/2,"Satellite","")</f>
        <v/>
      </c>
      <c r="AB681" s="412"/>
      <c r="AC681" s="420" t="e">
        <f aca="false">IF(ABS(t-ROUND(t,0))&lt;0.001,t,NA())</f>
        <v>#N/A</v>
      </c>
      <c r="AD681" s="425" t="e">
        <f aca="false">IF(ABS(t-ROUND(t,0))&lt;0.001,pos_x,NA())</f>
        <v>#N/A</v>
      </c>
      <c r="AE681" s="426" t="e">
        <f aca="false">IF(t&lt;T_para, pos_z, NA())</f>
        <v>#N/A</v>
      </c>
      <c r="AF681" s="412"/>
      <c r="AG681" s="418" t="n">
        <f aca="false">IF(AND(L680&lt;L_rampe,Poussee&lt;Poids*SIN(M680)),0,(-W680+Poussee)/m-Poids*SIN(M680)/m)</f>
        <v>3.74726280853172</v>
      </c>
      <c r="AH681" s="417" t="n">
        <f aca="false">IF(AND(L680&lt;L_rampe,Poussee&lt;Poids*SIN(M680)), g*SIN(M680), (-W680+Poussee)/m)</f>
        <v>-5.95430074944089</v>
      </c>
    </row>
    <row r="682" customFormat="false" ht="12" hidden="false" customHeight="false" outlineLevel="0" collapsed="false">
      <c r="A682" s="416" t="n">
        <f aca="false">IF(B681+0.01&lt;=T_ini+ROUNDUP(Temps_fin_propu,0), 0.01, IF(K681&gt;0, 0.1, 0.0001))</f>
        <v>0.1</v>
      </c>
      <c r="B682" s="417" t="n">
        <f aca="false">B681+pas</f>
        <v>31.8000000000001</v>
      </c>
      <c r="C682" s="401"/>
      <c r="D682" s="418" t="n">
        <f aca="false">IF(AND(L681&lt;L_rampe,Poussee&lt;Poids*SIN(M681)),0,(-W681+Poussee)/m*COS(M681)-U681/m*SIN(M681))</f>
        <v>-0.882065954914685</v>
      </c>
      <c r="E682" s="419" t="n">
        <f aca="false">IF(AND(L681&lt;L_rampe,Poussee&lt;Poids*SIN(M681)),0,(-W681+Poussee)/m*SIN(M681)+U681/m*COS(M681)-Poids/m)</f>
        <v>-3.87398564523012</v>
      </c>
      <c r="F682" s="417" t="n">
        <f aca="false">SQRT(acc_x^2+acc_z^2)</f>
        <v>3.97313542787916</v>
      </c>
      <c r="G682" s="418" t="n">
        <f aca="false">G681+acc_x*pas</f>
        <v>16.2768957568616</v>
      </c>
      <c r="H682" s="419" t="n">
        <f aca="false">H681+acc_z*pas</f>
        <v>-110.51916585424</v>
      </c>
      <c r="I682" s="417" t="n">
        <f aca="false">SQRT(vit_x^2+vit_z^2)</f>
        <v>111.7113394271</v>
      </c>
      <c r="J682" s="418" t="n">
        <f aca="false">J681+0.5*(vit_x+G681)*pas*(K681&gt;=0)</f>
        <v>849.070375949491</v>
      </c>
      <c r="K682" s="419" t="n">
        <f aca="false">K681+0.5*(vit_z+H681)*pas</f>
        <v>520.877568179148</v>
      </c>
      <c r="L682" s="417" t="n">
        <f aca="false">SQRT(pos_x^2+pos_z^2)</f>
        <v>996.109403804237</v>
      </c>
      <c r="M682" s="418" t="n">
        <f aca="false">IF(AND(L681&gt;L_rampe,G682&gt;0),ATAN2(G682,H682),$M$4)</f>
        <v>-1.4245708315874</v>
      </c>
      <c r="N682" s="417" t="n">
        <f aca="false">DEGREES(Beta)</f>
        <v>-81.6218962673997</v>
      </c>
      <c r="O682" s="401"/>
      <c r="P682" s="420" t="n">
        <f aca="false">MATCH(t-pas/2-T_ini,CdP_t)</f>
        <v>23</v>
      </c>
      <c r="Q682" s="417" t="n">
        <f aca="false">(INDEX(CdP,2,i_P+1)-INDEX(CdP,2,i_P+0))/(INDEX(CdP,1,i_P+1)-INDEX(CdP,1,i_P+0))*(t-pas/2-T_ini-INDEX(CdP,1,i_P+0))+INDEX(CdP,2,i_P+0)</f>
        <v>0</v>
      </c>
      <c r="R682" s="418" t="n">
        <f aca="false">Poussee/(g*ISP)</f>
        <v>0</v>
      </c>
      <c r="S682" s="419" t="n">
        <f aca="false">S681-Débit*pas</f>
        <v>7.37799999999998</v>
      </c>
      <c r="T682" s="417" t="n">
        <f aca="false">m*g</f>
        <v>72.3781799999998</v>
      </c>
      <c r="U682" s="421" t="n">
        <f aca="false">IF(pos_xz&lt;L_rampe,Poids*COS(Beta),0)</f>
        <v>0</v>
      </c>
      <c r="V682" s="418" t="n">
        <f aca="false">Rho_moyen*(20000-Alt_rampe-pos_z)/(20000+Alt_rampe+pos_z)</f>
        <v>1.16281211169946</v>
      </c>
      <c r="W682" s="417" t="n">
        <f aca="false">1/2*Rho*Sref*Cx*vit_xz^2</f>
        <v>44.6210491068378</v>
      </c>
      <c r="X682" s="401"/>
      <c r="Y682" s="422" t="str">
        <f aca="false">IF(AND(pos_z&lt;=0,K681&gt;0),"Impact balistique","") &amp; IF(AND(H683&lt;0,vit_z&gt;=0),"Apogée","") &amp; IF(AND(Poussee=0,Q681&gt;0),"Fin de propulsion","") &amp; IF(AND(L683&gt;L_rampe,pos_xz&lt;=L_rampe),"Sortie de rampe","")</f>
        <v/>
      </c>
      <c r="Z682" s="423" t="str">
        <f aca="false">IF(ABS(t-T_para)&lt;pas/2,"Para","")</f>
        <v/>
      </c>
      <c r="AA682" s="424" t="str">
        <f aca="false">IF(ABS(t-T_satellite)&lt;pas/2,"Satellite","")</f>
        <v/>
      </c>
      <c r="AB682" s="412"/>
      <c r="AC682" s="420" t="e">
        <f aca="false">IF(ABS(t-ROUND(t,0))&lt;0.001,t,NA())</f>
        <v>#N/A</v>
      </c>
      <c r="AD682" s="425" t="e">
        <f aca="false">IF(ABS(t-ROUND(t,0))&lt;0.001,pos_x,NA())</f>
        <v>#N/A</v>
      </c>
      <c r="AE682" s="426" t="e">
        <f aca="false">IF(t&lt;T_para, pos_z, NA())</f>
        <v>#N/A</v>
      </c>
      <c r="AF682" s="412"/>
      <c r="AG682" s="418" t="n">
        <f aca="false">IF(AND(L681&lt;L_rampe,Poussee&lt;Poids*SIN(M681)),0,(-W681+Poussee)/m-Poids*SIN(M681)/m)</f>
        <v>3.70226342293949</v>
      </c>
      <c r="AH682" s="417" t="n">
        <f aca="false">IF(AND(L681&lt;L_rampe,Poussee&lt;Poids*SIN(M681)), g*SIN(M681), (-W681+Poussee)/m)</f>
        <v>-6.00119211231016</v>
      </c>
    </row>
    <row r="683" customFormat="false" ht="12" hidden="false" customHeight="false" outlineLevel="0" collapsed="false">
      <c r="A683" s="416" t="n">
        <f aca="false">IF(B682+0.01&lt;=T_ini+ROUNDUP(Temps_fin_propu,0), 0.01, IF(K682&gt;0, 0.1, 0.0001))</f>
        <v>0.1</v>
      </c>
      <c r="B683" s="417" t="n">
        <f aca="false">B682+pas</f>
        <v>31.9000000000001</v>
      </c>
      <c r="C683" s="401"/>
      <c r="D683" s="418" t="n">
        <f aca="false">IF(AND(L682&lt;L_rampe,Poussee&lt;Poids*SIN(M682)),0,(-W682+Poussee)/m*COS(M682)-U682/m*SIN(M682))</f>
        <v>-0.881201949197861</v>
      </c>
      <c r="E683" s="419" t="n">
        <f aca="false">IF(AND(L682&lt;L_rampe,Poussee&lt;Poids*SIN(M682)),0,(-W682+Poussee)/m*SIN(M682)+U682/m*COS(M682)-Poids/m)</f>
        <v>-3.82669053920045</v>
      </c>
      <c r="F683" s="417" t="n">
        <f aca="false">SQRT(acc_x^2+acc_z^2)</f>
        <v>3.92684063313961</v>
      </c>
      <c r="G683" s="418" t="n">
        <f aca="false">G682+acc_x*pas</f>
        <v>16.1887755619418</v>
      </c>
      <c r="H683" s="419" t="n">
        <f aca="false">H682+acc_z*pas</f>
        <v>-110.90183490816</v>
      </c>
      <c r="I683" s="417" t="n">
        <f aca="false">SQRT(vit_x^2+vit_z^2)</f>
        <v>112.077176267926</v>
      </c>
      <c r="J683" s="418" t="n">
        <f aca="false">J682+0.5*(vit_x+G682)*pas*(K682&gt;=0)</f>
        <v>850.693659515431</v>
      </c>
      <c r="K683" s="419" t="n">
        <f aca="false">K682+0.5*(vit_z+H682)*pas</f>
        <v>509.806518141028</v>
      </c>
      <c r="L683" s="417" t="n">
        <f aca="false">SQRT(pos_x^2+pos_z^2)</f>
        <v>991.757222448536</v>
      </c>
      <c r="M683" s="418" t="n">
        <f aca="false">IF(AND(L682&gt;L_rampe,G683&gt;0),ATAN2(G683,H683),$M$4)</f>
        <v>-1.42584617242841</v>
      </c>
      <c r="N683" s="417" t="n">
        <f aca="false">DEGREES(Beta)</f>
        <v>-81.6949679150308</v>
      </c>
      <c r="O683" s="401"/>
      <c r="P683" s="420" t="n">
        <f aca="false">MATCH(t-pas/2-T_ini,CdP_t)</f>
        <v>23</v>
      </c>
      <c r="Q683" s="417" t="n">
        <f aca="false">(INDEX(CdP,2,i_P+1)-INDEX(CdP,2,i_P+0))/(INDEX(CdP,1,i_P+1)-INDEX(CdP,1,i_P+0))*(t-pas/2-T_ini-INDEX(CdP,1,i_P+0))+INDEX(CdP,2,i_P+0)</f>
        <v>0</v>
      </c>
      <c r="R683" s="418" t="n">
        <f aca="false">Poussee/(g*ISP)</f>
        <v>0</v>
      </c>
      <c r="S683" s="419" t="n">
        <f aca="false">S682-Débit*pas</f>
        <v>7.37799999999998</v>
      </c>
      <c r="T683" s="417" t="n">
        <f aca="false">m*g</f>
        <v>72.3781799999998</v>
      </c>
      <c r="U683" s="421" t="n">
        <f aca="false">IF(pos_xz&lt;L_rampe,Poids*COS(Beta),0)</f>
        <v>0</v>
      </c>
      <c r="V683" s="418" t="n">
        <f aca="false">Rho_moyen*(20000-Alt_rampe-pos_z)/(20000+Alt_rampe+pos_z)</f>
        <v>1.16410103596829</v>
      </c>
      <c r="W683" s="417" t="n">
        <f aca="false">1/2*Rho*Sref*Cx*vit_xz^2</f>
        <v>44.963566185263</v>
      </c>
      <c r="X683" s="401"/>
      <c r="Y683" s="422" t="str">
        <f aca="false">IF(AND(pos_z&lt;=0,K682&gt;0),"Impact balistique","") &amp; IF(AND(H684&lt;0,vit_z&gt;=0),"Apogée","") &amp; IF(AND(Poussee=0,Q682&gt;0),"Fin de propulsion","") &amp; IF(AND(L684&gt;L_rampe,pos_xz&lt;=L_rampe),"Sortie de rampe","")</f>
        <v/>
      </c>
      <c r="Z683" s="423" t="str">
        <f aca="false">IF(ABS(t-T_para)&lt;pas/2,"Para","")</f>
        <v/>
      </c>
      <c r="AA683" s="424" t="str">
        <f aca="false">IF(ABS(t-T_satellite)&lt;pas/2,"Satellite","")</f>
        <v/>
      </c>
      <c r="AB683" s="412"/>
      <c r="AC683" s="420" t="e">
        <f aca="false">IF(ABS(t-ROUND(t,0))&lt;0.001,t,NA())</f>
        <v>#N/A</v>
      </c>
      <c r="AD683" s="425" t="e">
        <f aca="false">IF(ABS(t-ROUND(t,0))&lt;0.001,pos_x,NA())</f>
        <v>#N/A</v>
      </c>
      <c r="AE683" s="426" t="e">
        <f aca="false">IF(t&lt;T_para, pos_z, NA())</f>
        <v>#N/A</v>
      </c>
      <c r="AF683" s="412"/>
      <c r="AG683" s="418" t="n">
        <f aca="false">IF(AND(L682&lt;L_rampe,Poussee&lt;Poids*SIN(M682)),0,(-W682+Poussee)/m-Poids*SIN(M682)/m)</f>
        <v>3.65745694396169</v>
      </c>
      <c r="AH683" s="417" t="n">
        <f aca="false">IF(AND(L682&lt;L_rampe,Poussee&lt;Poids*SIN(M682)), g*SIN(M682), (-W682+Poussee)/m)</f>
        <v>-6.04785160027621</v>
      </c>
    </row>
    <row r="684" customFormat="false" ht="12" hidden="false" customHeight="false" outlineLevel="0" collapsed="false">
      <c r="A684" s="416" t="n">
        <f aca="false">IF(B683+0.01&lt;=T_ini+ROUNDUP(Temps_fin_propu,0), 0.01, IF(K683&gt;0, 0.1, 0.0001))</f>
        <v>0.1</v>
      </c>
      <c r="B684" s="417" t="n">
        <f aca="false">B683+pas</f>
        <v>32.0000000000001</v>
      </c>
      <c r="C684" s="401"/>
      <c r="D684" s="418" t="n">
        <f aca="false">IF(AND(L683&lt;L_rampe,Poussee&lt;Poids*SIN(M683)),0,(-W683+Poussee)/m*COS(M683)-U683/m*SIN(M683))</f>
        <v>-0.880276118298125</v>
      </c>
      <c r="E684" s="419" t="n">
        <f aca="false">IF(AND(L683&lt;L_rampe,Poussee&lt;Poids*SIN(M683)),0,(-W683+Poussee)/m*SIN(M683)+U683/m*COS(M683)-Poids/m)</f>
        <v>-3.77963430794609</v>
      </c>
      <c r="F684" s="417" t="n">
        <f aca="false">SQRT(acc_x^2+acc_z^2)</f>
        <v>3.8807887788759</v>
      </c>
      <c r="G684" s="418" t="n">
        <f aca="false">G683+acc_x*pas</f>
        <v>16.100747950112</v>
      </c>
      <c r="H684" s="419" t="n">
        <f aca="false">H683+acc_z*pas</f>
        <v>-111.279798338955</v>
      </c>
      <c r="I684" s="417" t="n">
        <f aca="false">SQRT(vit_x^2+vit_z^2)</f>
        <v>112.43855034156</v>
      </c>
      <c r="J684" s="418" t="n">
        <f aca="false">J683+0.5*(vit_x+G683)*pas*(K683&gt;=0)</f>
        <v>852.308135691034</v>
      </c>
      <c r="K684" s="419" t="n">
        <f aca="false">K683+0.5*(vit_z+H683)*pas</f>
        <v>498.697436478672</v>
      </c>
      <c r="L684" s="417" t="n">
        <f aca="false">SQRT(pos_x^2+pos_z^2)</f>
        <v>987.485843602593</v>
      </c>
      <c r="M684" s="418" t="n">
        <f aca="false">IF(AND(L683&gt;L_rampe,G684&gt;0),ATAN2(G684,H684),$M$4)</f>
        <v>-1.42710640501792</v>
      </c>
      <c r="N684" s="417" t="n">
        <f aca="false">DEGREES(Beta)</f>
        <v>-81.7671739236142</v>
      </c>
      <c r="O684" s="401"/>
      <c r="P684" s="420" t="n">
        <f aca="false">MATCH(t-pas/2-T_ini,CdP_t)</f>
        <v>23</v>
      </c>
      <c r="Q684" s="417" t="n">
        <f aca="false">(INDEX(CdP,2,i_P+1)-INDEX(CdP,2,i_P+0))/(INDEX(CdP,1,i_P+1)-INDEX(CdP,1,i_P+0))*(t-pas/2-T_ini-INDEX(CdP,1,i_P+0))+INDEX(CdP,2,i_P+0)</f>
        <v>0</v>
      </c>
      <c r="R684" s="418" t="n">
        <f aca="false">Poussee/(g*ISP)</f>
        <v>0</v>
      </c>
      <c r="S684" s="419" t="n">
        <f aca="false">S683-Débit*pas</f>
        <v>7.37799999999998</v>
      </c>
      <c r="T684" s="417" t="n">
        <f aca="false">m*g</f>
        <v>72.3781799999998</v>
      </c>
      <c r="U684" s="421" t="n">
        <f aca="false">IF(pos_xz&lt;L_rampe,Poids*COS(Beta),0)</f>
        <v>0</v>
      </c>
      <c r="V684" s="418" t="n">
        <f aca="false">Rho_moyen*(20000-Alt_rampe-pos_z)/(20000+Alt_rampe+pos_z)</f>
        <v>1.16539578743191</v>
      </c>
      <c r="W684" s="417" t="n">
        <f aca="false">1/2*Rho*Sref*Cx*vit_xz^2</f>
        <v>45.3043215844256</v>
      </c>
      <c r="X684" s="401"/>
      <c r="Y684" s="422" t="str">
        <f aca="false">IF(AND(pos_z&lt;=0,K683&gt;0),"Impact balistique","") &amp; IF(AND(H685&lt;0,vit_z&gt;=0),"Apogée","") &amp; IF(AND(Poussee=0,Q683&gt;0),"Fin de propulsion","") &amp; IF(AND(L685&gt;L_rampe,pos_xz&lt;=L_rampe),"Sortie de rampe","")</f>
        <v/>
      </c>
      <c r="Z684" s="423" t="str">
        <f aca="false">IF(ABS(t-T_para)&lt;pas/2,"Para","")</f>
        <v/>
      </c>
      <c r="AA684" s="424" t="str">
        <f aca="false">IF(ABS(t-T_satellite)&lt;pas/2,"Satellite","")</f>
        <v/>
      </c>
      <c r="AB684" s="412"/>
      <c r="AC684" s="420" t="n">
        <f aca="false">IF(ABS(t-ROUND(t,0))&lt;0.001,t,NA())</f>
        <v>32.0000000000001</v>
      </c>
      <c r="AD684" s="425" t="n">
        <f aca="false">IF(ABS(t-ROUND(t,0))&lt;0.001,pos_x,NA())</f>
        <v>852.308135691034</v>
      </c>
      <c r="AE684" s="426" t="e">
        <f aca="false">IF(t&lt;T_para, pos_z, NA())</f>
        <v>#N/A</v>
      </c>
      <c r="AF684" s="412"/>
      <c r="AG684" s="418" t="n">
        <f aca="false">IF(AND(L683&lt;L_rampe,Poussee&lt;Poids*SIN(M683)),0,(-W683+Poussee)/m-Poids*SIN(M683)/m)</f>
        <v>3.61284786969841</v>
      </c>
      <c r="AH684" s="417" t="n">
        <f aca="false">IF(AND(L683&lt;L_rampe,Poussee&lt;Poids*SIN(M683)), g*SIN(M683), (-W683+Poussee)/m)</f>
        <v>-6.09427570957755</v>
      </c>
    </row>
    <row r="685" customFormat="false" ht="12" hidden="false" customHeight="false" outlineLevel="0" collapsed="false">
      <c r="A685" s="416" t="n">
        <f aca="false">IF(B684+0.01&lt;=T_ini+ROUNDUP(Temps_fin_propu,0), 0.01, IF(K684&gt;0, 0.1, 0.0001))</f>
        <v>0.1</v>
      </c>
      <c r="B685" s="417" t="n">
        <f aca="false">B684+pas</f>
        <v>32.1000000000001</v>
      </c>
      <c r="C685" s="401"/>
      <c r="D685" s="418" t="n">
        <f aca="false">IF(AND(L684&lt;L_rampe,Poussee&lt;Poids*SIN(M684)),0,(-W684+Poussee)/m*COS(M684)-U684/m*SIN(M684))</f>
        <v>-0.879289311988726</v>
      </c>
      <c r="E685" s="419" t="n">
        <f aca="false">IF(AND(L684&lt;L_rampe,Poussee&lt;Poids*SIN(M684)),0,(-W684+Poussee)/m*SIN(M684)+U684/m*COS(M684)-Poids/m)</f>
        <v>-3.73282037934622</v>
      </c>
      <c r="F685" s="417" t="n">
        <f aca="false">SQRT(acc_x^2+acc_z^2)</f>
        <v>3.83498340004753</v>
      </c>
      <c r="G685" s="418" t="n">
        <f aca="false">G684+acc_x*pas</f>
        <v>16.0128190189131</v>
      </c>
      <c r="H685" s="419" t="n">
        <f aca="false">H684+acc_z*pas</f>
        <v>-111.653080376889</v>
      </c>
      <c r="I685" s="417" t="n">
        <f aca="false">SQRT(vit_x^2+vit_z^2)</f>
        <v>112.795481871308</v>
      </c>
      <c r="J685" s="418" t="n">
        <f aca="false">J684+0.5*(vit_x+G684)*pas*(K684&gt;=0)</f>
        <v>853.913814039485</v>
      </c>
      <c r="K685" s="419" t="n">
        <f aca="false">K684+0.5*(vit_z+H684)*pas</f>
        <v>487.55079254288</v>
      </c>
      <c r="L685" s="417" t="n">
        <f aca="false">SQRT(pos_x^2+pos_z^2)</f>
        <v>983.29780693168</v>
      </c>
      <c r="M685" s="418" t="n">
        <f aca="false">IF(AND(L684&gt;L_rampe,G685&gt;0),ATAN2(G685,H685),$M$4)</f>
        <v>-1.42835180320573</v>
      </c>
      <c r="N685" s="417" t="n">
        <f aca="false">DEGREES(Beta)</f>
        <v>-81.8385299835892</v>
      </c>
      <c r="O685" s="401"/>
      <c r="P685" s="420" t="n">
        <f aca="false">MATCH(t-pas/2-T_ini,CdP_t)</f>
        <v>23</v>
      </c>
      <c r="Q685" s="417" t="n">
        <f aca="false">(INDEX(CdP,2,i_P+1)-INDEX(CdP,2,i_P+0))/(INDEX(CdP,1,i_P+1)-INDEX(CdP,1,i_P+0))*(t-pas/2-T_ini-INDEX(CdP,1,i_P+0))+INDEX(CdP,2,i_P+0)</f>
        <v>0</v>
      </c>
      <c r="R685" s="418" t="n">
        <f aca="false">Poussee/(g*ISP)</f>
        <v>0</v>
      </c>
      <c r="S685" s="419" t="n">
        <f aca="false">S684-Débit*pas</f>
        <v>7.37799999999998</v>
      </c>
      <c r="T685" s="417" t="n">
        <f aca="false">m*g</f>
        <v>72.3781799999998</v>
      </c>
      <c r="U685" s="421" t="n">
        <f aca="false">IF(pos_xz&lt;L_rampe,Poids*COS(Beta),0)</f>
        <v>0</v>
      </c>
      <c r="V685" s="418" t="n">
        <f aca="false">Rho_moyen*(20000-Alt_rampe-pos_z)/(20000+Alt_rampe+pos_z)</f>
        <v>1.16669632798837</v>
      </c>
      <c r="W685" s="417" t="n">
        <f aca="false">1/2*Rho*Sref*Cx*vit_xz^2</f>
        <v>45.6432910381676</v>
      </c>
      <c r="X685" s="401"/>
      <c r="Y685" s="422" t="str">
        <f aca="false">IF(AND(pos_z&lt;=0,K684&gt;0),"Impact balistique","") &amp; IF(AND(H686&lt;0,vit_z&gt;=0),"Apogée","") &amp; IF(AND(Poussee=0,Q684&gt;0),"Fin de propulsion","") &amp; IF(AND(L686&gt;L_rampe,pos_xz&lt;=L_rampe),"Sortie de rampe","")</f>
        <v/>
      </c>
      <c r="Z685" s="423" t="str">
        <f aca="false">IF(ABS(t-T_para)&lt;pas/2,"Para","")</f>
        <v/>
      </c>
      <c r="AA685" s="424" t="str">
        <f aca="false">IF(ABS(t-T_satellite)&lt;pas/2,"Satellite","")</f>
        <v/>
      </c>
      <c r="AB685" s="412"/>
      <c r="AC685" s="420" t="e">
        <f aca="false">IF(ABS(t-ROUND(t,0))&lt;0.001,t,NA())</f>
        <v>#N/A</v>
      </c>
      <c r="AD685" s="425" t="e">
        <f aca="false">IF(ABS(t-ROUND(t,0))&lt;0.001,pos_x,NA())</f>
        <v>#N/A</v>
      </c>
      <c r="AE685" s="426" t="e">
        <f aca="false">IF(t&lt;T_para, pos_z, NA())</f>
        <v>#N/A</v>
      </c>
      <c r="AF685" s="412"/>
      <c r="AG685" s="418" t="n">
        <f aca="false">IF(AND(L684&lt;L_rampe,Poussee&lt;Poids*SIN(M684)),0,(-W684+Poussee)/m-Poids*SIN(M684)/m)</f>
        <v>3.56844055924587</v>
      </c>
      <c r="AH685" s="417" t="n">
        <f aca="false">IF(AND(L684&lt;L_rampe,Poussee&lt;Poids*SIN(M684)), g*SIN(M684), (-W684+Poussee)/m)</f>
        <v>-6.14046104424311</v>
      </c>
    </row>
    <row r="686" customFormat="false" ht="12" hidden="false" customHeight="false" outlineLevel="0" collapsed="false">
      <c r="A686" s="416" t="n">
        <f aca="false">IF(B685+0.01&lt;=T_ini+ROUNDUP(Temps_fin_propu,0), 0.01, IF(K685&gt;0, 0.1, 0.0001))</f>
        <v>0.1</v>
      </c>
      <c r="B686" s="417" t="n">
        <f aca="false">B685+pas</f>
        <v>32.2000000000001</v>
      </c>
      <c r="C686" s="401"/>
      <c r="D686" s="418" t="n">
        <f aca="false">IF(AND(L685&lt;L_rampe,Poussee&lt;Poids*SIN(M685)),0,(-W685+Poussee)/m*COS(M685)-U685/m*SIN(M685))</f>
        <v>-0.87824238200865</v>
      </c>
      <c r="E686" s="419" t="n">
        <f aca="false">IF(AND(L685&lt;L_rampe,Poussee&lt;Poids*SIN(M685)),0,(-W685+Poussee)/m*SIN(M685)+U685/m*COS(M685)-Poids/m)</f>
        <v>-3.68625207323062</v>
      </c>
      <c r="F686" s="417" t="n">
        <f aca="false">SQRT(acc_x^2+acc_z^2)</f>
        <v>3.78942792898259</v>
      </c>
      <c r="G686" s="418" t="n">
        <f aca="false">G685+acc_x*pas</f>
        <v>15.9249947807122</v>
      </c>
      <c r="H686" s="419" t="n">
        <f aca="false">H685+acc_z*pas</f>
        <v>-112.021705584212</v>
      </c>
      <c r="I686" s="417" t="n">
        <f aca="false">SQRT(vit_x^2+vit_z^2)</f>
        <v>113.147991501227</v>
      </c>
      <c r="J686" s="418" t="n">
        <f aca="false">J685+0.5*(vit_x+G685)*pas*(K685&gt;=0)</f>
        <v>855.510704729466</v>
      </c>
      <c r="K686" s="419" t="n">
        <f aca="false">K685+0.5*(vit_z+H685)*pas</f>
        <v>476.367053244825</v>
      </c>
      <c r="L686" s="417" t="n">
        <f aca="false">SQRT(pos_x^2+pos_z^2)</f>
        <v>979.195657324861</v>
      </c>
      <c r="M686" s="418" t="n">
        <f aca="false">IF(AND(L685&gt;L_rampe,G686&gt;0),ATAN2(G686,H686),$M$4)</f>
        <v>-1.4295826340163</v>
      </c>
      <c r="N686" s="417" t="n">
        <f aca="false">DEGREES(Beta)</f>
        <v>-81.9090513943291</v>
      </c>
      <c r="O686" s="401"/>
      <c r="P686" s="420" t="n">
        <f aca="false">MATCH(t-pas/2-T_ini,CdP_t)</f>
        <v>23</v>
      </c>
      <c r="Q686" s="417" t="n">
        <f aca="false">(INDEX(CdP,2,i_P+1)-INDEX(CdP,2,i_P+0))/(INDEX(CdP,1,i_P+1)-INDEX(CdP,1,i_P+0))*(t-pas/2-T_ini-INDEX(CdP,1,i_P+0))+INDEX(CdP,2,i_P+0)</f>
        <v>0</v>
      </c>
      <c r="R686" s="418" t="n">
        <f aca="false">Poussee/(g*ISP)</f>
        <v>0</v>
      </c>
      <c r="S686" s="419" t="n">
        <f aca="false">S685-Débit*pas</f>
        <v>7.37799999999998</v>
      </c>
      <c r="T686" s="417" t="n">
        <f aca="false">m*g</f>
        <v>72.3781799999998</v>
      </c>
      <c r="U686" s="421" t="n">
        <f aca="false">IF(pos_xz&lt;L_rampe,Poids*COS(Beta),0)</f>
        <v>0</v>
      </c>
      <c r="V686" s="418" t="n">
        <f aca="false">Rho_moyen*(20000-Alt_rampe-pos_z)/(20000+Alt_rampe+pos_z)</f>
        <v>1.16800261968273</v>
      </c>
      <c r="W686" s="417" t="n">
        <f aca="false">1/2*Rho*Sref*Cx*vit_xz^2</f>
        <v>45.9804510634533</v>
      </c>
      <c r="X686" s="401"/>
      <c r="Y686" s="422" t="str">
        <f aca="false">IF(AND(pos_z&lt;=0,K685&gt;0),"Impact balistique","") &amp; IF(AND(H687&lt;0,vit_z&gt;=0),"Apogée","") &amp; IF(AND(Poussee=0,Q685&gt;0),"Fin de propulsion","") &amp; IF(AND(L687&gt;L_rampe,pos_xz&lt;=L_rampe),"Sortie de rampe","")</f>
        <v/>
      </c>
      <c r="Z686" s="423" t="str">
        <f aca="false">IF(ABS(t-T_para)&lt;pas/2,"Para","")</f>
        <v/>
      </c>
      <c r="AA686" s="424" t="str">
        <f aca="false">IF(ABS(t-T_satellite)&lt;pas/2,"Satellite","")</f>
        <v/>
      </c>
      <c r="AB686" s="412"/>
      <c r="AC686" s="420" t="e">
        <f aca="false">IF(ABS(t-ROUND(t,0))&lt;0.001,t,NA())</f>
        <v>#N/A</v>
      </c>
      <c r="AD686" s="425" t="e">
        <f aca="false">IF(ABS(t-ROUND(t,0))&lt;0.001,pos_x,NA())</f>
        <v>#N/A</v>
      </c>
      <c r="AE686" s="426" t="e">
        <f aca="false">IF(t&lt;T_para, pos_z, NA())</f>
        <v>#N/A</v>
      </c>
      <c r="AF686" s="412"/>
      <c r="AG686" s="418" t="n">
        <f aca="false">IF(AND(L685&lt;L_rampe,Poussee&lt;Poids*SIN(M685)),0,(-W685+Poussee)/m-Poids*SIN(M685)/m)</f>
        <v>3.52423923466714</v>
      </c>
      <c r="AH686" s="417" t="n">
        <f aca="false">IF(AND(L685&lt;L_rampe,Poussee&lt;Poids*SIN(M685)), g*SIN(M685), (-W685+Poussee)/m)</f>
        <v>-6.18640431528432</v>
      </c>
    </row>
    <row r="687" customFormat="false" ht="12" hidden="false" customHeight="false" outlineLevel="0" collapsed="false">
      <c r="A687" s="416" t="n">
        <f aca="false">IF(B686+0.01&lt;=T_ini+ROUNDUP(Temps_fin_propu,0), 0.01, IF(K686&gt;0, 0.1, 0.0001))</f>
        <v>0.1</v>
      </c>
      <c r="B687" s="417" t="n">
        <f aca="false">B686+pas</f>
        <v>32.3000000000001</v>
      </c>
      <c r="C687" s="401"/>
      <c r="D687" s="418" t="n">
        <f aca="false">IF(AND(L686&lt;L_rampe,Poussee&lt;Poids*SIN(M686)),0,(-W686+Poussee)/m*COS(M686)-U686/m*SIN(M686))</f>
        <v>-0.877136181723442</v>
      </c>
      <c r="E687" s="419" t="n">
        <f aca="false">IF(AND(L686&lt;L_rampe,Poussee&lt;Poids*SIN(M686)),0,(-W686+Poussee)/m*SIN(M686)+U686/m*COS(M686)-Poids/m)</f>
        <v>-3.63993260222036</v>
      </c>
      <c r="F687" s="417" t="n">
        <f aca="false">SQRT(acc_x^2+acc_z^2)</f>
        <v>3.74412569634021</v>
      </c>
      <c r="G687" s="418" t="n">
        <f aca="false">G686+acc_x*pas</f>
        <v>15.8372811625399</v>
      </c>
      <c r="H687" s="419" t="n">
        <f aca="false">H686+acc_z*pas</f>
        <v>-112.385698844434</v>
      </c>
      <c r="I687" s="417" t="n">
        <f aca="false">SQRT(vit_x^2+vit_z^2)</f>
        <v>113.496100282667</v>
      </c>
      <c r="J687" s="418" t="n">
        <f aca="false">J686+0.5*(vit_x+G686)*pas*(K686&gt;=0)</f>
        <v>857.098818526629</v>
      </c>
      <c r="K687" s="419" t="n">
        <f aca="false">K686+0.5*(vit_z+H686)*pas</f>
        <v>465.146683023392</v>
      </c>
      <c r="L687" s="417" t="n">
        <f aca="false">SQRT(pos_x^2+pos_z^2)</f>
        <v>975.181942740639</v>
      </c>
      <c r="M687" s="418" t="n">
        <f aca="false">IF(AND(L686&gt;L_rampe,G687&gt;0),ATAN2(G687,H687),$M$4)</f>
        <v>-1.43079915785743</v>
      </c>
      <c r="N687" s="417" t="n">
        <f aca="false">DEGREES(Beta)</f>
        <v>-81.9787530761033</v>
      </c>
      <c r="O687" s="401"/>
      <c r="P687" s="420" t="n">
        <f aca="false">MATCH(t-pas/2-T_ini,CdP_t)</f>
        <v>23</v>
      </c>
      <c r="Q687" s="417" t="n">
        <f aca="false">(INDEX(CdP,2,i_P+1)-INDEX(CdP,2,i_P+0))/(INDEX(CdP,1,i_P+1)-INDEX(CdP,1,i_P+0))*(t-pas/2-T_ini-INDEX(CdP,1,i_P+0))+INDEX(CdP,2,i_P+0)</f>
        <v>0</v>
      </c>
      <c r="R687" s="418" t="n">
        <f aca="false">Poussee/(g*ISP)</f>
        <v>0</v>
      </c>
      <c r="S687" s="419" t="n">
        <f aca="false">S686-Débit*pas</f>
        <v>7.37799999999998</v>
      </c>
      <c r="T687" s="417" t="n">
        <f aca="false">m*g</f>
        <v>72.3781799999998</v>
      </c>
      <c r="U687" s="421" t="n">
        <f aca="false">IF(pos_xz&lt;L_rampe,Poids*COS(Beta),0)</f>
        <v>0</v>
      </c>
      <c r="V687" s="418" t="n">
        <f aca="false">Rho_moyen*(20000-Alt_rampe-pos_z)/(20000+Alt_rampe+pos_z)</f>
        <v>1.16931462471009</v>
      </c>
      <c r="W687" s="417" t="n">
        <f aca="false">1/2*Rho*Sref*Cx*vit_xz^2</f>
        <v>46.31577895395</v>
      </c>
      <c r="X687" s="401"/>
      <c r="Y687" s="422" t="str">
        <f aca="false">IF(AND(pos_z&lt;=0,K686&gt;0),"Impact balistique","") &amp; IF(AND(H688&lt;0,vit_z&gt;=0),"Apogée","") &amp; IF(AND(Poussee=0,Q686&gt;0),"Fin de propulsion","") &amp; IF(AND(L688&gt;L_rampe,pos_xz&lt;=L_rampe),"Sortie de rampe","")</f>
        <v/>
      </c>
      <c r="Z687" s="423" t="str">
        <f aca="false">IF(ABS(t-T_para)&lt;pas/2,"Para","")</f>
        <v/>
      </c>
      <c r="AA687" s="424" t="str">
        <f aca="false">IF(ABS(t-T_satellite)&lt;pas/2,"Satellite","")</f>
        <v/>
      </c>
      <c r="AB687" s="412"/>
      <c r="AC687" s="420" t="e">
        <f aca="false">IF(ABS(t-ROUND(t,0))&lt;0.001,t,NA())</f>
        <v>#N/A</v>
      </c>
      <c r="AD687" s="425" t="e">
        <f aca="false">IF(ABS(t-ROUND(t,0))&lt;0.001,pos_x,NA())</f>
        <v>#N/A</v>
      </c>
      <c r="AE687" s="426" t="e">
        <f aca="false">IF(t&lt;T_para, pos_z, NA())</f>
        <v>#N/A</v>
      </c>
      <c r="AF687" s="412"/>
      <c r="AG687" s="418" t="n">
        <f aca="false">IF(AND(L686&lt;L_rampe,Poussee&lt;Poids*SIN(M686)),0,(-W686+Poussee)/m-Poids*SIN(M686)/m)</f>
        <v>3.48024798294467</v>
      </c>
      <c r="AH687" s="417" t="n">
        <f aca="false">IF(AND(L686&lt;L_rampe,Poussee&lt;Poids*SIN(M686)), g*SIN(M686), (-W686+Poussee)/m)</f>
        <v>-6.23210233985544</v>
      </c>
    </row>
    <row r="688" customFormat="false" ht="12" hidden="false" customHeight="false" outlineLevel="0" collapsed="false">
      <c r="A688" s="416" t="n">
        <f aca="false">IF(B687+0.01&lt;=T_ini+ROUNDUP(Temps_fin_propu,0), 0.01, IF(K687&gt;0, 0.1, 0.0001))</f>
        <v>0.1</v>
      </c>
      <c r="B688" s="417" t="n">
        <f aca="false">B687+pas</f>
        <v>32.4000000000002</v>
      </c>
      <c r="C688" s="401"/>
      <c r="D688" s="418" t="n">
        <f aca="false">IF(AND(L687&lt;L_rampe,Poussee&lt;Poids*SIN(M687)),0,(-W687+Poussee)/m*COS(M687)-U687/m*SIN(M687))</f>
        <v>-0.875971565793208</v>
      </c>
      <c r="E688" s="419" t="n">
        <f aca="false">IF(AND(L687&lt;L_rampe,Poussee&lt;Poids*SIN(M687)),0,(-W687+Poussee)/m*SIN(M687)+U687/m*COS(M687)-Poids/m)</f>
        <v>-3.5938650725997</v>
      </c>
      <c r="F688" s="417" t="n">
        <f aca="false">SQRT(acc_x^2+acc_z^2)</f>
        <v>3.69907993210883</v>
      </c>
      <c r="G688" s="418" t="n">
        <f aca="false">G687+acc_x*pas</f>
        <v>15.7496840059606</v>
      </c>
      <c r="H688" s="419" t="n">
        <f aca="false">H687+acc_z*pas</f>
        <v>-112.745085351694</v>
      </c>
      <c r="I688" s="417" t="n">
        <f aca="false">SQRT(vit_x^2+vit_z^2)</f>
        <v>113.839829661013</v>
      </c>
      <c r="J688" s="418" t="n">
        <f aca="false">J687+0.5*(vit_x+G687)*pas*(K687&gt;=0)</f>
        <v>858.678166785054</v>
      </c>
      <c r="K688" s="419" t="n">
        <f aca="false">K687+0.5*(vit_z+H687)*pas</f>
        <v>453.890143813586</v>
      </c>
      <c r="L688" s="417" t="n">
        <f aca="false">SQRT(pos_x^2+pos_z^2)</f>
        <v>971.259211932869</v>
      </c>
      <c r="M688" s="418" t="n">
        <f aca="false">IF(AND(L687&gt;L_rampe,G688&gt;0),ATAN2(G688,H688),$M$4)</f>
        <v>-1.43200162872165</v>
      </c>
      <c r="N688" s="417" t="n">
        <f aca="false">DEGREES(Beta)</f>
        <v>-82.0476495816104</v>
      </c>
      <c r="O688" s="401"/>
      <c r="P688" s="420" t="n">
        <f aca="false">MATCH(t-pas/2-T_ini,CdP_t)</f>
        <v>23</v>
      </c>
      <c r="Q688" s="417" t="n">
        <f aca="false">(INDEX(CdP,2,i_P+1)-INDEX(CdP,2,i_P+0))/(INDEX(CdP,1,i_P+1)-INDEX(CdP,1,i_P+0))*(t-pas/2-T_ini-INDEX(CdP,1,i_P+0))+INDEX(CdP,2,i_P+0)</f>
        <v>0</v>
      </c>
      <c r="R688" s="418" t="n">
        <f aca="false">Poussee/(g*ISP)</f>
        <v>0</v>
      </c>
      <c r="S688" s="419" t="n">
        <f aca="false">S687-Débit*pas</f>
        <v>7.37799999999998</v>
      </c>
      <c r="T688" s="417" t="n">
        <f aca="false">m*g</f>
        <v>72.3781799999998</v>
      </c>
      <c r="U688" s="421" t="n">
        <f aca="false">IF(pos_xz&lt;L_rampe,Poids*COS(Beta),0)</f>
        <v>0</v>
      </c>
      <c r="V688" s="418" t="n">
        <f aca="false">Rho_moyen*(20000-Alt_rampe-pos_z)/(20000+Alt_rampe+pos_z)</f>
        <v>1.17063230541846</v>
      </c>
      <c r="W688" s="417" t="n">
        <f aca="false">1/2*Rho*Sref*Cx*vit_xz^2</f>
        <v>46.6492527733941</v>
      </c>
      <c r="X688" s="401"/>
      <c r="Y688" s="422" t="str">
        <f aca="false">IF(AND(pos_z&lt;=0,K687&gt;0),"Impact balistique","") &amp; IF(AND(H689&lt;0,vit_z&gt;=0),"Apogée","") &amp; IF(AND(Poussee=0,Q687&gt;0),"Fin de propulsion","") &amp; IF(AND(L689&gt;L_rampe,pos_xz&lt;=L_rampe),"Sortie de rampe","")</f>
        <v/>
      </c>
      <c r="Z688" s="423" t="str">
        <f aca="false">IF(ABS(t-T_para)&lt;pas/2,"Para","")</f>
        <v/>
      </c>
      <c r="AA688" s="424" t="str">
        <f aca="false">IF(ABS(t-T_satellite)&lt;pas/2,"Satellite","")</f>
        <v/>
      </c>
      <c r="AB688" s="412"/>
      <c r="AC688" s="420" t="e">
        <f aca="false">IF(ABS(t-ROUND(t,0))&lt;0.001,t,NA())</f>
        <v>#N/A</v>
      </c>
      <c r="AD688" s="425" t="e">
        <f aca="false">IF(ABS(t-ROUND(t,0))&lt;0.001,pos_x,NA())</f>
        <v>#N/A</v>
      </c>
      <c r="AE688" s="426" t="e">
        <f aca="false">IF(t&lt;T_para, pos_z, NA())</f>
        <v>#N/A</v>
      </c>
      <c r="AF688" s="412"/>
      <c r="AG688" s="418" t="n">
        <f aca="false">IF(AND(L687&lt;L_rampe,Poussee&lt;Poids*SIN(M687)),0,(-W687+Poussee)/m-Poids*SIN(M687)/m)</f>
        <v>3.43647075791579</v>
      </c>
      <c r="AH688" s="417" t="n">
        <f aca="false">IF(AND(L687&lt;L_rampe,Poussee&lt;Poids*SIN(M687)), g*SIN(M687), (-W687+Poussee)/m)</f>
        <v>-6.27755204038359</v>
      </c>
    </row>
    <row r="689" customFormat="false" ht="12" hidden="false" customHeight="false" outlineLevel="0" collapsed="false">
      <c r="A689" s="416" t="n">
        <f aca="false">IF(B688+0.01&lt;=T_ini+ROUNDUP(Temps_fin_propu,0), 0.01, IF(K688&gt;0, 0.1, 0.0001))</f>
        <v>0.1</v>
      </c>
      <c r="B689" s="417" t="n">
        <f aca="false">B688+pas</f>
        <v>32.5000000000002</v>
      </c>
      <c r="C689" s="401"/>
      <c r="D689" s="418" t="n">
        <f aca="false">IF(AND(L688&lt;L_rampe,Poussee&lt;Poids*SIN(M688)),0,(-W688+Poussee)/m*COS(M688)-U688/m*SIN(M688))</f>
        <v>-0.874749389847752</v>
      </c>
      <c r="E689" s="419" t="n">
        <f aca="false">IF(AND(L688&lt;L_rampe,Poussee&lt;Poids*SIN(M688)),0,(-W688+Poussee)/m*SIN(M688)+U688/m*COS(M688)-Poids/m)</f>
        <v>-3.54805248521796</v>
      </c>
      <c r="F689" s="417" t="n">
        <f aca="false">SQRT(acc_x^2+acc_z^2)</f>
        <v>3.65429376663951</v>
      </c>
      <c r="G689" s="418" t="n">
        <f aca="false">G688+acc_x*pas</f>
        <v>15.6622090669758</v>
      </c>
      <c r="H689" s="419" t="n">
        <f aca="false">H688+acc_z*pas</f>
        <v>-113.099890600216</v>
      </c>
      <c r="I689" s="417" t="n">
        <f aca="false">SQRT(vit_x^2+vit_z^2)</f>
        <v>114.179201462607</v>
      </c>
      <c r="J689" s="418" t="n">
        <f aca="false">J688+0.5*(vit_x+G688)*pas*(K688&gt;=0)</f>
        <v>860.248761438701</v>
      </c>
      <c r="K689" s="419" t="n">
        <f aca="false">K688+0.5*(vit_z+H688)*pas</f>
        <v>442.59789501599</v>
      </c>
      <c r="L689" s="417" t="n">
        <f aca="false">SQRT(pos_x^2+pos_z^2)</f>
        <v>967.430012057412</v>
      </c>
      <c r="M689" s="418" t="n">
        <f aca="false">IF(AND(L688&gt;L_rampe,G689&gt;0),ATAN2(G689,H689),$M$4)</f>
        <v>-1.43319029438023</v>
      </c>
      <c r="N689" s="417" t="n">
        <f aca="false">DEGREES(Beta)</f>
        <v>-82.1157551070992</v>
      </c>
      <c r="O689" s="401"/>
      <c r="P689" s="420" t="n">
        <f aca="false">MATCH(t-pas/2-T_ini,CdP_t)</f>
        <v>23</v>
      </c>
      <c r="Q689" s="417" t="n">
        <f aca="false">(INDEX(CdP,2,i_P+1)-INDEX(CdP,2,i_P+0))/(INDEX(CdP,1,i_P+1)-INDEX(CdP,1,i_P+0))*(t-pas/2-T_ini-INDEX(CdP,1,i_P+0))+INDEX(CdP,2,i_P+0)</f>
        <v>0</v>
      </c>
      <c r="R689" s="418" t="n">
        <f aca="false">Poussee/(g*ISP)</f>
        <v>0</v>
      </c>
      <c r="S689" s="419" t="n">
        <f aca="false">S688-Débit*pas</f>
        <v>7.37799999999998</v>
      </c>
      <c r="T689" s="417" t="n">
        <f aca="false">m*g</f>
        <v>72.3781799999998</v>
      </c>
      <c r="U689" s="421" t="n">
        <f aca="false">IF(pos_xz&lt;L_rampe,Poids*COS(Beta),0)</f>
        <v>0</v>
      </c>
      <c r="V689" s="418" t="n">
        <f aca="false">Rho_moyen*(20000-Alt_rampe-pos_z)/(20000+Alt_rampe+pos_z)</f>
        <v>1.17195562431165</v>
      </c>
      <c r="W689" s="417" t="n">
        <f aca="false">1/2*Rho*Sref*Cx*vit_xz^2</f>
        <v>46.9808513487505</v>
      </c>
      <c r="X689" s="401"/>
      <c r="Y689" s="422" t="str">
        <f aca="false">IF(AND(pos_z&lt;=0,K688&gt;0),"Impact balistique","") &amp; IF(AND(H690&lt;0,vit_z&gt;=0),"Apogée","") &amp; IF(AND(Poussee=0,Q688&gt;0),"Fin de propulsion","") &amp; IF(AND(L690&gt;L_rampe,pos_xz&lt;=L_rampe),"Sortie de rampe","")</f>
        <v/>
      </c>
      <c r="Z689" s="423" t="str">
        <f aca="false">IF(ABS(t-T_para)&lt;pas/2,"Para","")</f>
        <v/>
      </c>
      <c r="AA689" s="424" t="str">
        <f aca="false">IF(ABS(t-T_satellite)&lt;pas/2,"Satellite","")</f>
        <v/>
      </c>
      <c r="AB689" s="412"/>
      <c r="AC689" s="420" t="e">
        <f aca="false">IF(ABS(t-ROUND(t,0))&lt;0.001,t,NA())</f>
        <v>#N/A</v>
      </c>
      <c r="AD689" s="425" t="e">
        <f aca="false">IF(ABS(t-ROUND(t,0))&lt;0.001,pos_x,NA())</f>
        <v>#N/A</v>
      </c>
      <c r="AE689" s="426" t="e">
        <f aca="false">IF(t&lt;T_para, pos_z, NA())</f>
        <v>#N/A</v>
      </c>
      <c r="AF689" s="412"/>
      <c r="AG689" s="418" t="n">
        <f aca="false">IF(AND(L688&lt;L_rampe,Poussee&lt;Poids*SIN(M688)),0,(-W688+Poussee)/m-Poids*SIN(M688)/m)</f>
        <v>3.39291138219228</v>
      </c>
      <c r="AH689" s="417" t="n">
        <f aca="false">IF(AND(L688&lt;L_rampe,Poussee&lt;Poids*SIN(M688)), g*SIN(M688), (-W688+Poussee)/m)</f>
        <v>-6.32275044366959</v>
      </c>
    </row>
    <row r="690" customFormat="false" ht="12" hidden="false" customHeight="false" outlineLevel="0" collapsed="false">
      <c r="A690" s="416" t="n">
        <f aca="false">IF(B689+0.01&lt;=T_ini+ROUNDUP(Temps_fin_propu,0), 0.01, IF(K689&gt;0, 0.1, 0.0001))</f>
        <v>0.1</v>
      </c>
      <c r="B690" s="417" t="n">
        <f aca="false">B689+pas</f>
        <v>32.6000000000002</v>
      </c>
      <c r="C690" s="401"/>
      <c r="D690" s="418" t="n">
        <f aca="false">IF(AND(L689&lt;L_rampe,Poussee&lt;Poids*SIN(M689)),0,(-W689+Poussee)/m*COS(M689)-U689/m*SIN(M689))</f>
        <v>-0.873470510168851</v>
      </c>
      <c r="E690" s="419" t="n">
        <f aca="false">IF(AND(L689&lt;L_rampe,Poussee&lt;Poids*SIN(M689)),0,(-W689+Poussee)/m*SIN(M689)+U689/m*COS(M689)-Poids/m)</f>
        <v>-3.50249773642006</v>
      </c>
      <c r="F690" s="417" t="n">
        <f aca="false">SQRT(acc_x^2+acc_z^2)</f>
        <v>3.60977023171313</v>
      </c>
      <c r="G690" s="418" t="n">
        <f aca="false">G689+acc_x*pas</f>
        <v>15.5748620159589</v>
      </c>
      <c r="H690" s="419" t="n">
        <f aca="false">H689+acc_z*pas</f>
        <v>-113.450140373858</v>
      </c>
      <c r="I690" s="417" t="n">
        <f aca="false">SQRT(vit_x^2+vit_z^2)</f>
        <v>114.514237881864</v>
      </c>
      <c r="J690" s="418" t="n">
        <f aca="false">J689+0.5*(vit_x+G689)*pas*(K689&gt;=0)</f>
        <v>861.810614992848</v>
      </c>
      <c r="K690" s="419" t="n">
        <f aca="false">K689+0.5*(vit_z+H689)*pas</f>
        <v>431.270393467287</v>
      </c>
      <c r="L690" s="417" t="n">
        <f aca="false">SQRT(pos_x^2+pos_z^2)</f>
        <v>963.696886160673</v>
      </c>
      <c r="M690" s="418" t="n">
        <f aca="false">IF(AND(L689&gt;L_rampe,G690&gt;0),ATAN2(G690,H690),$M$4)</f>
        <v>-1.43436539657044</v>
      </c>
      <c r="N690" s="417" t="n">
        <f aca="false">DEGREES(Beta)</f>
        <v>-82.183083503095</v>
      </c>
      <c r="O690" s="401"/>
      <c r="P690" s="420" t="n">
        <f aca="false">MATCH(t-pas/2-T_ini,CdP_t)</f>
        <v>23</v>
      </c>
      <c r="Q690" s="417" t="n">
        <f aca="false">(INDEX(CdP,2,i_P+1)-INDEX(CdP,2,i_P+0))/(INDEX(CdP,1,i_P+1)-INDEX(CdP,1,i_P+0))*(t-pas/2-T_ini-INDEX(CdP,1,i_P+0))+INDEX(CdP,2,i_P+0)</f>
        <v>0</v>
      </c>
      <c r="R690" s="418" t="n">
        <f aca="false">Poussee/(g*ISP)</f>
        <v>0</v>
      </c>
      <c r="S690" s="419" t="n">
        <f aca="false">S689-Débit*pas</f>
        <v>7.37799999999998</v>
      </c>
      <c r="T690" s="417" t="n">
        <f aca="false">m*g</f>
        <v>72.3781799999998</v>
      </c>
      <c r="U690" s="421" t="n">
        <f aca="false">IF(pos_xz&lt;L_rampe,Poids*COS(Beta),0)</f>
        <v>0</v>
      </c>
      <c r="V690" s="418" t="n">
        <f aca="false">Rho_moyen*(20000-Alt_rampe-pos_z)/(20000+Alt_rampe+pos_z)</f>
        <v>1.17328454405201</v>
      </c>
      <c r="W690" s="417" t="n">
        <f aca="false">1/2*Rho*Sref*Cx*vit_xz^2</f>
        <v>47.3105542631736</v>
      </c>
      <c r="X690" s="401"/>
      <c r="Y690" s="422" t="str">
        <f aca="false">IF(AND(pos_z&lt;=0,K689&gt;0),"Impact balistique","") &amp; IF(AND(H691&lt;0,vit_z&gt;=0),"Apogée","") &amp; IF(AND(Poussee=0,Q689&gt;0),"Fin de propulsion","") &amp; IF(AND(L691&gt;L_rampe,pos_xz&lt;=L_rampe),"Sortie de rampe","")</f>
        <v/>
      </c>
      <c r="Z690" s="423" t="str">
        <f aca="false">IF(ABS(t-T_para)&lt;pas/2,"Para","")</f>
        <v/>
      </c>
      <c r="AA690" s="424" t="str">
        <f aca="false">IF(ABS(t-T_satellite)&lt;pas/2,"Satellite","")</f>
        <v/>
      </c>
      <c r="AB690" s="412"/>
      <c r="AC690" s="420" t="e">
        <f aca="false">IF(ABS(t-ROUND(t,0))&lt;0.001,t,NA())</f>
        <v>#N/A</v>
      </c>
      <c r="AD690" s="425" t="e">
        <f aca="false">IF(ABS(t-ROUND(t,0))&lt;0.001,pos_x,NA())</f>
        <v>#N/A</v>
      </c>
      <c r="AE690" s="426" t="e">
        <f aca="false">IF(t&lt;T_para, pos_z, NA())</f>
        <v>#N/A</v>
      </c>
      <c r="AF690" s="412"/>
      <c r="AG690" s="418" t="n">
        <f aca="false">IF(AND(L689&lt;L_rampe,Poussee&lt;Poids*SIN(M689)),0,(-W689+Poussee)/m-Poids*SIN(M689)/m)</f>
        <v>3.349573549065</v>
      </c>
      <c r="AH690" s="417" t="n">
        <f aca="false">IF(AND(L689&lt;L_rampe,Poussee&lt;Poids*SIN(M689)), g*SIN(M689), (-W689+Poussee)/m)</f>
        <v>-6.36769467996077</v>
      </c>
    </row>
    <row r="691" customFormat="false" ht="12" hidden="false" customHeight="false" outlineLevel="0" collapsed="false">
      <c r="A691" s="416" t="n">
        <f aca="false">IF(B690+0.01&lt;=T_ini+ROUNDUP(Temps_fin_propu,0), 0.01, IF(K690&gt;0, 0.1, 0.0001))</f>
        <v>0.1</v>
      </c>
      <c r="B691" s="417" t="n">
        <f aca="false">B690+pas</f>
        <v>32.7000000000002</v>
      </c>
      <c r="C691" s="401"/>
      <c r="D691" s="418" t="n">
        <f aca="false">IF(AND(L690&lt;L_rampe,Poussee&lt;Poids*SIN(M690)),0,(-W690+Poussee)/m*COS(M690)-U690/m*SIN(M690))</f>
        <v>-0.872135783379654</v>
      </c>
      <c r="E691" s="419" t="n">
        <f aca="false">IF(AND(L690&lt;L_rampe,Poussee&lt;Poids*SIN(M690)),0,(-W690+Poussee)/m*SIN(M690)+U690/m*COS(M690)-Poids/m)</f>
        <v>-3.4572036190046</v>
      </c>
      <c r="F691" s="417" t="n">
        <f aca="false">SQRT(acc_x^2+acc_z^2)</f>
        <v>3.56551226164064</v>
      </c>
      <c r="G691" s="418" t="n">
        <f aca="false">G690+acc_x*pas</f>
        <v>15.4876484376209</v>
      </c>
      <c r="H691" s="419" t="n">
        <f aca="false">H690+acc_z*pas</f>
        <v>-113.795860735758</v>
      </c>
      <c r="I691" s="417" t="n">
        <f aca="false">SQRT(vit_x^2+vit_z^2)</f>
        <v>114.844961468579</v>
      </c>
      <c r="J691" s="418" t="n">
        <f aca="false">J690+0.5*(vit_x+G690)*pas*(K690&gt;=0)</f>
        <v>863.363740515527</v>
      </c>
      <c r="K691" s="419" t="n">
        <f aca="false">K690+0.5*(vit_z+H690)*pas</f>
        <v>419.908093411806</v>
      </c>
      <c r="L691" s="417" t="n">
        <f aca="false">SQRT(pos_x^2+pos_z^2)</f>
        <v>960.062370551882</v>
      </c>
      <c r="M691" s="418" t="n">
        <f aca="false">IF(AND(L690&gt;L_rampe,G691&gt;0),ATAN2(G691,H691),$M$4)</f>
        <v>-1.43552717117614</v>
      </c>
      <c r="N691" s="417" t="n">
        <f aca="false">DEGREES(Beta)</f>
        <v>-82.2496482847469</v>
      </c>
      <c r="O691" s="401"/>
      <c r="P691" s="420" t="n">
        <f aca="false">MATCH(t-pas/2-T_ini,CdP_t)</f>
        <v>23</v>
      </c>
      <c r="Q691" s="417" t="n">
        <f aca="false">(INDEX(CdP,2,i_P+1)-INDEX(CdP,2,i_P+0))/(INDEX(CdP,1,i_P+1)-INDEX(CdP,1,i_P+0))*(t-pas/2-T_ini-INDEX(CdP,1,i_P+0))+INDEX(CdP,2,i_P+0)</f>
        <v>0</v>
      </c>
      <c r="R691" s="418" t="n">
        <f aca="false">Poussee/(g*ISP)</f>
        <v>0</v>
      </c>
      <c r="S691" s="419" t="n">
        <f aca="false">S690-Débit*pas</f>
        <v>7.37799999999998</v>
      </c>
      <c r="T691" s="417" t="n">
        <f aca="false">m*g</f>
        <v>72.3781799999998</v>
      </c>
      <c r="U691" s="421" t="n">
        <f aca="false">IF(pos_xz&lt;L_rampe,Poids*COS(Beta),0)</f>
        <v>0</v>
      </c>
      <c r="V691" s="418" t="n">
        <f aca="false">Rho_moyen*(20000-Alt_rampe-pos_z)/(20000+Alt_rampe+pos_z)</f>
        <v>1.17461902746316</v>
      </c>
      <c r="W691" s="417" t="n">
        <f aca="false">1/2*Rho*Sref*Cx*vit_xz^2</f>
        <v>47.6383418487805</v>
      </c>
      <c r="X691" s="401"/>
      <c r="Y691" s="422" t="str">
        <f aca="false">IF(AND(pos_z&lt;=0,K690&gt;0),"Impact balistique","") &amp; IF(AND(H692&lt;0,vit_z&gt;=0),"Apogée","") &amp; IF(AND(Poussee=0,Q690&gt;0),"Fin de propulsion","") &amp; IF(AND(L692&gt;L_rampe,pos_xz&lt;=L_rampe),"Sortie de rampe","")</f>
        <v/>
      </c>
      <c r="Z691" s="423" t="str">
        <f aca="false">IF(ABS(t-T_para)&lt;pas/2,"Para","")</f>
        <v/>
      </c>
      <c r="AA691" s="424" t="str">
        <f aca="false">IF(ABS(t-T_satellite)&lt;pas/2,"Satellite","")</f>
        <v/>
      </c>
      <c r="AB691" s="412"/>
      <c r="AC691" s="420" t="e">
        <f aca="false">IF(ABS(t-ROUND(t,0))&lt;0.001,t,NA())</f>
        <v>#N/A</v>
      </c>
      <c r="AD691" s="425" t="e">
        <f aca="false">IF(ABS(t-ROUND(t,0))&lt;0.001,pos_x,NA())</f>
        <v>#N/A</v>
      </c>
      <c r="AE691" s="426" t="e">
        <f aca="false">IF(t&lt;T_para, pos_z, NA())</f>
        <v>#N/A</v>
      </c>
      <c r="AF691" s="412"/>
      <c r="AG691" s="418" t="n">
        <f aca="false">IF(AND(L690&lt;L_rampe,Poussee&lt;Poids*SIN(M690)),0,(-W690+Poussee)/m-Poids*SIN(M690)/m)</f>
        <v>3.30646082439438</v>
      </c>
      <c r="AH691" s="417" t="n">
        <f aca="false">IF(AND(L690&lt;L_rampe,Poussee&lt;Poids*SIN(M690)), g*SIN(M690), (-W690+Poussee)/m)</f>
        <v>-6.41238198199698</v>
      </c>
    </row>
    <row r="692" customFormat="false" ht="12" hidden="false" customHeight="false" outlineLevel="0" collapsed="false">
      <c r="A692" s="416" t="n">
        <f aca="false">IF(B691+0.01&lt;=T_ini+ROUNDUP(Temps_fin_propu,0), 0.01, IF(K691&gt;0, 0.1, 0.0001))</f>
        <v>0.1</v>
      </c>
      <c r="B692" s="417" t="n">
        <f aca="false">B691+pas</f>
        <v>32.8000000000002</v>
      </c>
      <c r="C692" s="401"/>
      <c r="D692" s="418" t="n">
        <f aca="false">IF(AND(L691&lt;L_rampe,Poussee&lt;Poids*SIN(M691)),0,(-W691+Poussee)/m*COS(M691)-U691/m*SIN(M691))</f>
        <v>-0.870746066141157</v>
      </c>
      <c r="E692" s="419" t="n">
        <f aca="false">IF(AND(L691&lt;L_rampe,Poussee&lt;Poids*SIN(M691)),0,(-W691+Poussee)/m*SIN(M691)+U691/m*COS(M691)-Poids/m)</f>
        <v>-3.41217282320817</v>
      </c>
      <c r="F692" s="417" t="n">
        <f aca="false">SQRT(acc_x^2+acc_z^2)</f>
        <v>3.52152269439525</v>
      </c>
      <c r="G692" s="418" t="n">
        <f aca="false">G691+acc_x*pas</f>
        <v>15.4005738310068</v>
      </c>
      <c r="H692" s="419" t="n">
        <f aca="false">H691+acc_z*pas</f>
        <v>-114.137078018079</v>
      </c>
      <c r="I692" s="417" t="n">
        <f aca="false">SQRT(vit_x^2+vit_z^2)</f>
        <v>115.171395115408</v>
      </c>
      <c r="J692" s="418" t="n">
        <f aca="false">J691+0.5*(vit_x+G691)*pas*(K691&gt;=0)</f>
        <v>864.908151628958</v>
      </c>
      <c r="K692" s="419" t="n">
        <f aca="false">K691+0.5*(vit_z+H691)*pas</f>
        <v>408.511446474114</v>
      </c>
      <c r="L692" s="417" t="n">
        <f aca="false">SQRT(pos_x^2+pos_z^2)</f>
        <v>956.528992061711</v>
      </c>
      <c r="M692" s="418" t="n">
        <f aca="false">IF(AND(L691&gt;L_rampe,G692&gt;0),ATAN2(G692,H692),$M$4)</f>
        <v>-1.436675848402</v>
      </c>
      <c r="N692" s="417" t="n">
        <f aca="false">DEGREES(Beta)</f>
        <v>-82.3154626418116</v>
      </c>
      <c r="O692" s="401"/>
      <c r="P692" s="420" t="n">
        <f aca="false">MATCH(t-pas/2-T_ini,CdP_t)</f>
        <v>23</v>
      </c>
      <c r="Q692" s="417" t="n">
        <f aca="false">(INDEX(CdP,2,i_P+1)-INDEX(CdP,2,i_P+0))/(INDEX(CdP,1,i_P+1)-INDEX(CdP,1,i_P+0))*(t-pas/2-T_ini-INDEX(CdP,1,i_P+0))+INDEX(CdP,2,i_P+0)</f>
        <v>0</v>
      </c>
      <c r="R692" s="418" t="n">
        <f aca="false">Poussee/(g*ISP)</f>
        <v>0</v>
      </c>
      <c r="S692" s="419" t="n">
        <f aca="false">S691-Débit*pas</f>
        <v>7.37799999999998</v>
      </c>
      <c r="T692" s="417" t="n">
        <f aca="false">m*g</f>
        <v>72.3781799999998</v>
      </c>
      <c r="U692" s="421" t="n">
        <f aca="false">IF(pos_xz&lt;L_rampe,Poids*COS(Beta),0)</f>
        <v>0</v>
      </c>
      <c r="V692" s="418" t="n">
        <f aca="false">Rho_moyen*(20000-Alt_rampe-pos_z)/(20000+Alt_rampe+pos_z)</f>
        <v>1.17595903753262</v>
      </c>
      <c r="W692" s="417" t="n">
        <f aca="false">1/2*Rho*Sref*Cx*vit_xz^2</f>
        <v>47.9641951792424</v>
      </c>
      <c r="X692" s="401"/>
      <c r="Y692" s="422" t="str">
        <f aca="false">IF(AND(pos_z&lt;=0,K691&gt;0),"Impact balistique","") &amp; IF(AND(H693&lt;0,vit_z&gt;=0),"Apogée","") &amp; IF(AND(Poussee=0,Q691&gt;0),"Fin de propulsion","") &amp; IF(AND(L693&gt;L_rampe,pos_xz&lt;=L_rampe),"Sortie de rampe","")</f>
        <v/>
      </c>
      <c r="Z692" s="423" t="str">
        <f aca="false">IF(ABS(t-T_para)&lt;pas/2,"Para","")</f>
        <v/>
      </c>
      <c r="AA692" s="424" t="str">
        <f aca="false">IF(ABS(t-T_satellite)&lt;pas/2,"Satellite","")</f>
        <v/>
      </c>
      <c r="AB692" s="412"/>
      <c r="AC692" s="420" t="e">
        <f aca="false">IF(ABS(t-ROUND(t,0))&lt;0.001,t,NA())</f>
        <v>#N/A</v>
      </c>
      <c r="AD692" s="425" t="e">
        <f aca="false">IF(ABS(t-ROUND(t,0))&lt;0.001,pos_x,NA())</f>
        <v>#N/A</v>
      </c>
      <c r="AE692" s="426" t="e">
        <f aca="false">IF(t&lt;T_para, pos_z, NA())</f>
        <v>#N/A</v>
      </c>
      <c r="AF692" s="412"/>
      <c r="AG692" s="418" t="n">
        <f aca="false">IF(AND(L691&lt;L_rampe,Poussee&lt;Poids*SIN(M691)),0,(-W691+Poussee)/m-Poids*SIN(M691)/m)</f>
        <v>3.26357664848749</v>
      </c>
      <c r="AH692" s="417" t="n">
        <f aca="false">IF(AND(L691&lt;L_rampe,Poussee&lt;Poids*SIN(M691)), g*SIN(M691), (-W691+Poussee)/m)</f>
        <v>-6.45680968403099</v>
      </c>
    </row>
    <row r="693" customFormat="false" ht="12" hidden="false" customHeight="false" outlineLevel="0" collapsed="false">
      <c r="A693" s="416" t="n">
        <f aca="false">IF(B692+0.01&lt;=T_ini+ROUNDUP(Temps_fin_propu,0), 0.01, IF(K692&gt;0, 0.1, 0.0001))</f>
        <v>0.1</v>
      </c>
      <c r="B693" s="417" t="n">
        <f aca="false">B692+pas</f>
        <v>32.9000000000002</v>
      </c>
      <c r="C693" s="401"/>
      <c r="D693" s="418" t="n">
        <f aca="false">IF(AND(L692&lt;L_rampe,Poussee&lt;Poids*SIN(M692)),0,(-W692+Poussee)/m*COS(M692)-U692/m*SIN(M692))</f>
        <v>-0.869302214855761</v>
      </c>
      <c r="E693" s="419" t="n">
        <f aca="false">IF(AND(L692&lt;L_rampe,Poussee&lt;Poids*SIN(M692)),0,(-W692+Poussee)/m*SIN(M692)+U692/m*COS(M692)-Poids/m)</f>
        <v>-3.36740793771483</v>
      </c>
      <c r="F693" s="417" t="n">
        <f aca="false">SQRT(acc_x^2+acc_z^2)</f>
        <v>3.47780427277586</v>
      </c>
      <c r="G693" s="418" t="n">
        <f aca="false">G692+acc_x*pas</f>
        <v>15.3136436095212</v>
      </c>
      <c r="H693" s="419" t="n">
        <f aca="false">H692+acc_z*pas</f>
        <v>-114.473818811851</v>
      </c>
      <c r="I693" s="417" t="n">
        <f aca="false">SQRT(vit_x^2+vit_z^2)</f>
        <v>115.493562045544</v>
      </c>
      <c r="J693" s="418" t="n">
        <f aca="false">J692+0.5*(vit_x+G692)*pas*(K692&gt;=0)</f>
        <v>866.443862500984</v>
      </c>
      <c r="K693" s="419" t="n">
        <f aca="false">K692+0.5*(vit_z+H692)*pas</f>
        <v>397.080901632617</v>
      </c>
      <c r="L693" s="417" t="n">
        <f aca="false">SQRT(pos_x^2+pos_z^2)</f>
        <v>953.099265190671</v>
      </c>
      <c r="M693" s="418" t="n">
        <f aca="false">IF(AND(L692&gt;L_rampe,G693&gt;0),ATAN2(G693,H693),$M$4)</f>
        <v>-1.4378116529417</v>
      </c>
      <c r="N693" s="417" t="n">
        <f aca="false">DEGREES(Beta)</f>
        <v>-82.3805394482881</v>
      </c>
      <c r="O693" s="401"/>
      <c r="P693" s="420" t="n">
        <f aca="false">MATCH(t-pas/2-T_ini,CdP_t)</f>
        <v>23</v>
      </c>
      <c r="Q693" s="417" t="n">
        <f aca="false">(INDEX(CdP,2,i_P+1)-INDEX(CdP,2,i_P+0))/(INDEX(CdP,1,i_P+1)-INDEX(CdP,1,i_P+0))*(t-pas/2-T_ini-INDEX(CdP,1,i_P+0))+INDEX(CdP,2,i_P+0)</f>
        <v>0</v>
      </c>
      <c r="R693" s="418" t="n">
        <f aca="false">Poussee/(g*ISP)</f>
        <v>0</v>
      </c>
      <c r="S693" s="419" t="n">
        <f aca="false">S692-Débit*pas</f>
        <v>7.37799999999998</v>
      </c>
      <c r="T693" s="417" t="n">
        <f aca="false">m*g</f>
        <v>72.3781799999998</v>
      </c>
      <c r="U693" s="421" t="n">
        <f aca="false">IF(pos_xz&lt;L_rampe,Poids*COS(Beta),0)</f>
        <v>0</v>
      </c>
      <c r="V693" s="418" t="n">
        <f aca="false">Rho_moyen*(20000-Alt_rampe-pos_z)/(20000+Alt_rampe+pos_z)</f>
        <v>1.17730453741437</v>
      </c>
      <c r="W693" s="417" t="n">
        <f aca="false">1/2*Rho*Sref*Cx*vit_xz^2</f>
        <v>48.2880960622043</v>
      </c>
      <c r="X693" s="401"/>
      <c r="Y693" s="422" t="str">
        <f aca="false">IF(AND(pos_z&lt;=0,K692&gt;0),"Impact balistique","") &amp; IF(AND(H694&lt;0,vit_z&gt;=0),"Apogée","") &amp; IF(AND(Poussee=0,Q692&gt;0),"Fin de propulsion","") &amp; IF(AND(L694&gt;L_rampe,pos_xz&lt;=L_rampe),"Sortie de rampe","")</f>
        <v/>
      </c>
      <c r="Z693" s="423" t="str">
        <f aca="false">IF(ABS(t-T_para)&lt;pas/2,"Para","")</f>
        <v/>
      </c>
      <c r="AA693" s="424" t="str">
        <f aca="false">IF(ABS(t-T_satellite)&lt;pas/2,"Satellite","")</f>
        <v/>
      </c>
      <c r="AB693" s="412"/>
      <c r="AC693" s="420" t="e">
        <f aca="false">IF(ABS(t-ROUND(t,0))&lt;0.001,t,NA())</f>
        <v>#N/A</v>
      </c>
      <c r="AD693" s="425" t="e">
        <f aca="false">IF(ABS(t-ROUND(t,0))&lt;0.001,pos_x,NA())</f>
        <v>#N/A</v>
      </c>
      <c r="AE693" s="426" t="e">
        <f aca="false">IF(t&lt;T_para, pos_z, NA())</f>
        <v>#N/A</v>
      </c>
      <c r="AF693" s="412"/>
      <c r="AG693" s="418" t="n">
        <f aca="false">IF(AND(L692&lt;L_rampe,Poussee&lt;Poids*SIN(M692)),0,(-W692+Poussee)/m-Poids*SIN(M692)/m)</f>
        <v>3.22092433796251</v>
      </c>
      <c r="AH693" s="417" t="n">
        <f aca="false">IF(AND(L692&lt;L_rampe,Poussee&lt;Poids*SIN(M692)), g*SIN(M692), (-W692+Poussee)/m)</f>
        <v>-6.50097522082441</v>
      </c>
    </row>
    <row r="694" customFormat="false" ht="12" hidden="false" customHeight="false" outlineLevel="0" collapsed="false">
      <c r="A694" s="416" t="n">
        <f aca="false">IF(B693+0.01&lt;=T_ini+ROUNDUP(Temps_fin_propu,0), 0.01, IF(K693&gt;0, 0.1, 0.0001))</f>
        <v>0.1</v>
      </c>
      <c r="B694" s="417" t="n">
        <f aca="false">B693+pas</f>
        <v>33.0000000000002</v>
      </c>
      <c r="C694" s="401"/>
      <c r="D694" s="418" t="n">
        <f aca="false">IF(AND(L693&lt;L_rampe,Poussee&lt;Poids*SIN(M693)),0,(-W693+Poussee)/m*COS(M693)-U693/m*SIN(M693))</f>
        <v>-0.867805085377864</v>
      </c>
      <c r="E694" s="419" t="n">
        <f aca="false">IF(AND(L693&lt;L_rampe,Poussee&lt;Poids*SIN(M693)),0,(-W693+Poussee)/m*SIN(M693)+U693/m*COS(M693)-Poids/m)</f>
        <v>-3.32291145068943</v>
      </c>
      <c r="F694" s="417" t="n">
        <f aca="false">SQRT(acc_x^2+acc_z^2)</f>
        <v>3.4343596456007</v>
      </c>
      <c r="G694" s="418" t="n">
        <f aca="false">G693+acc_x*pas</f>
        <v>15.2268631009835</v>
      </c>
      <c r="H694" s="419" t="n">
        <f aca="false">H693+acc_z*pas</f>
        <v>-114.80610995692</v>
      </c>
      <c r="I694" s="417" t="n">
        <f aca="false">SQRT(vit_x^2+vit_z^2)</f>
        <v>115.811485800573</v>
      </c>
      <c r="J694" s="418" t="n">
        <f aca="false">J693+0.5*(vit_x+G693)*pas*(K693&gt;=0)</f>
        <v>867.970887836509</v>
      </c>
      <c r="K694" s="419" t="n">
        <f aca="false">K693+0.5*(vit_z+H693)*pas</f>
        <v>385.616905194179</v>
      </c>
      <c r="L694" s="417" t="n">
        <f aca="false">SQRT(pos_x^2+pos_z^2)</f>
        <v>949.775689151515</v>
      </c>
      <c r="M694" s="418" t="n">
        <f aca="false">IF(AND(L693&gt;L_rampe,G694&gt;0),ATAN2(G694,H694),$M$4)</f>
        <v>-1.43893480414022</v>
      </c>
      <c r="N694" s="417" t="n">
        <f aca="false">DEGREES(Beta)</f>
        <v>-82.4448912717183</v>
      </c>
      <c r="O694" s="401"/>
      <c r="P694" s="420" t="n">
        <f aca="false">MATCH(t-pas/2-T_ini,CdP_t)</f>
        <v>23</v>
      </c>
      <c r="Q694" s="417" t="n">
        <f aca="false">(INDEX(CdP,2,i_P+1)-INDEX(CdP,2,i_P+0))/(INDEX(CdP,1,i_P+1)-INDEX(CdP,1,i_P+0))*(t-pas/2-T_ini-INDEX(CdP,1,i_P+0))+INDEX(CdP,2,i_P+0)</f>
        <v>0</v>
      </c>
      <c r="R694" s="418" t="n">
        <f aca="false">Poussee/(g*ISP)</f>
        <v>0</v>
      </c>
      <c r="S694" s="419" t="n">
        <f aca="false">S693-Débit*pas</f>
        <v>7.37799999999998</v>
      </c>
      <c r="T694" s="417" t="n">
        <f aca="false">m*g</f>
        <v>72.3781799999998</v>
      </c>
      <c r="U694" s="421" t="n">
        <f aca="false">IF(pos_xz&lt;L_rampe,Poids*COS(Beta),0)</f>
        <v>0</v>
      </c>
      <c r="V694" s="418" t="n">
        <f aca="false">Rho_moyen*(20000-Alt_rampe-pos_z)/(20000+Alt_rampe+pos_z)</f>
        <v>1.17865549043134</v>
      </c>
      <c r="W694" s="417" t="n">
        <f aca="false">1/2*Rho*Sref*Cx*vit_xz^2</f>
        <v>48.6100270315416</v>
      </c>
      <c r="X694" s="401"/>
      <c r="Y694" s="422" t="str">
        <f aca="false">IF(AND(pos_z&lt;=0,K693&gt;0),"Impact balistique","") &amp; IF(AND(H695&lt;0,vit_z&gt;=0),"Apogée","") &amp; IF(AND(Poussee=0,Q693&gt;0),"Fin de propulsion","") &amp; IF(AND(L695&gt;L_rampe,pos_xz&lt;=L_rampe),"Sortie de rampe","")</f>
        <v/>
      </c>
      <c r="Z694" s="423" t="str">
        <f aca="false">IF(ABS(t-T_para)&lt;pas/2,"Para","")</f>
        <v/>
      </c>
      <c r="AA694" s="424" t="str">
        <f aca="false">IF(ABS(t-T_satellite)&lt;pas/2,"Satellite","")</f>
        <v/>
      </c>
      <c r="AB694" s="412"/>
      <c r="AC694" s="420" t="n">
        <f aca="false">IF(ABS(t-ROUND(t,0))&lt;0.001,t,NA())</f>
        <v>33.0000000000002</v>
      </c>
      <c r="AD694" s="425" t="n">
        <f aca="false">IF(ABS(t-ROUND(t,0))&lt;0.001,pos_x,NA())</f>
        <v>867.970887836509</v>
      </c>
      <c r="AE694" s="426" t="e">
        <f aca="false">IF(t&lt;T_para, pos_z, NA())</f>
        <v>#N/A</v>
      </c>
      <c r="AF694" s="412"/>
      <c r="AG694" s="418" t="n">
        <f aca="false">IF(AND(L693&lt;L_rampe,Poussee&lt;Poids*SIN(M693)),0,(-W693+Poussee)/m-Poids*SIN(M693)/m)</f>
        <v>3.17850708760093</v>
      </c>
      <c r="AH694" s="417" t="n">
        <f aca="false">IF(AND(L693&lt;L_rampe,Poussee&lt;Poids*SIN(M693)), g*SIN(M693), (-W693+Poussee)/m)</f>
        <v>-6.54487612662028</v>
      </c>
    </row>
    <row r="695" customFormat="false" ht="12" hidden="false" customHeight="false" outlineLevel="0" collapsed="false">
      <c r="A695" s="416" t="n">
        <f aca="false">IF(B694+0.01&lt;=T_ini+ROUNDUP(Temps_fin_propu,0), 0.01, IF(K694&gt;0, 0.1, 0.0001))</f>
        <v>0.1</v>
      </c>
      <c r="B695" s="417" t="n">
        <f aca="false">B694+pas</f>
        <v>33.1000000000002</v>
      </c>
      <c r="C695" s="401"/>
      <c r="D695" s="418" t="n">
        <f aca="false">IF(AND(L694&lt;L_rampe,Poussee&lt;Poids*SIN(M694)),0,(-W694+Poussee)/m*COS(M694)-U694/m*SIN(M694))</f>
        <v>-0.866255532731457</v>
      </c>
      <c r="E695" s="419" t="n">
        <f aca="false">IF(AND(L694&lt;L_rampe,Poussee&lt;Poids*SIN(M694)),0,(-W694+Poussee)/m*SIN(M694)+U694/m*COS(M694)-Poids/m)</f>
        <v>-3.27868575083371</v>
      </c>
      <c r="F695" s="417" t="n">
        <f aca="false">SQRT(acc_x^2+acc_z^2)</f>
        <v>3.39119136893037</v>
      </c>
      <c r="G695" s="418" t="n">
        <f aca="false">G694+acc_x*pas</f>
        <v>15.1402375477103</v>
      </c>
      <c r="H695" s="419" t="n">
        <f aca="false">H694+acc_z*pas</f>
        <v>-115.133978532003</v>
      </c>
      <c r="I695" s="417" t="n">
        <f aca="false">SQRT(vit_x^2+vit_z^2)</f>
        <v>116.125190228515</v>
      </c>
      <c r="J695" s="418" t="n">
        <f aca="false">J694+0.5*(vit_x+G694)*pas*(K694&gt;=0)</f>
        <v>869.489242868944</v>
      </c>
      <c r="K695" s="419" t="n">
        <f aca="false">K694+0.5*(vit_z+H694)*pas</f>
        <v>374.119900769733</v>
      </c>
      <c r="L695" s="417" t="n">
        <f aca="false">SQRT(pos_x^2+pos_z^2)</f>
        <v>946.560744810794</v>
      </c>
      <c r="M695" s="418" t="n">
        <f aca="false">IF(AND(L694&gt;L_rampe,G695&gt;0),ATAN2(G695,H695),$M$4)</f>
        <v>-1.44004551615055</v>
      </c>
      <c r="N695" s="417" t="n">
        <f aca="false">DEGREES(Beta)</f>
        <v>-82.5085303821647</v>
      </c>
      <c r="O695" s="401"/>
      <c r="P695" s="420" t="n">
        <f aca="false">MATCH(t-pas/2-T_ini,CdP_t)</f>
        <v>23</v>
      </c>
      <c r="Q695" s="417" t="n">
        <f aca="false">(INDEX(CdP,2,i_P+1)-INDEX(CdP,2,i_P+0))/(INDEX(CdP,1,i_P+1)-INDEX(CdP,1,i_P+0))*(t-pas/2-T_ini-INDEX(CdP,1,i_P+0))+INDEX(CdP,2,i_P+0)</f>
        <v>0</v>
      </c>
      <c r="R695" s="418" t="n">
        <f aca="false">Poussee/(g*ISP)</f>
        <v>0</v>
      </c>
      <c r="S695" s="419" t="n">
        <f aca="false">S694-Débit*pas</f>
        <v>7.37799999999998</v>
      </c>
      <c r="T695" s="417" t="n">
        <f aca="false">m*g</f>
        <v>72.3781799999998</v>
      </c>
      <c r="U695" s="421" t="n">
        <f aca="false">IF(pos_xz&lt;L_rampe,Poids*COS(Beta),0)</f>
        <v>0</v>
      </c>
      <c r="V695" s="418" t="n">
        <f aca="false">Rho_moyen*(20000-Alt_rampe-pos_z)/(20000+Alt_rampe+pos_z)</f>
        <v>1.18001186007788</v>
      </c>
      <c r="W695" s="417" t="n">
        <f aca="false">1/2*Rho*Sref*Cx*vit_xz^2</f>
        <v>48.9299713394606</v>
      </c>
      <c r="X695" s="401"/>
      <c r="Y695" s="422" t="str">
        <f aca="false">IF(AND(pos_z&lt;=0,K694&gt;0),"Impact balistique","") &amp; IF(AND(H696&lt;0,vit_z&gt;=0),"Apogée","") &amp; IF(AND(Poussee=0,Q694&gt;0),"Fin de propulsion","") &amp; IF(AND(L696&gt;L_rampe,pos_xz&lt;=L_rampe),"Sortie de rampe","")</f>
        <v/>
      </c>
      <c r="Z695" s="423" t="str">
        <f aca="false">IF(ABS(t-T_para)&lt;pas/2,"Para","")</f>
        <v/>
      </c>
      <c r="AA695" s="424" t="str">
        <f aca="false">IF(ABS(t-T_satellite)&lt;pas/2,"Satellite","")</f>
        <v/>
      </c>
      <c r="AB695" s="412"/>
      <c r="AC695" s="420" t="e">
        <f aca="false">IF(ABS(t-ROUND(t,0))&lt;0.001,t,NA())</f>
        <v>#N/A</v>
      </c>
      <c r="AD695" s="425" t="e">
        <f aca="false">IF(ABS(t-ROUND(t,0))&lt;0.001,pos_x,NA())</f>
        <v>#N/A</v>
      </c>
      <c r="AE695" s="426" t="e">
        <f aca="false">IF(t&lt;T_para, pos_z, NA())</f>
        <v>#N/A</v>
      </c>
      <c r="AF695" s="412"/>
      <c r="AG695" s="418" t="n">
        <f aca="false">IF(AND(L694&lt;L_rampe,Poussee&lt;Poids*SIN(M694)),0,(-W694+Poussee)/m-Poids*SIN(M694)/m)</f>
        <v>3.13632797218833</v>
      </c>
      <c r="AH695" s="417" t="n">
        <f aca="false">IF(AND(L694&lt;L_rampe,Poussee&lt;Poids*SIN(M694)), g*SIN(M694), (-W694+Poussee)/m)</f>
        <v>-6.58851003409348</v>
      </c>
    </row>
    <row r="696" customFormat="false" ht="12" hidden="false" customHeight="false" outlineLevel="0" collapsed="false">
      <c r="A696" s="416" t="n">
        <f aca="false">IF(B695+0.01&lt;=T_ini+ROUNDUP(Temps_fin_propu,0), 0.01, IF(K695&gt;0, 0.1, 0.0001))</f>
        <v>0.1</v>
      </c>
      <c r="B696" s="417" t="n">
        <f aca="false">B695+pas</f>
        <v>33.2000000000002</v>
      </c>
      <c r="C696" s="401"/>
      <c r="D696" s="418" t="n">
        <f aca="false">IF(AND(L695&lt;L_rampe,Poussee&lt;Poids*SIN(M695)),0,(-W695+Poussee)/m*COS(M695)-U695/m*SIN(M695))</f>
        <v>-0.864654410834704</v>
      </c>
      <c r="E696" s="419" t="n">
        <f aca="false">IF(AND(L695&lt;L_rampe,Poussee&lt;Poids*SIN(M695)),0,(-W695+Poussee)/m*SIN(M695)+U695/m*COS(M695)-Poids/m)</f>
        <v>-3.23473312846403</v>
      </c>
      <c r="F696" s="417" t="n">
        <f aca="false">SQRT(acc_x^2+acc_z^2)</f>
        <v>3.34830190731938</v>
      </c>
      <c r="G696" s="418" t="n">
        <f aca="false">G695+acc_x*pas</f>
        <v>15.0537721066268</v>
      </c>
      <c r="H696" s="419" t="n">
        <f aca="false">H695+acc_z*pas</f>
        <v>-115.457451844849</v>
      </c>
      <c r="I696" s="417" t="n">
        <f aca="false">SQRT(vit_x^2+vit_z^2)</f>
        <v>116.434699472039</v>
      </c>
      <c r="J696" s="418" t="n">
        <f aca="false">J695+0.5*(vit_x+G695)*pas*(K695&gt;=0)</f>
        <v>870.998943351661</v>
      </c>
      <c r="K696" s="419" t="n">
        <f aca="false">K695+0.5*(vit_z+H695)*pas</f>
        <v>362.59032925089</v>
      </c>
      <c r="L696" s="417" t="n">
        <f aca="false">SQRT(pos_x^2+pos_z^2)</f>
        <v>943.45689153558</v>
      </c>
      <c r="M696" s="418" t="n">
        <f aca="false">IF(AND(L695&gt;L_rampe,G696&gt;0),ATAN2(G696,H696),$M$4)</f>
        <v>-1.44114399808501</v>
      </c>
      <c r="N696" s="417" t="n">
        <f aca="false">DEGREES(Beta)</f>
        <v>-82.5714687608807</v>
      </c>
      <c r="O696" s="401"/>
      <c r="P696" s="420" t="n">
        <f aca="false">MATCH(t-pas/2-T_ini,CdP_t)</f>
        <v>23</v>
      </c>
      <c r="Q696" s="417" t="n">
        <f aca="false">(INDEX(CdP,2,i_P+1)-INDEX(CdP,2,i_P+0))/(INDEX(CdP,1,i_P+1)-INDEX(CdP,1,i_P+0))*(t-pas/2-T_ini-INDEX(CdP,1,i_P+0))+INDEX(CdP,2,i_P+0)</f>
        <v>0</v>
      </c>
      <c r="R696" s="418" t="n">
        <f aca="false">Poussee/(g*ISP)</f>
        <v>0</v>
      </c>
      <c r="S696" s="419" t="n">
        <f aca="false">S695-Débit*pas</f>
        <v>7.37799999999998</v>
      </c>
      <c r="T696" s="417" t="n">
        <f aca="false">m*g</f>
        <v>72.3781799999998</v>
      </c>
      <c r="U696" s="421" t="n">
        <f aca="false">IF(pos_xz&lt;L_rampe,Poids*COS(Beta),0)</f>
        <v>0</v>
      </c>
      <c r="V696" s="418" t="n">
        <f aca="false">Rho_moyen*(20000-Alt_rampe-pos_z)/(20000+Alt_rampe+pos_z)</f>
        <v>1.18137361002207</v>
      </c>
      <c r="W696" s="417" t="n">
        <f aca="false">1/2*Rho*Sref*Cx*vit_xz^2</f>
        <v>49.2479129484524</v>
      </c>
      <c r="X696" s="401"/>
      <c r="Y696" s="422" t="str">
        <f aca="false">IF(AND(pos_z&lt;=0,K695&gt;0),"Impact balistique","") &amp; IF(AND(H697&lt;0,vit_z&gt;=0),"Apogée","") &amp; IF(AND(Poussee=0,Q695&gt;0),"Fin de propulsion","") &amp; IF(AND(L697&gt;L_rampe,pos_xz&lt;=L_rampe),"Sortie de rampe","")</f>
        <v/>
      </c>
      <c r="Z696" s="423" t="str">
        <f aca="false">IF(ABS(t-T_para)&lt;pas/2,"Para","")</f>
        <v/>
      </c>
      <c r="AA696" s="424" t="str">
        <f aca="false">IF(ABS(t-T_satellite)&lt;pas/2,"Satellite","")</f>
        <v/>
      </c>
      <c r="AB696" s="412"/>
      <c r="AC696" s="420" t="e">
        <f aca="false">IF(ABS(t-ROUND(t,0))&lt;0.001,t,NA())</f>
        <v>#N/A</v>
      </c>
      <c r="AD696" s="425" t="e">
        <f aca="false">IF(ABS(t-ROUND(t,0))&lt;0.001,pos_x,NA())</f>
        <v>#N/A</v>
      </c>
      <c r="AE696" s="426" t="e">
        <f aca="false">IF(t&lt;T_para, pos_z, NA())</f>
        <v>#N/A</v>
      </c>
      <c r="AF696" s="412"/>
      <c r="AG696" s="418" t="n">
        <f aca="false">IF(AND(L695&lt;L_rampe,Poussee&lt;Poids*SIN(M695)),0,(-W695+Poussee)/m-Poids*SIN(M695)/m)</f>
        <v>3.09438994834376</v>
      </c>
      <c r="AH696" s="417" t="n">
        <f aca="false">IF(AND(L695&lt;L_rampe,Poussee&lt;Poids*SIN(M695)), g*SIN(M695), (-W695+Poussee)/m)</f>
        <v>-6.63187467328012</v>
      </c>
    </row>
    <row r="697" customFormat="false" ht="12" hidden="false" customHeight="false" outlineLevel="0" collapsed="false">
      <c r="A697" s="416" t="n">
        <f aca="false">IF(B696+0.01&lt;=T_ini+ROUNDUP(Temps_fin_propu,0), 0.01, IF(K696&gt;0, 0.1, 0.0001))</f>
        <v>0.1</v>
      </c>
      <c r="B697" s="417" t="n">
        <f aca="false">B696+pas</f>
        <v>33.3000000000002</v>
      </c>
      <c r="C697" s="401"/>
      <c r="D697" s="418" t="n">
        <f aca="false">IF(AND(L696&lt;L_rampe,Poussee&lt;Poids*SIN(M696)),0,(-W696+Poussee)/m*COS(M696)-U696/m*SIN(M696))</f>
        <v>-0.863002572231459</v>
      </c>
      <c r="E697" s="419" t="n">
        <f aca="false">IF(AND(L696&lt;L_rampe,Poussee&lt;Poids*SIN(M696)),0,(-W696+Poussee)/m*SIN(M696)+U696/m*COS(M696)-Poids/m)</f>
        <v>-3.19105577660949</v>
      </c>
      <c r="F697" s="417" t="n">
        <f aca="false">SQRT(acc_x^2+acc_z^2)</f>
        <v>3.3056936350955</v>
      </c>
      <c r="G697" s="418" t="n">
        <f aca="false">G696+acc_x*pas</f>
        <v>14.9674718494037</v>
      </c>
      <c r="H697" s="419" t="n">
        <f aca="false">H696+acc_z*pas</f>
        <v>-115.77655742251</v>
      </c>
      <c r="I697" s="417" t="n">
        <f aca="false">SQRT(vit_x^2+vit_z^2)</f>
        <v>116.740037956866</v>
      </c>
      <c r="J697" s="418" t="n">
        <f aca="false">J696+0.5*(vit_x+G696)*pas*(K696&gt;=0)</f>
        <v>872.500005549463</v>
      </c>
      <c r="K697" s="419" t="n">
        <f aca="false">K696+0.5*(vit_z+H696)*pas</f>
        <v>351.028628787522</v>
      </c>
      <c r="L697" s="417" t="n">
        <f aca="false">SQRT(pos_x^2+pos_z^2)</f>
        <v>940.466563952308</v>
      </c>
      <c r="M697" s="418" t="n">
        <f aca="false">IF(AND(L696&gt;L_rampe,G697&gt;0),ATAN2(G697,H697),$M$4)</f>
        <v>-1.44223045416139</v>
      </c>
      <c r="N697" s="417" t="n">
        <f aca="false">DEGREES(Beta)</f>
        <v>-82.6337181086833</v>
      </c>
      <c r="O697" s="401"/>
      <c r="P697" s="420" t="n">
        <f aca="false">MATCH(t-pas/2-T_ini,CdP_t)</f>
        <v>23</v>
      </c>
      <c r="Q697" s="417" t="n">
        <f aca="false">(INDEX(CdP,2,i_P+1)-INDEX(CdP,2,i_P+0))/(INDEX(CdP,1,i_P+1)-INDEX(CdP,1,i_P+0))*(t-pas/2-T_ini-INDEX(CdP,1,i_P+0))+INDEX(CdP,2,i_P+0)</f>
        <v>0</v>
      </c>
      <c r="R697" s="418" t="n">
        <f aca="false">Poussee/(g*ISP)</f>
        <v>0</v>
      </c>
      <c r="S697" s="419" t="n">
        <f aca="false">S696-Débit*pas</f>
        <v>7.37799999999998</v>
      </c>
      <c r="T697" s="417" t="n">
        <f aca="false">m*g</f>
        <v>72.3781799999998</v>
      </c>
      <c r="U697" s="421" t="n">
        <f aca="false">IF(pos_xz&lt;L_rampe,Poids*COS(Beta),0)</f>
        <v>0</v>
      </c>
      <c r="V697" s="418" t="n">
        <f aca="false">Rho_moyen*(20000-Alt_rampe-pos_z)/(20000+Alt_rampe+pos_z)</f>
        <v>1.18274070410805</v>
      </c>
      <c r="W697" s="417" t="n">
        <f aca="false">1/2*Rho*Sref*Cx*vit_xz^2</f>
        <v>49.5638365231074</v>
      </c>
      <c r="X697" s="401"/>
      <c r="Y697" s="422" t="str">
        <f aca="false">IF(AND(pos_z&lt;=0,K696&gt;0),"Impact balistique","") &amp; IF(AND(H698&lt;0,vit_z&gt;=0),"Apogée","") &amp; IF(AND(Poussee=0,Q696&gt;0),"Fin de propulsion","") &amp; IF(AND(L698&gt;L_rampe,pos_xz&lt;=L_rampe),"Sortie de rampe","")</f>
        <v/>
      </c>
      <c r="Z697" s="423" t="str">
        <f aca="false">IF(ABS(t-T_para)&lt;pas/2,"Para","")</f>
        <v/>
      </c>
      <c r="AA697" s="424" t="str">
        <f aca="false">IF(ABS(t-T_satellite)&lt;pas/2,"Satellite","")</f>
        <v/>
      </c>
      <c r="AB697" s="412"/>
      <c r="AC697" s="420" t="e">
        <f aca="false">IF(ABS(t-ROUND(t,0))&lt;0.001,t,NA())</f>
        <v>#N/A</v>
      </c>
      <c r="AD697" s="425" t="e">
        <f aca="false">IF(ABS(t-ROUND(t,0))&lt;0.001,pos_x,NA())</f>
        <v>#N/A</v>
      </c>
      <c r="AE697" s="426" t="e">
        <f aca="false">IF(t&lt;T_para, pos_z, NA())</f>
        <v>#N/A</v>
      </c>
      <c r="AF697" s="412"/>
      <c r="AG697" s="418" t="n">
        <f aca="false">IF(AND(L696&lt;L_rampe,Poussee&lt;Poids*SIN(M696)),0,(-W696+Poussee)/m-Poids*SIN(M696)/m)</f>
        <v>3.05269585633852</v>
      </c>
      <c r="AH697" s="417" t="n">
        <f aca="false">IF(AND(L696&lt;L_rampe,Poussee&lt;Poids*SIN(M696)), g*SIN(M696), (-W696+Poussee)/m)</f>
        <v>-6.67496787048693</v>
      </c>
    </row>
    <row r="698" customFormat="false" ht="12" hidden="false" customHeight="false" outlineLevel="0" collapsed="false">
      <c r="A698" s="416" t="n">
        <f aca="false">IF(B697+0.01&lt;=T_ini+ROUNDUP(Temps_fin_propu,0), 0.01, IF(K697&gt;0, 0.1, 0.0001))</f>
        <v>0.1</v>
      </c>
      <c r="B698" s="417" t="n">
        <f aca="false">B697+pas</f>
        <v>33.4000000000002</v>
      </c>
      <c r="C698" s="401"/>
      <c r="D698" s="418" t="n">
        <f aca="false">IF(AND(L697&lt;L_rampe,Poussee&lt;Poids*SIN(M697)),0,(-W697+Poussee)/m*COS(M697)-U697/m*SIN(M697))</f>
        <v>-0.861300867829681</v>
      </c>
      <c r="E698" s="419" t="n">
        <f aca="false">IF(AND(L697&lt;L_rampe,Poussee&lt;Poids*SIN(M697)),0,(-W697+Poussee)/m*SIN(M697)+U697/m*COS(M697)-Poids/m)</f>
        <v>-3.14765579212939</v>
      </c>
      <c r="F698" s="417" t="n">
        <f aca="false">SQRT(acc_x^2+acc_z^2)</f>
        <v>3.26336883766605</v>
      </c>
      <c r="G698" s="418" t="n">
        <f aca="false">G697+acc_x*pas</f>
        <v>14.8813417626207</v>
      </c>
      <c r="H698" s="419" t="n">
        <f aca="false">H697+acc_z*pas</f>
        <v>-116.091323001723</v>
      </c>
      <c r="I698" s="417" t="n">
        <f aca="false">SQRT(vit_x^2+vit_z^2)</f>
        <v>117.041230380351</v>
      </c>
      <c r="J698" s="418" t="n">
        <f aca="false">J697+0.5*(vit_x+G697)*pas*(K697&gt;=0)</f>
        <v>873.992446230064</v>
      </c>
      <c r="K698" s="419" t="n">
        <f aca="false">K697+0.5*(vit_z+H697)*pas</f>
        <v>339.43523476631</v>
      </c>
      <c r="L698" s="417" t="n">
        <f aca="false">SQRT(pos_x^2+pos_z^2)</f>
        <v>937.592168625608</v>
      </c>
      <c r="M698" s="418" t="n">
        <f aca="false">IF(AND(L697&gt;L_rampe,G698&gt;0),ATAN2(G698,H698),$M$4)</f>
        <v>-1.44330508384408</v>
      </c>
      <c r="N698" s="417" t="n">
        <f aca="false">DEGREES(Beta)</f>
        <v>-82.6952898540414</v>
      </c>
      <c r="O698" s="401"/>
      <c r="P698" s="420" t="n">
        <f aca="false">MATCH(t-pas/2-T_ini,CdP_t)</f>
        <v>23</v>
      </c>
      <c r="Q698" s="417" t="n">
        <f aca="false">(INDEX(CdP,2,i_P+1)-INDEX(CdP,2,i_P+0))/(INDEX(CdP,1,i_P+1)-INDEX(CdP,1,i_P+0))*(t-pas/2-T_ini-INDEX(CdP,1,i_P+0))+INDEX(CdP,2,i_P+0)</f>
        <v>0</v>
      </c>
      <c r="R698" s="418" t="n">
        <f aca="false">Poussee/(g*ISP)</f>
        <v>0</v>
      </c>
      <c r="S698" s="419" t="n">
        <f aca="false">S697-Débit*pas</f>
        <v>7.37799999999998</v>
      </c>
      <c r="T698" s="417" t="n">
        <f aca="false">m*g</f>
        <v>72.3781799999998</v>
      </c>
      <c r="U698" s="421" t="n">
        <f aca="false">IF(pos_xz&lt;L_rampe,Poids*COS(Beta),0)</f>
        <v>0</v>
      </c>
      <c r="V698" s="418" t="n">
        <f aca="false">Rho_moyen*(20000-Alt_rampe-pos_z)/(20000+Alt_rampe+pos_z)</f>
        <v>1.18411310635823</v>
      </c>
      <c r="W698" s="417" t="n">
        <f aca="false">1/2*Rho*Sref*Cx*vit_xz^2</f>
        <v>49.8777274217987</v>
      </c>
      <c r="X698" s="401"/>
      <c r="Y698" s="422" t="str">
        <f aca="false">IF(AND(pos_z&lt;=0,K697&gt;0),"Impact balistique","") &amp; IF(AND(H699&lt;0,vit_z&gt;=0),"Apogée","") &amp; IF(AND(Poussee=0,Q697&gt;0),"Fin de propulsion","") &amp; IF(AND(L699&gt;L_rampe,pos_xz&lt;=L_rampe),"Sortie de rampe","")</f>
        <v/>
      </c>
      <c r="Z698" s="423" t="str">
        <f aca="false">IF(ABS(t-T_para)&lt;pas/2,"Para","")</f>
        <v/>
      </c>
      <c r="AA698" s="424" t="str">
        <f aca="false">IF(ABS(t-T_satellite)&lt;pas/2,"Satellite","")</f>
        <v/>
      </c>
      <c r="AB698" s="412"/>
      <c r="AC698" s="420" t="e">
        <f aca="false">IF(ABS(t-ROUND(t,0))&lt;0.001,t,NA())</f>
        <v>#N/A</v>
      </c>
      <c r="AD698" s="425" t="e">
        <f aca="false">IF(ABS(t-ROUND(t,0))&lt;0.001,pos_x,NA())</f>
        <v>#N/A</v>
      </c>
      <c r="AE698" s="426" t="e">
        <f aca="false">IF(t&lt;T_para, pos_z, NA())</f>
        <v>#N/A</v>
      </c>
      <c r="AF698" s="412"/>
      <c r="AG698" s="418" t="n">
        <f aca="false">IF(AND(L697&lt;L_rampe,Poussee&lt;Poids*SIN(M697)),0,(-W697+Poussee)/m-Poids*SIN(M697)/m)</f>
        <v>3.01124842190428</v>
      </c>
      <c r="AH698" s="417" t="n">
        <f aca="false">IF(AND(L697&lt;L_rampe,Poussee&lt;Poids*SIN(M697)), g*SIN(M697), (-W697+Poussee)/m)</f>
        <v>-6.71778754718182</v>
      </c>
    </row>
    <row r="699" customFormat="false" ht="12" hidden="false" customHeight="false" outlineLevel="0" collapsed="false">
      <c r="A699" s="416" t="n">
        <f aca="false">IF(B698+0.01&lt;=T_ini+ROUNDUP(Temps_fin_propu,0), 0.01, IF(K698&gt;0, 0.1, 0.0001))</f>
        <v>0.1</v>
      </c>
      <c r="B699" s="417" t="n">
        <f aca="false">B698+pas</f>
        <v>33.5000000000002</v>
      </c>
      <c r="C699" s="401"/>
      <c r="D699" s="418" t="n">
        <f aca="false">IF(AND(L698&lt;L_rampe,Poussee&lt;Poids*SIN(M698)),0,(-W698+Poussee)/m*COS(M698)-U698/m*SIN(M698))</f>
        <v>-0.859550146646702</v>
      </c>
      <c r="E699" s="419" t="n">
        <f aca="false">IF(AND(L698&lt;L_rampe,Poussee&lt;Poids*SIN(M698)),0,(-W698+Poussee)/m*SIN(M698)+U698/m*COS(M698)-Poids/m)</f>
        <v>-3.10453517684901</v>
      </c>
      <c r="F699" s="417" t="n">
        <f aca="false">SQRT(acc_x^2+acc_z^2)</f>
        <v>3.22132971285047</v>
      </c>
      <c r="G699" s="418" t="n">
        <f aca="false">G698+acc_x*pas</f>
        <v>14.7953867479561</v>
      </c>
      <c r="H699" s="419" t="n">
        <f aca="false">H698+acc_z*pas</f>
        <v>-116.401776519408</v>
      </c>
      <c r="I699" s="417" t="n">
        <f aca="false">SQRT(vit_x^2+vit_z^2)</f>
        <v>117.338301700237</v>
      </c>
      <c r="J699" s="418" t="n">
        <f aca="false">J698+0.5*(vit_x+G698)*pas*(K698&gt;=0)</f>
        <v>875.476282655593</v>
      </c>
      <c r="K699" s="419" t="n">
        <f aca="false">K698+0.5*(vit_z+H698)*pas</f>
        <v>327.810579790254</v>
      </c>
      <c r="L699" s="417" t="n">
        <f aca="false">SQRT(pos_x^2+pos_z^2)</f>
        <v>934.836080665951</v>
      </c>
      <c r="M699" s="418" t="n">
        <f aca="false">IF(AND(L698&gt;L_rampe,G699&gt;0),ATAN2(G699,H699),$M$4)</f>
        <v>-1.44436808198053</v>
      </c>
      <c r="N699" s="417" t="n">
        <f aca="false">DEGREES(Beta)</f>
        <v>-82.7561951608899</v>
      </c>
      <c r="O699" s="401"/>
      <c r="P699" s="420" t="n">
        <f aca="false">MATCH(t-pas/2-T_ini,CdP_t)</f>
        <v>23</v>
      </c>
      <c r="Q699" s="417" t="n">
        <f aca="false">(INDEX(CdP,2,i_P+1)-INDEX(CdP,2,i_P+0))/(INDEX(CdP,1,i_P+1)-INDEX(CdP,1,i_P+0))*(t-pas/2-T_ini-INDEX(CdP,1,i_P+0))+INDEX(CdP,2,i_P+0)</f>
        <v>0</v>
      </c>
      <c r="R699" s="418" t="n">
        <f aca="false">Poussee/(g*ISP)</f>
        <v>0</v>
      </c>
      <c r="S699" s="419" t="n">
        <f aca="false">S698-Débit*pas</f>
        <v>7.37799999999998</v>
      </c>
      <c r="T699" s="417" t="n">
        <f aca="false">m*g</f>
        <v>72.3781799999998</v>
      </c>
      <c r="U699" s="421" t="n">
        <f aca="false">IF(pos_xz&lt;L_rampe,Poids*COS(Beta),0)</f>
        <v>0</v>
      </c>
      <c r="V699" s="418" t="n">
        <f aca="false">Rho_moyen*(20000-Alt_rampe-pos_z)/(20000+Alt_rampe+pos_z)</f>
        <v>1.18549078097547</v>
      </c>
      <c r="W699" s="417" t="n">
        <f aca="false">1/2*Rho*Sref*Cx*vit_xz^2</f>
        <v>50.1895716882426</v>
      </c>
      <c r="X699" s="401"/>
      <c r="Y699" s="422" t="str">
        <f aca="false">IF(AND(pos_z&lt;=0,K698&gt;0),"Impact balistique","") &amp; IF(AND(H700&lt;0,vit_z&gt;=0),"Apogée","") &amp; IF(AND(Poussee=0,Q698&gt;0),"Fin de propulsion","") &amp; IF(AND(L700&gt;L_rampe,pos_xz&lt;=L_rampe),"Sortie de rampe","")</f>
        <v/>
      </c>
      <c r="Z699" s="423" t="str">
        <f aca="false">IF(ABS(t-T_para)&lt;pas/2,"Para","")</f>
        <v/>
      </c>
      <c r="AA699" s="424" t="str">
        <f aca="false">IF(ABS(t-T_satellite)&lt;pas/2,"Satellite","")</f>
        <v/>
      </c>
      <c r="AB699" s="412"/>
      <c r="AC699" s="420" t="e">
        <f aca="false">IF(ABS(t-ROUND(t,0))&lt;0.001,t,NA())</f>
        <v>#N/A</v>
      </c>
      <c r="AD699" s="425" t="e">
        <f aca="false">IF(ABS(t-ROUND(t,0))&lt;0.001,pos_x,NA())</f>
        <v>#N/A</v>
      </c>
      <c r="AE699" s="426" t="e">
        <f aca="false">IF(t&lt;T_para, pos_z, NA())</f>
        <v>#N/A</v>
      </c>
      <c r="AF699" s="412"/>
      <c r="AG699" s="418" t="n">
        <f aca="false">IF(AND(L698&lt;L_rampe,Poussee&lt;Poids*SIN(M698)),0,(-W698+Poussee)/m-Poids*SIN(M698)/m)</f>
        <v>2.97005025803103</v>
      </c>
      <c r="AH699" s="417" t="n">
        <f aca="false">IF(AND(L698&lt;L_rampe,Poussee&lt;Poids*SIN(M698)), g*SIN(M698), (-W698+Poussee)/m)</f>
        <v>-6.76033171886674</v>
      </c>
    </row>
    <row r="700" customFormat="false" ht="12" hidden="false" customHeight="false" outlineLevel="0" collapsed="false">
      <c r="A700" s="416" t="n">
        <f aca="false">IF(B699+0.01&lt;=T_ini+ROUNDUP(Temps_fin_propu,0), 0.01, IF(K699&gt;0, 0.1, 0.0001))</f>
        <v>0.1</v>
      </c>
      <c r="B700" s="417" t="n">
        <f aca="false">B699+pas</f>
        <v>33.6000000000002</v>
      </c>
      <c r="C700" s="401"/>
      <c r="D700" s="418" t="n">
        <f aca="false">IF(AND(L699&lt;L_rampe,Poussee&lt;Poids*SIN(M699)),0,(-W699+Poussee)/m*COS(M699)-U699/m*SIN(M699))</f>
        <v>-0.857751255561328</v>
      </c>
      <c r="E700" s="419" t="n">
        <f aca="false">IF(AND(L699&lt;L_rampe,Poussee&lt;Poids*SIN(M699)),0,(-W699+Poussee)/m*SIN(M699)+U699/m*COS(M699)-Poids/m)</f>
        <v>-3.06169583871238</v>
      </c>
      <c r="F700" s="417" t="n">
        <f aca="false">SQRT(acc_x^2+acc_z^2)</f>
        <v>3.17957837223833</v>
      </c>
      <c r="G700" s="418" t="n">
        <f aca="false">G699+acc_x*pas</f>
        <v>14.7096116223999</v>
      </c>
      <c r="H700" s="419" t="n">
        <f aca="false">H699+acc_z*pas</f>
        <v>-116.70794610328</v>
      </c>
      <c r="I700" s="417" t="n">
        <f aca="false">SQRT(vit_x^2+vit_z^2)</f>
        <v>117.631277123594</v>
      </c>
      <c r="J700" s="418" t="n">
        <f aca="false">J699+0.5*(vit_x+G699)*pas*(K699&gt;=0)</f>
        <v>876.95153257411</v>
      </c>
      <c r="K700" s="419" t="n">
        <f aca="false">K699+0.5*(vit_z+H699)*pas</f>
        <v>316.155093659119</v>
      </c>
      <c r="L700" s="417" t="n">
        <f aca="false">SQRT(pos_x^2+pos_z^2)</f>
        <v>932.200640275841</v>
      </c>
      <c r="M700" s="418" t="n">
        <f aca="false">IF(AND(L699&gt;L_rampe,G700&gt;0),ATAN2(G700,H700),$M$4)</f>
        <v>-1.44541963893294</v>
      </c>
      <c r="N700" s="417" t="n">
        <f aca="false">DEGREES(Beta)</f>
        <v>-82.8164449361809</v>
      </c>
      <c r="O700" s="401"/>
      <c r="P700" s="420" t="n">
        <f aca="false">MATCH(t-pas/2-T_ini,CdP_t)</f>
        <v>23</v>
      </c>
      <c r="Q700" s="417" t="n">
        <f aca="false">(INDEX(CdP,2,i_P+1)-INDEX(CdP,2,i_P+0))/(INDEX(CdP,1,i_P+1)-INDEX(CdP,1,i_P+0))*(t-pas/2-T_ini-INDEX(CdP,1,i_P+0))+INDEX(CdP,2,i_P+0)</f>
        <v>0</v>
      </c>
      <c r="R700" s="418" t="n">
        <f aca="false">Poussee/(g*ISP)</f>
        <v>0</v>
      </c>
      <c r="S700" s="419" t="n">
        <f aca="false">S699-Débit*pas</f>
        <v>7.37799999999998</v>
      </c>
      <c r="T700" s="417" t="n">
        <f aca="false">m*g</f>
        <v>72.3781799999998</v>
      </c>
      <c r="U700" s="421" t="n">
        <f aca="false">IF(pos_xz&lt;L_rampe,Poids*COS(Beta),0)</f>
        <v>0</v>
      </c>
      <c r="V700" s="418" t="n">
        <f aca="false">Rho_moyen*(20000-Alt_rampe-pos_z)/(20000+Alt_rampe+pos_z)</f>
        <v>1.18687369234513</v>
      </c>
      <c r="W700" s="417" t="n">
        <f aca="false">1/2*Rho*Sref*Cx*vit_xz^2</f>
        <v>50.4993560429433</v>
      </c>
      <c r="X700" s="401"/>
      <c r="Y700" s="422" t="str">
        <f aca="false">IF(AND(pos_z&lt;=0,K699&gt;0),"Impact balistique","") &amp; IF(AND(H701&lt;0,vit_z&gt;=0),"Apogée","") &amp; IF(AND(Poussee=0,Q699&gt;0),"Fin de propulsion","") &amp; IF(AND(L701&gt;L_rampe,pos_xz&lt;=L_rampe),"Sortie de rampe","")</f>
        <v/>
      </c>
      <c r="Z700" s="423" t="str">
        <f aca="false">IF(ABS(t-T_para)&lt;pas/2,"Para","")</f>
        <v/>
      </c>
      <c r="AA700" s="424" t="str">
        <f aca="false">IF(ABS(t-T_satellite)&lt;pas/2,"Satellite","")</f>
        <v/>
      </c>
      <c r="AB700" s="412"/>
      <c r="AC700" s="420" t="e">
        <f aca="false">IF(ABS(t-ROUND(t,0))&lt;0.001,t,NA())</f>
        <v>#N/A</v>
      </c>
      <c r="AD700" s="425" t="e">
        <f aca="false">IF(ABS(t-ROUND(t,0))&lt;0.001,pos_x,NA())</f>
        <v>#N/A</v>
      </c>
      <c r="AE700" s="426" t="e">
        <f aca="false">IF(t&lt;T_para, pos_z, NA())</f>
        <v>#N/A</v>
      </c>
      <c r="AF700" s="412"/>
      <c r="AG700" s="418" t="n">
        <f aca="false">IF(AND(L699&lt;L_rampe,Poussee&lt;Poids*SIN(M699)),0,(-W699+Poussee)/m-Poids*SIN(M699)/m)</f>
        <v>2.92910386675497</v>
      </c>
      <c r="AH700" s="417" t="n">
        <f aca="false">IF(AND(L699&lt;L_rampe,Poussee&lt;Poids*SIN(M699)), g*SIN(M699), (-W699+Poussee)/m)</f>
        <v>-6.80259849393369</v>
      </c>
    </row>
    <row r="701" customFormat="false" ht="12" hidden="false" customHeight="false" outlineLevel="0" collapsed="false">
      <c r="A701" s="416" t="n">
        <f aca="false">IF(B700+0.01&lt;=T_ini+ROUNDUP(Temps_fin_propu,0), 0.01, IF(K700&gt;0, 0.1, 0.0001))</f>
        <v>0.1</v>
      </c>
      <c r="B701" s="417" t="n">
        <f aca="false">B700+pas</f>
        <v>33.7000000000002</v>
      </c>
      <c r="C701" s="401"/>
      <c r="D701" s="418" t="n">
        <f aca="false">IF(AND(L700&lt;L_rampe,Poussee&lt;Poids*SIN(M700)),0,(-W700+Poussee)/m*COS(M700)-U700/m*SIN(M700))</f>
        <v>-0.85590503907268</v>
      </c>
      <c r="E701" s="419" t="n">
        <f aca="false">IF(AND(L700&lt;L_rampe,Poussee&lt;Poids*SIN(M700)),0,(-W700+Poussee)/m*SIN(M700)+U700/m*COS(M700)-Poids/m)</f>
        <v>-3.01913959295125</v>
      </c>
      <c r="F701" s="417" t="n">
        <f aca="false">SQRT(acc_x^2+acc_z^2)</f>
        <v>3.13811684257229</v>
      </c>
      <c r="G701" s="418" t="n">
        <f aca="false">G700+acc_x*pas</f>
        <v>14.6240211184927</v>
      </c>
      <c r="H701" s="419" t="n">
        <f aca="false">H700+acc_z*pas</f>
        <v>-117.009860062575</v>
      </c>
      <c r="I701" s="417" t="n">
        <f aca="false">SQRT(vit_x^2+vit_z^2)</f>
        <v>117.920182095931</v>
      </c>
      <c r="J701" s="418" t="n">
        <f aca="false">J700+0.5*(vit_x+G700)*pas*(K700&gt;=0)</f>
        <v>878.418214211155</v>
      </c>
      <c r="K701" s="419" t="n">
        <f aca="false">K700+0.5*(vit_z+H700)*pas</f>
        <v>304.469203350827</v>
      </c>
      <c r="L701" s="417" t="n">
        <f aca="false">SQRT(pos_x^2+pos_z^2)</f>
        <v>929.68814924522</v>
      </c>
      <c r="M701" s="418" t="n">
        <f aca="false">IF(AND(L700&gt;L_rampe,G701&gt;0),ATAN2(G701,H701),$M$4)</f>
        <v>-1.44645994070573</v>
      </c>
      <c r="N701" s="417" t="n">
        <f aca="false">DEGREES(Beta)</f>
        <v>-82.8760498371817</v>
      </c>
      <c r="O701" s="401"/>
      <c r="P701" s="420" t="n">
        <f aca="false">MATCH(t-pas/2-T_ini,CdP_t)</f>
        <v>23</v>
      </c>
      <c r="Q701" s="417" t="n">
        <f aca="false">(INDEX(CdP,2,i_P+1)-INDEX(CdP,2,i_P+0))/(INDEX(CdP,1,i_P+1)-INDEX(CdP,1,i_P+0))*(t-pas/2-T_ini-INDEX(CdP,1,i_P+0))+INDEX(CdP,2,i_P+0)</f>
        <v>0</v>
      </c>
      <c r="R701" s="418" t="n">
        <f aca="false">Poussee/(g*ISP)</f>
        <v>0</v>
      </c>
      <c r="S701" s="419" t="n">
        <f aca="false">S700-Débit*pas</f>
        <v>7.37799999999998</v>
      </c>
      <c r="T701" s="417" t="n">
        <f aca="false">m*g</f>
        <v>72.3781799999998</v>
      </c>
      <c r="U701" s="421" t="n">
        <f aca="false">IF(pos_xz&lt;L_rampe,Poids*COS(Beta),0)</f>
        <v>0</v>
      </c>
      <c r="V701" s="418" t="n">
        <f aca="false">Rho_moyen*(20000-Alt_rampe-pos_z)/(20000+Alt_rampe+pos_z)</f>
        <v>1.18826180503717</v>
      </c>
      <c r="W701" s="417" t="n">
        <f aca="false">1/2*Rho*Sref*Cx*vit_xz^2</f>
        <v>50.8070678745297</v>
      </c>
      <c r="X701" s="401"/>
      <c r="Y701" s="422" t="str">
        <f aca="false">IF(AND(pos_z&lt;=0,K700&gt;0),"Impact balistique","") &amp; IF(AND(H702&lt;0,vit_z&gt;=0),"Apogée","") &amp; IF(AND(Poussee=0,Q700&gt;0),"Fin de propulsion","") &amp; IF(AND(L702&gt;L_rampe,pos_xz&lt;=L_rampe),"Sortie de rampe","")</f>
        <v/>
      </c>
      <c r="Z701" s="423" t="str">
        <f aca="false">IF(ABS(t-T_para)&lt;pas/2,"Para","")</f>
        <v/>
      </c>
      <c r="AA701" s="424" t="str">
        <f aca="false">IF(ABS(t-T_satellite)&lt;pas/2,"Satellite","")</f>
        <v/>
      </c>
      <c r="AB701" s="412"/>
      <c r="AC701" s="420" t="e">
        <f aca="false">IF(ABS(t-ROUND(t,0))&lt;0.001,t,NA())</f>
        <v>#N/A</v>
      </c>
      <c r="AD701" s="425" t="e">
        <f aca="false">IF(ABS(t-ROUND(t,0))&lt;0.001,pos_x,NA())</f>
        <v>#N/A</v>
      </c>
      <c r="AE701" s="426" t="e">
        <f aca="false">IF(t&lt;T_para, pos_z, NA())</f>
        <v>#N/A</v>
      </c>
      <c r="AF701" s="412"/>
      <c r="AG701" s="418" t="n">
        <f aca="false">IF(AND(L700&lt;L_rampe,Poussee&lt;Poids*SIN(M700)),0,(-W700+Poussee)/m-Poids*SIN(M700)/m)</f>
        <v>2.8884116409365</v>
      </c>
      <c r="AH701" s="417" t="n">
        <f aca="false">IF(AND(L700&lt;L_rampe,Poussee&lt;Poids*SIN(M700)), g*SIN(M700), (-W700+Poussee)/m)</f>
        <v>-6.84458607250521</v>
      </c>
    </row>
    <row r="702" customFormat="false" ht="12" hidden="false" customHeight="false" outlineLevel="0" collapsed="false">
      <c r="A702" s="416" t="n">
        <f aca="false">IF(B701+0.01&lt;=T_ini+ROUNDUP(Temps_fin_propu,0), 0.01, IF(K701&gt;0, 0.1, 0.0001))</f>
        <v>0.1</v>
      </c>
      <c r="B702" s="417" t="n">
        <f aca="false">B701+pas</f>
        <v>33.8000000000002</v>
      </c>
      <c r="C702" s="401"/>
      <c r="D702" s="418" t="n">
        <f aca="false">IF(AND(L701&lt;L_rampe,Poussee&lt;Poids*SIN(M701)),0,(-W701+Poussee)/m*COS(M701)-U701/m*SIN(M701))</f>
        <v>-0.854012339065777</v>
      </c>
      <c r="E702" s="419" t="n">
        <f aca="false">IF(AND(L701&lt;L_rampe,Poussee&lt;Poids*SIN(M701)),0,(-W701+Poussee)/m*SIN(M701)+U701/m*COS(M701)-Poids/m)</f>
        <v>-2.976868163269</v>
      </c>
      <c r="F702" s="417" t="n">
        <f aca="false">SQRT(acc_x^2+acc_z^2)</f>
        <v>3.09694706715519</v>
      </c>
      <c r="G702" s="418" t="n">
        <f aca="false">G701+acc_x*pas</f>
        <v>14.5386198845861</v>
      </c>
      <c r="H702" s="419" t="n">
        <f aca="false">H701+acc_z*pas</f>
        <v>-117.307546878902</v>
      </c>
      <c r="I702" s="417" t="n">
        <f aca="false">SQRT(vit_x^2+vit_z^2)</f>
        <v>118.20504229048</v>
      </c>
      <c r="J702" s="418" t="n">
        <f aca="false">J701+0.5*(vit_x+G701)*pas*(K701&gt;=0)</f>
        <v>879.876346261309</v>
      </c>
      <c r="K702" s="419" t="n">
        <f aca="false">K701+0.5*(vit_z+H701)*pas</f>
        <v>292.753333003753</v>
      </c>
      <c r="L702" s="417" t="n">
        <f aca="false">SQRT(pos_x^2+pos_z^2)</f>
        <v>927.300867407638</v>
      </c>
      <c r="M702" s="418" t="n">
        <f aca="false">IF(AND(L701&gt;L_rampe,G702&gt;0),ATAN2(G702,H702),$M$4)</f>
        <v>-1.4474891690686</v>
      </c>
      <c r="N702" s="417" t="n">
        <f aca="false">DEGREES(Beta)</f>
        <v>-82.9350202785295</v>
      </c>
      <c r="O702" s="401"/>
      <c r="P702" s="420" t="n">
        <f aca="false">MATCH(t-pas/2-T_ini,CdP_t)</f>
        <v>23</v>
      </c>
      <c r="Q702" s="417" t="n">
        <f aca="false">(INDEX(CdP,2,i_P+1)-INDEX(CdP,2,i_P+0))/(INDEX(CdP,1,i_P+1)-INDEX(CdP,1,i_P+0))*(t-pas/2-T_ini-INDEX(CdP,1,i_P+0))+INDEX(CdP,2,i_P+0)</f>
        <v>0</v>
      </c>
      <c r="R702" s="418" t="n">
        <f aca="false">Poussee/(g*ISP)</f>
        <v>0</v>
      </c>
      <c r="S702" s="419" t="n">
        <f aca="false">S701-Débit*pas</f>
        <v>7.37799999999998</v>
      </c>
      <c r="T702" s="417" t="n">
        <f aca="false">m*g</f>
        <v>72.3781799999998</v>
      </c>
      <c r="U702" s="421" t="n">
        <f aca="false">IF(pos_xz&lt;L_rampe,Poids*COS(Beta),0)</f>
        <v>0</v>
      </c>
      <c r="V702" s="418" t="n">
        <f aca="false">Rho_moyen*(20000-Alt_rampe-pos_z)/(20000+Alt_rampe+pos_z)</f>
        <v>1.18965508380804</v>
      </c>
      <c r="W702" s="417" t="n">
        <f aca="false">1/2*Rho*Sref*Cx*vit_xz^2</f>
        <v>51.1126952309919</v>
      </c>
      <c r="X702" s="401"/>
      <c r="Y702" s="422" t="str">
        <f aca="false">IF(AND(pos_z&lt;=0,K701&gt;0),"Impact balistique","") &amp; IF(AND(H703&lt;0,vit_z&gt;=0),"Apogée","") &amp; IF(AND(Poussee=0,Q701&gt;0),"Fin de propulsion","") &amp; IF(AND(L703&gt;L_rampe,pos_xz&lt;=L_rampe),"Sortie de rampe","")</f>
        <v/>
      </c>
      <c r="Z702" s="423" t="str">
        <f aca="false">IF(ABS(t-T_para)&lt;pas/2,"Para","")</f>
        <v/>
      </c>
      <c r="AA702" s="424" t="str">
        <f aca="false">IF(ABS(t-T_satellite)&lt;pas/2,"Satellite","")</f>
        <v/>
      </c>
      <c r="AB702" s="412"/>
      <c r="AC702" s="420" t="e">
        <f aca="false">IF(ABS(t-ROUND(t,0))&lt;0.001,t,NA())</f>
        <v>#N/A</v>
      </c>
      <c r="AD702" s="425" t="e">
        <f aca="false">IF(ABS(t-ROUND(t,0))&lt;0.001,pos_x,NA())</f>
        <v>#N/A</v>
      </c>
      <c r="AE702" s="426" t="e">
        <f aca="false">IF(t&lt;T_para, pos_z, NA())</f>
        <v>#N/A</v>
      </c>
      <c r="AF702" s="412"/>
      <c r="AG702" s="418" t="n">
        <f aca="false">IF(AND(L701&lt;L_rampe,Poussee&lt;Poids*SIN(M701)),0,(-W701+Poussee)/m-Poids*SIN(M701)/m)</f>
        <v>2.84797586602843</v>
      </c>
      <c r="AH702" s="417" t="n">
        <f aca="false">IF(AND(L701&lt;L_rampe,Poussee&lt;Poids*SIN(M701)), g*SIN(M701), (-W701+Poussee)/m)</f>
        <v>-6.88629274526021</v>
      </c>
    </row>
    <row r="703" customFormat="false" ht="12" hidden="false" customHeight="false" outlineLevel="0" collapsed="false">
      <c r="A703" s="416" t="n">
        <f aca="false">IF(B702+0.01&lt;=T_ini+ROUNDUP(Temps_fin_propu,0), 0.01, IF(K702&gt;0, 0.1, 0.0001))</f>
        <v>0.1</v>
      </c>
      <c r="B703" s="417" t="n">
        <f aca="false">B702+pas</f>
        <v>33.9000000000002</v>
      </c>
      <c r="C703" s="401"/>
      <c r="D703" s="418" t="n">
        <f aca="false">IF(AND(L702&lt;L_rampe,Poussee&lt;Poids*SIN(M702)),0,(-W702+Poussee)/m*COS(M702)-U702/m*SIN(M702))</f>
        <v>-0.852073994583768</v>
      </c>
      <c r="E703" s="419" t="n">
        <f aca="false">IF(AND(L702&lt;L_rampe,Poussee&lt;Poids*SIN(M702)),0,(-W702+Poussee)/m*SIN(M702)+U702/m*COS(M702)-Poids/m)</f>
        <v>-2.93488318303853</v>
      </c>
      <c r="F703" s="417" t="n">
        <f aca="false">SQRT(acc_x^2+acc_z^2)</f>
        <v>3.05607090728083</v>
      </c>
      <c r="G703" s="418" t="n">
        <f aca="false">G702+acc_x*pas</f>
        <v>14.4534124851277</v>
      </c>
      <c r="H703" s="419" t="n">
        <f aca="false">H702+acc_z*pas</f>
        <v>-117.601035197205</v>
      </c>
      <c r="I703" s="417" t="n">
        <f aca="false">SQRT(vit_x^2+vit_z^2)</f>
        <v>118.485883597666</v>
      </c>
      <c r="J703" s="418" t="n">
        <f aca="false">J702+0.5*(vit_x+G702)*pas*(K702&gt;=0)</f>
        <v>881.325947879795</v>
      </c>
      <c r="K703" s="419" t="n">
        <f aca="false">K702+0.5*(vit_z+H702)*pas</f>
        <v>281.007903899948</v>
      </c>
      <c r="L703" s="417" t="n">
        <f aca="false">SQRT(pos_x^2+pos_z^2)</f>
        <v>925.041009069577</v>
      </c>
      <c r="M703" s="418" t="n">
        <f aca="false">IF(AND(L702&gt;L_rampe,G703&gt;0),ATAN2(G703,H703),$M$4)</f>
        <v>-1.44850750167562</v>
      </c>
      <c r="N703" s="417" t="n">
        <f aca="false">DEGREES(Beta)</f>
        <v>-82.9933664390521</v>
      </c>
      <c r="O703" s="401"/>
      <c r="P703" s="420" t="n">
        <f aca="false">MATCH(t-pas/2-T_ini,CdP_t)</f>
        <v>23</v>
      </c>
      <c r="Q703" s="417" t="n">
        <f aca="false">(INDEX(CdP,2,i_P+1)-INDEX(CdP,2,i_P+0))/(INDEX(CdP,1,i_P+1)-INDEX(CdP,1,i_P+0))*(t-pas/2-T_ini-INDEX(CdP,1,i_P+0))+INDEX(CdP,2,i_P+0)</f>
        <v>0</v>
      </c>
      <c r="R703" s="418" t="n">
        <f aca="false">Poussee/(g*ISP)</f>
        <v>0</v>
      </c>
      <c r="S703" s="419" t="n">
        <f aca="false">S702-Débit*pas</f>
        <v>7.37799999999998</v>
      </c>
      <c r="T703" s="417" t="n">
        <f aca="false">m*g</f>
        <v>72.3781799999998</v>
      </c>
      <c r="U703" s="421" t="n">
        <f aca="false">IF(pos_xz&lt;L_rampe,Poids*COS(Beta),0)</f>
        <v>0</v>
      </c>
      <c r="V703" s="418" t="n">
        <f aca="false">Rho_moyen*(20000-Alt_rampe-pos_z)/(20000+Alt_rampe+pos_z)</f>
        <v>1.19105349360263</v>
      </c>
      <c r="W703" s="417" t="n">
        <f aca="false">1/2*Rho*Sref*Cx*vit_xz^2</f>
        <v>51.4162268108245</v>
      </c>
      <c r="X703" s="401"/>
      <c r="Y703" s="422" t="str">
        <f aca="false">IF(AND(pos_z&lt;=0,K702&gt;0),"Impact balistique","") &amp; IF(AND(H704&lt;0,vit_z&gt;=0),"Apogée","") &amp; IF(AND(Poussee=0,Q702&gt;0),"Fin de propulsion","") &amp; IF(AND(L704&gt;L_rampe,pos_xz&lt;=L_rampe),"Sortie de rampe","")</f>
        <v/>
      </c>
      <c r="Z703" s="423" t="str">
        <f aca="false">IF(ABS(t-T_para)&lt;pas/2,"Para","")</f>
        <v/>
      </c>
      <c r="AA703" s="424" t="str">
        <f aca="false">IF(ABS(t-T_satellite)&lt;pas/2,"Satellite","")</f>
        <v/>
      </c>
      <c r="AB703" s="412"/>
      <c r="AC703" s="420" t="e">
        <f aca="false">IF(ABS(t-ROUND(t,0))&lt;0.001,t,NA())</f>
        <v>#N/A</v>
      </c>
      <c r="AD703" s="425" t="e">
        <f aca="false">IF(ABS(t-ROUND(t,0))&lt;0.001,pos_x,NA())</f>
        <v>#N/A</v>
      </c>
      <c r="AE703" s="426" t="e">
        <f aca="false">IF(t&lt;T_para, pos_z, NA())</f>
        <v>#N/A</v>
      </c>
      <c r="AF703" s="412"/>
      <c r="AG703" s="418" t="n">
        <f aca="false">IF(AND(L702&lt;L_rampe,Poussee&lt;Poids*SIN(M702)),0,(-W702+Poussee)/m-Poids*SIN(M702)/m)</f>
        <v>2.80779872183445</v>
      </c>
      <c r="AH703" s="417" t="n">
        <f aca="false">IF(AND(L702&lt;L_rampe,Poussee&lt;Poids*SIN(M702)), g*SIN(M702), (-W702+Poussee)/m)</f>
        <v>-6.92771689224613</v>
      </c>
    </row>
    <row r="704" customFormat="false" ht="12" hidden="false" customHeight="false" outlineLevel="0" collapsed="false">
      <c r="A704" s="416" t="n">
        <f aca="false">IF(B703+0.01&lt;=T_ini+ROUNDUP(Temps_fin_propu,0), 0.01, IF(K703&gt;0, 0.1, 0.0001))</f>
        <v>0.1</v>
      </c>
      <c r="B704" s="417" t="n">
        <f aca="false">B703+pas</f>
        <v>34.0000000000002</v>
      </c>
      <c r="C704" s="401"/>
      <c r="D704" s="418" t="n">
        <f aca="false">IF(AND(L703&lt;L_rampe,Poussee&lt;Poids*SIN(M703)),0,(-W703+Poussee)/m*COS(M703)-U703/m*SIN(M703))</f>
        <v>-0.85009084160678</v>
      </c>
      <c r="E704" s="419" t="n">
        <f aca="false">IF(AND(L703&lt;L_rampe,Poussee&lt;Poids*SIN(M703)),0,(-W703+Poussee)/m*SIN(M703)+U703/m*COS(M703)-Poids/m)</f>
        <v>-2.89318619651313</v>
      </c>
      <c r="F704" s="417" t="n">
        <f aca="false">SQRT(acc_x^2+acc_z^2)</f>
        <v>3.01549014368772</v>
      </c>
      <c r="G704" s="418" t="n">
        <f aca="false">G703+acc_x*pas</f>
        <v>14.368403400967</v>
      </c>
      <c r="H704" s="419" t="n">
        <f aca="false">H703+acc_z*pas</f>
        <v>-117.890353816857</v>
      </c>
      <c r="I704" s="417" t="n">
        <f aca="false">SQRT(vit_x^2+vit_z^2)</f>
        <v>118.762732114736</v>
      </c>
      <c r="J704" s="418" t="n">
        <f aca="false">J703+0.5*(vit_x+G703)*pas*(K703&gt;=0)</f>
        <v>882.767038674099</v>
      </c>
      <c r="K704" s="419" t="n">
        <f aca="false">K703+0.5*(vit_z+H703)*pas</f>
        <v>269.233334449244</v>
      </c>
      <c r="L704" s="417" t="n">
        <f aca="false">SQRT(pos_x^2+pos_z^2)</f>
        <v>922.910739426136</v>
      </c>
      <c r="M704" s="418" t="n">
        <f aca="false">IF(AND(L703&gt;L_rampe,G704&gt;0),ATAN2(G704,H704),$M$4)</f>
        <v>-1.44951511218031</v>
      </c>
      <c r="N704" s="417" t="n">
        <f aca="false">DEGREES(Beta)</f>
        <v>-83.0510982683639</v>
      </c>
      <c r="O704" s="401"/>
      <c r="P704" s="420" t="n">
        <f aca="false">MATCH(t-pas/2-T_ini,CdP_t)</f>
        <v>23</v>
      </c>
      <c r="Q704" s="417" t="n">
        <f aca="false">(INDEX(CdP,2,i_P+1)-INDEX(CdP,2,i_P+0))/(INDEX(CdP,1,i_P+1)-INDEX(CdP,1,i_P+0))*(t-pas/2-T_ini-INDEX(CdP,1,i_P+0))+INDEX(CdP,2,i_P+0)</f>
        <v>0</v>
      </c>
      <c r="R704" s="418" t="n">
        <f aca="false">Poussee/(g*ISP)</f>
        <v>0</v>
      </c>
      <c r="S704" s="419" t="n">
        <f aca="false">S703-Débit*pas</f>
        <v>7.37799999999998</v>
      </c>
      <c r="T704" s="417" t="n">
        <f aca="false">m*g</f>
        <v>72.3781799999998</v>
      </c>
      <c r="U704" s="421" t="n">
        <f aca="false">IF(pos_xz&lt;L_rampe,Poids*COS(Beta),0)</f>
        <v>0</v>
      </c>
      <c r="V704" s="418" t="n">
        <f aca="false">Rho_moyen*(20000-Alt_rampe-pos_z)/(20000+Alt_rampe+pos_z)</f>
        <v>1.19245699955609</v>
      </c>
      <c r="W704" s="417" t="n">
        <f aca="false">1/2*Rho*Sref*Cx*vit_xz^2</f>
        <v>51.7176519540844</v>
      </c>
      <c r="X704" s="401"/>
      <c r="Y704" s="422" t="str">
        <f aca="false">IF(AND(pos_z&lt;=0,K703&gt;0),"Impact balistique","") &amp; IF(AND(H705&lt;0,vit_z&gt;=0),"Apogée","") &amp; IF(AND(Poussee=0,Q703&gt;0),"Fin de propulsion","") &amp; IF(AND(L705&gt;L_rampe,pos_xz&lt;=L_rampe),"Sortie de rampe","")</f>
        <v/>
      </c>
      <c r="Z704" s="423" t="str">
        <f aca="false">IF(ABS(t-T_para)&lt;pas/2,"Para","")</f>
        <v/>
      </c>
      <c r="AA704" s="424" t="str">
        <f aca="false">IF(ABS(t-T_satellite)&lt;pas/2,"Satellite","")</f>
        <v/>
      </c>
      <c r="AB704" s="412"/>
      <c r="AC704" s="420" t="n">
        <f aca="false">IF(ABS(t-ROUND(t,0))&lt;0.001,t,NA())</f>
        <v>34.0000000000002</v>
      </c>
      <c r="AD704" s="425" t="n">
        <f aca="false">IF(ABS(t-ROUND(t,0))&lt;0.001,pos_x,NA())</f>
        <v>882.767038674099</v>
      </c>
      <c r="AE704" s="426" t="e">
        <f aca="false">IF(t&lt;T_para, pos_z, NA())</f>
        <v>#N/A</v>
      </c>
      <c r="AF704" s="412"/>
      <c r="AG704" s="418" t="n">
        <f aca="false">IF(AND(L703&lt;L_rampe,Poussee&lt;Poids*SIN(M703)),0,(-W703+Poussee)/m-Poids*SIN(M703)/m)</f>
        <v>2.76788228425802</v>
      </c>
      <c r="AH704" s="417" t="n">
        <f aca="false">IF(AND(L703&lt;L_rampe,Poussee&lt;Poids*SIN(M703)), g*SIN(M703), (-W703+Poussee)/m)</f>
        <v>-6.96885698167858</v>
      </c>
    </row>
    <row r="705" customFormat="false" ht="12" hidden="false" customHeight="false" outlineLevel="0" collapsed="false">
      <c r="A705" s="416" t="n">
        <f aca="false">IF(B704+0.01&lt;=T_ini+ROUNDUP(Temps_fin_propu,0), 0.01, IF(K704&gt;0, 0.1, 0.0001))</f>
        <v>0.1</v>
      </c>
      <c r="B705" s="417" t="n">
        <f aca="false">B704+pas</f>
        <v>34.1000000000002</v>
      </c>
      <c r="C705" s="401"/>
      <c r="D705" s="418" t="n">
        <f aca="false">IF(AND(L704&lt;L_rampe,Poussee&lt;Poids*SIN(M704)),0,(-W704+Poussee)/m*COS(M704)-U704/m*SIN(M704))</f>
        <v>-0.848063712837322</v>
      </c>
      <c r="E705" s="419" t="n">
        <f aca="false">IF(AND(L704&lt;L_rampe,Poussee&lt;Poids*SIN(M704)),0,(-W704+Poussee)/m*SIN(M704)+U704/m*COS(M704)-Poids/m)</f>
        <v>-2.8517786600493</v>
      </c>
      <c r="F705" s="417" t="n">
        <f aca="false">SQRT(acc_x^2+acc_z^2)</f>
        <v>2.97520647803543</v>
      </c>
      <c r="G705" s="418" t="n">
        <f aca="false">G704+acc_x*pas</f>
        <v>14.2835970296833</v>
      </c>
      <c r="H705" s="419" t="n">
        <f aca="false">H704+acc_z*pas</f>
        <v>-118.175531682862</v>
      </c>
      <c r="I705" s="417" t="n">
        <f aca="false">SQRT(vit_x^2+vit_z^2)</f>
        <v>119.035614135575</v>
      </c>
      <c r="J705" s="418" t="n">
        <f aca="false">J704+0.5*(vit_x+G704)*pas*(K704&gt;=0)</f>
        <v>884.199638695632</v>
      </c>
      <c r="K705" s="419" t="n">
        <f aca="false">K704+0.5*(vit_z+H704)*pas</f>
        <v>257.430040174258</v>
      </c>
      <c r="L705" s="417" t="n">
        <f aca="false">SQRT(pos_x^2+pos_z^2)</f>
        <v>920.912170977019</v>
      </c>
      <c r="M705" s="418" t="n">
        <f aca="false">IF(AND(L704&gt;L_rampe,G705&gt;0),ATAN2(G705,H705),$M$4)</f>
        <v>-1.45051217034701</v>
      </c>
      <c r="N705" s="417" t="n">
        <f aca="false">DEGREES(Beta)</f>
        <v>-83.108225493245</v>
      </c>
      <c r="O705" s="401"/>
      <c r="P705" s="420" t="n">
        <f aca="false">MATCH(t-pas/2-T_ini,CdP_t)</f>
        <v>23</v>
      </c>
      <c r="Q705" s="417" t="n">
        <f aca="false">(INDEX(CdP,2,i_P+1)-INDEX(CdP,2,i_P+0))/(INDEX(CdP,1,i_P+1)-INDEX(CdP,1,i_P+0))*(t-pas/2-T_ini-INDEX(CdP,1,i_P+0))+INDEX(CdP,2,i_P+0)</f>
        <v>0</v>
      </c>
      <c r="R705" s="418" t="n">
        <f aca="false">Poussee/(g*ISP)</f>
        <v>0</v>
      </c>
      <c r="S705" s="419" t="n">
        <f aca="false">S704-Débit*pas</f>
        <v>7.37799999999998</v>
      </c>
      <c r="T705" s="417" t="n">
        <f aca="false">m*g</f>
        <v>72.3781799999998</v>
      </c>
      <c r="U705" s="421" t="n">
        <f aca="false">IF(pos_xz&lt;L_rampe,Poids*COS(Beta),0)</f>
        <v>0</v>
      </c>
      <c r="V705" s="418" t="n">
        <f aca="false">Rho_moyen*(20000-Alt_rampe-pos_z)/(20000+Alt_rampe+pos_z)</f>
        <v>1.19386556699561</v>
      </c>
      <c r="W705" s="417" t="n">
        <f aca="false">1/2*Rho*Sref*Cx*vit_xz^2</f>
        <v>52.0169606333694</v>
      </c>
      <c r="X705" s="401"/>
      <c r="Y705" s="422" t="str">
        <f aca="false">IF(AND(pos_z&lt;=0,K704&gt;0),"Impact balistique","") &amp; IF(AND(H706&lt;0,vit_z&gt;=0),"Apogée","") &amp; IF(AND(Poussee=0,Q704&gt;0),"Fin de propulsion","") &amp; IF(AND(L706&gt;L_rampe,pos_xz&lt;=L_rampe),"Sortie de rampe","")</f>
        <v/>
      </c>
      <c r="Z705" s="423" t="str">
        <f aca="false">IF(ABS(t-T_para)&lt;pas/2,"Para","")</f>
        <v/>
      </c>
      <c r="AA705" s="424" t="str">
        <f aca="false">IF(ABS(t-T_satellite)&lt;pas/2,"Satellite","")</f>
        <v/>
      </c>
      <c r="AB705" s="412"/>
      <c r="AC705" s="420" t="e">
        <f aca="false">IF(ABS(t-ROUND(t,0))&lt;0.001,t,NA())</f>
        <v>#N/A</v>
      </c>
      <c r="AD705" s="425" t="e">
        <f aca="false">IF(ABS(t-ROUND(t,0))&lt;0.001,pos_x,NA())</f>
        <v>#N/A</v>
      </c>
      <c r="AE705" s="426" t="e">
        <f aca="false">IF(t&lt;T_para, pos_z, NA())</f>
        <v>#N/A</v>
      </c>
      <c r="AF705" s="412"/>
      <c r="AG705" s="418" t="n">
        <f aca="false">IF(AND(L704&lt;L_rampe,Poussee&lt;Poids*SIN(M704)),0,(-W704+Poussee)/m-Poids*SIN(M704)/m)</f>
        <v>2.72822852704145</v>
      </c>
      <c r="AH705" s="417" t="n">
        <f aca="false">IF(AND(L704&lt;L_rampe,Poussee&lt;Poids*SIN(M704)), g*SIN(M704), (-W704+Poussee)/m)</f>
        <v>-7.00971156872926</v>
      </c>
    </row>
    <row r="706" customFormat="false" ht="12" hidden="false" customHeight="false" outlineLevel="0" collapsed="false">
      <c r="A706" s="416" t="n">
        <f aca="false">IF(B705+0.01&lt;=T_ini+ROUNDUP(Temps_fin_propu,0), 0.01, IF(K705&gt;0, 0.1, 0.0001))</f>
        <v>0.1</v>
      </c>
      <c r="B706" s="417" t="n">
        <f aca="false">B705+pas</f>
        <v>34.2000000000002</v>
      </c>
      <c r="C706" s="401"/>
      <c r="D706" s="418" t="n">
        <f aca="false">IF(AND(L705&lt;L_rampe,Poussee&lt;Poids*SIN(M705)),0,(-W705+Poussee)/m*COS(M705)-U705/m*SIN(M705))</f>
        <v>-0.845993437492183</v>
      </c>
      <c r="E706" s="419" t="n">
        <f aca="false">IF(AND(L705&lt;L_rampe,Poussee&lt;Poids*SIN(M705)),0,(-W705+Poussee)/m*SIN(M705)+U705/m*COS(M705)-Poids/m)</f>
        <v>-2.81066194334053</v>
      </c>
      <c r="F706" s="417" t="n">
        <f aca="false">SQRT(acc_x^2+acc_z^2)</f>
        <v>2.93522153440291</v>
      </c>
      <c r="G706" s="418" t="n">
        <f aca="false">G705+acc_x*pas</f>
        <v>14.1989976859341</v>
      </c>
      <c r="H706" s="419" t="n">
        <f aca="false">H705+acc_z*pas</f>
        <v>-118.456597877196</v>
      </c>
      <c r="I706" s="417" t="n">
        <f aca="false">SQRT(vit_x^2+vit_z^2)</f>
        <v>119.304556140681</v>
      </c>
      <c r="J706" s="418" t="n">
        <f aca="false">J705+0.5*(vit_x+G705)*pas*(K705&gt;=0)</f>
        <v>885.623768431413</v>
      </c>
      <c r="K706" s="419" t="n">
        <f aca="false">K705+0.5*(vit_z+H705)*pas</f>
        <v>245.598433696256</v>
      </c>
      <c r="L706" s="417" t="n">
        <f aca="false">SQRT(pos_x^2+pos_z^2)</f>
        <v>919.047359957424</v>
      </c>
      <c r="M706" s="418" t="n">
        <f aca="false">IF(AND(L705&gt;L_rampe,G706&gt;0),ATAN2(G706,H706),$M$4)</f>
        <v>-1.45149884215857</v>
      </c>
      <c r="N706" s="417" t="n">
        <f aca="false">DEGREES(Beta)</f>
        <v>-83.1647576238115</v>
      </c>
      <c r="O706" s="401"/>
      <c r="P706" s="420" t="n">
        <f aca="false">MATCH(t-pas/2-T_ini,CdP_t)</f>
        <v>23</v>
      </c>
      <c r="Q706" s="417" t="n">
        <f aca="false">(INDEX(CdP,2,i_P+1)-INDEX(CdP,2,i_P+0))/(INDEX(CdP,1,i_P+1)-INDEX(CdP,1,i_P+0))*(t-pas/2-T_ini-INDEX(CdP,1,i_P+0))+INDEX(CdP,2,i_P+0)</f>
        <v>0</v>
      </c>
      <c r="R706" s="418" t="n">
        <f aca="false">Poussee/(g*ISP)</f>
        <v>0</v>
      </c>
      <c r="S706" s="419" t="n">
        <f aca="false">S705-Débit*pas</f>
        <v>7.37799999999998</v>
      </c>
      <c r="T706" s="417" t="n">
        <f aca="false">m*g</f>
        <v>72.3781799999998</v>
      </c>
      <c r="U706" s="421" t="n">
        <f aca="false">IF(pos_xz&lt;L_rampe,Poids*COS(Beta),0)</f>
        <v>0</v>
      </c>
      <c r="V706" s="418" t="n">
        <f aca="false">Rho_moyen*(20000-Alt_rampe-pos_z)/(20000+Alt_rampe+pos_z)</f>
        <v>1.19527916144211</v>
      </c>
      <c r="W706" s="417" t="n">
        <f aca="false">1/2*Rho*Sref*Cx*vit_xz^2</f>
        <v>52.3141434447257</v>
      </c>
      <c r="X706" s="401"/>
      <c r="Y706" s="422" t="str">
        <f aca="false">IF(AND(pos_z&lt;=0,K705&gt;0),"Impact balistique","") &amp; IF(AND(H707&lt;0,vit_z&gt;=0),"Apogée","") &amp; IF(AND(Poussee=0,Q705&gt;0),"Fin de propulsion","") &amp; IF(AND(L707&gt;L_rampe,pos_xz&lt;=L_rampe),"Sortie de rampe","")</f>
        <v/>
      </c>
      <c r="Z706" s="423" t="str">
        <f aca="false">IF(ABS(t-T_para)&lt;pas/2,"Para","")</f>
        <v/>
      </c>
      <c r="AA706" s="424" t="str">
        <f aca="false">IF(ABS(t-T_satellite)&lt;pas/2,"Satellite","")</f>
        <v/>
      </c>
      <c r="AB706" s="412"/>
      <c r="AC706" s="420" t="e">
        <f aca="false">IF(ABS(t-ROUND(t,0))&lt;0.001,t,NA())</f>
        <v>#N/A</v>
      </c>
      <c r="AD706" s="425" t="e">
        <f aca="false">IF(ABS(t-ROUND(t,0))&lt;0.001,pos_x,NA())</f>
        <v>#N/A</v>
      </c>
      <c r="AE706" s="426" t="e">
        <f aca="false">IF(t&lt;T_para, pos_z, NA())</f>
        <v>#N/A</v>
      </c>
      <c r="AF706" s="412"/>
      <c r="AG706" s="418" t="n">
        <f aca="false">IF(AND(L705&lt;L_rampe,Poussee&lt;Poids*SIN(M705)),0,(-W705+Poussee)/m-Poids*SIN(M705)/m)</f>
        <v>2.68883932349539</v>
      </c>
      <c r="AH706" s="417" t="n">
        <f aca="false">IF(AND(L705&lt;L_rampe,Poussee&lt;Poids*SIN(M705)), g*SIN(M705), (-W705+Poussee)/m)</f>
        <v>-7.05027929430327</v>
      </c>
    </row>
    <row r="707" customFormat="false" ht="12" hidden="false" customHeight="false" outlineLevel="0" collapsed="false">
      <c r="A707" s="416" t="n">
        <f aca="false">IF(B706+0.01&lt;=T_ini+ROUNDUP(Temps_fin_propu,0), 0.01, IF(K706&gt;0, 0.1, 0.0001))</f>
        <v>0.1</v>
      </c>
      <c r="B707" s="417" t="n">
        <f aca="false">B706+pas</f>
        <v>34.3000000000002</v>
      </c>
      <c r="C707" s="401"/>
      <c r="D707" s="418" t="n">
        <f aca="false">IF(AND(L706&lt;L_rampe,Poussee&lt;Poids*SIN(M706)),0,(-W706+Poussee)/m*COS(M706)-U706/m*SIN(M706))</f>
        <v>-0.843880841100762</v>
      </c>
      <c r="E707" s="419" t="n">
        <f aca="false">IF(AND(L706&lt;L_rampe,Poussee&lt;Poids*SIN(M706)),0,(-W706+Poussee)/m*SIN(M706)+U706/m*COS(M706)-Poids/m)</f>
        <v>-2.76983733066109</v>
      </c>
      <c r="F707" s="417" t="n">
        <f aca="false">SQRT(acc_x^2+acc_z^2)</f>
        <v>2.89553686080849</v>
      </c>
      <c r="G707" s="418" t="n">
        <f aca="false">G706+acc_x*pas</f>
        <v>14.114609601824</v>
      </c>
      <c r="H707" s="419" t="n">
        <f aca="false">H706+acc_z*pas</f>
        <v>-118.733581610262</v>
      </c>
      <c r="I707" s="417" t="n">
        <f aca="false">SQRT(vit_x^2+vit_z^2)</f>
        <v>119.569584787322</v>
      </c>
      <c r="J707" s="418" t="n">
        <f aca="false">J706+0.5*(vit_x+G706)*pas*(K706&gt;=0)</f>
        <v>887.039448795801</v>
      </c>
      <c r="K707" s="419" t="n">
        <f aca="false">K706+0.5*(vit_z+H706)*pas</f>
        <v>233.738924721883</v>
      </c>
      <c r="L707" s="417" t="n">
        <f aca="false">SQRT(pos_x^2+pos_z^2)</f>
        <v>917.318302799034</v>
      </c>
      <c r="M707" s="418" t="n">
        <f aca="false">IF(AND(L706&gt;L_rampe,G707&gt;0),ATAN2(G707,H707),$M$4)</f>
        <v>-1.45247528992052</v>
      </c>
      <c r="N707" s="417" t="n">
        <f aca="false">DEGREES(Beta)</f>
        <v>-83.2207039594866</v>
      </c>
      <c r="O707" s="401"/>
      <c r="P707" s="420" t="n">
        <f aca="false">MATCH(t-pas/2-T_ini,CdP_t)</f>
        <v>23</v>
      </c>
      <c r="Q707" s="417" t="n">
        <f aca="false">(INDEX(CdP,2,i_P+1)-INDEX(CdP,2,i_P+0))/(INDEX(CdP,1,i_P+1)-INDEX(CdP,1,i_P+0))*(t-pas/2-T_ini-INDEX(CdP,1,i_P+0))+INDEX(CdP,2,i_P+0)</f>
        <v>0</v>
      </c>
      <c r="R707" s="418" t="n">
        <f aca="false">Poussee/(g*ISP)</f>
        <v>0</v>
      </c>
      <c r="S707" s="419" t="n">
        <f aca="false">S706-Débit*pas</f>
        <v>7.37799999999998</v>
      </c>
      <c r="T707" s="417" t="n">
        <f aca="false">m*g</f>
        <v>72.3781799999998</v>
      </c>
      <c r="U707" s="421" t="n">
        <f aca="false">IF(pos_xz&lt;L_rampe,Poids*COS(Beta),0)</f>
        <v>0</v>
      </c>
      <c r="V707" s="418" t="n">
        <f aca="false">Rho_moyen*(20000-Alt_rampe-pos_z)/(20000+Alt_rampe+pos_z)</f>
        <v>1.1966977486119</v>
      </c>
      <c r="W707" s="417" t="n">
        <f aca="false">1/2*Rho*Sref*Cx*vit_xz^2</f>
        <v>52.6091915984893</v>
      </c>
      <c r="X707" s="401"/>
      <c r="Y707" s="422" t="str">
        <f aca="false">IF(AND(pos_z&lt;=0,K706&gt;0),"Impact balistique","") &amp; IF(AND(H708&lt;0,vit_z&gt;=0),"Apogée","") &amp; IF(AND(Poussee=0,Q706&gt;0),"Fin de propulsion","") &amp; IF(AND(L708&gt;L_rampe,pos_xz&lt;=L_rampe),"Sortie de rampe","")</f>
        <v/>
      </c>
      <c r="Z707" s="423" t="str">
        <f aca="false">IF(ABS(t-T_para)&lt;pas/2,"Para","")</f>
        <v/>
      </c>
      <c r="AA707" s="424" t="str">
        <f aca="false">IF(ABS(t-T_satellite)&lt;pas/2,"Satellite","")</f>
        <v/>
      </c>
      <c r="AB707" s="412"/>
      <c r="AC707" s="420" t="e">
        <f aca="false">IF(ABS(t-ROUND(t,0))&lt;0.001,t,NA())</f>
        <v>#N/A</v>
      </c>
      <c r="AD707" s="425" t="e">
        <f aca="false">IF(ABS(t-ROUND(t,0))&lt;0.001,pos_x,NA())</f>
        <v>#N/A</v>
      </c>
      <c r="AE707" s="426" t="e">
        <f aca="false">IF(t&lt;T_para, pos_z, NA())</f>
        <v>#N/A</v>
      </c>
      <c r="AF707" s="412"/>
      <c r="AG707" s="418" t="n">
        <f aca="false">IF(AND(L706&lt;L_rampe,Poussee&lt;Poids*SIN(M706)),0,(-W706+Poussee)/m-Poids*SIN(M706)/m)</f>
        <v>2.64971644821853</v>
      </c>
      <c r="AH707" s="417" t="n">
        <f aca="false">IF(AND(L706&lt;L_rampe,Poussee&lt;Poids*SIN(M706)), g*SIN(M706), (-W706+Poussee)/m)</f>
        <v>-7.0905588838067</v>
      </c>
    </row>
    <row r="708" customFormat="false" ht="12" hidden="false" customHeight="false" outlineLevel="0" collapsed="false">
      <c r="A708" s="416" t="n">
        <f aca="false">IF(B707+0.01&lt;=T_ini+ROUNDUP(Temps_fin_propu,0), 0.01, IF(K707&gt;0, 0.1, 0.0001))</f>
        <v>0.1</v>
      </c>
      <c r="B708" s="417" t="n">
        <f aca="false">B707+pas</f>
        <v>34.4000000000002</v>
      </c>
      <c r="C708" s="401"/>
      <c r="D708" s="418" t="n">
        <f aca="false">IF(AND(L707&lt;L_rampe,Poussee&lt;Poids*SIN(M707)),0,(-W707+Poussee)/m*COS(M707)-U707/m*SIN(M707))</f>
        <v>-0.841726745309769</v>
      </c>
      <c r="E708" s="419" t="n">
        <f aca="false">IF(AND(L707&lt;L_rampe,Poussee&lt;Poids*SIN(M707)),0,(-W707+Poussee)/m*SIN(M707)+U707/m*COS(M707)-Poids/m)</f>
        <v>-2.72930602211893</v>
      </c>
      <c r="F708" s="417" t="n">
        <f aca="false">SQRT(acc_x^2+acc_z^2)</f>
        <v>2.856153930751</v>
      </c>
      <c r="G708" s="418" t="n">
        <f aca="false">G707+acc_x*pas</f>
        <v>14.030436927293</v>
      </c>
      <c r="H708" s="419" t="n">
        <f aca="false">H707+acc_z*pas</f>
        <v>-119.006512212474</v>
      </c>
      <c r="I708" s="417" t="n">
        <f aca="false">SQRT(vit_x^2+vit_z^2)</f>
        <v>119.830726899858</v>
      </c>
      <c r="J708" s="418" t="n">
        <f aca="false">J707+0.5*(vit_x+G707)*pas*(K707&gt;=0)</f>
        <v>888.446701122256</v>
      </c>
      <c r="K708" s="419" t="n">
        <f aca="false">K707+0.5*(vit_z+H707)*pas</f>
        <v>221.851920030746</v>
      </c>
      <c r="L708" s="417" t="n">
        <f aca="false">SQRT(pos_x^2+pos_z^2)</f>
        <v>915.726932636771</v>
      </c>
      <c r="M708" s="418" t="n">
        <f aca="false">IF(AND(L707&gt;L_rampe,G708&gt;0),ATAN2(G708,H708),$M$4)</f>
        <v>-1.45344167236197</v>
      </c>
      <c r="N708" s="417" t="n">
        <f aca="false">DEGREES(Beta)</f>
        <v>-83.2760735947772</v>
      </c>
      <c r="O708" s="401"/>
      <c r="P708" s="420" t="n">
        <f aca="false">MATCH(t-pas/2-T_ini,CdP_t)</f>
        <v>23</v>
      </c>
      <c r="Q708" s="417" t="n">
        <f aca="false">(INDEX(CdP,2,i_P+1)-INDEX(CdP,2,i_P+0))/(INDEX(CdP,1,i_P+1)-INDEX(CdP,1,i_P+0))*(t-pas/2-T_ini-INDEX(CdP,1,i_P+0))+INDEX(CdP,2,i_P+0)</f>
        <v>0</v>
      </c>
      <c r="R708" s="418" t="n">
        <f aca="false">Poussee/(g*ISP)</f>
        <v>0</v>
      </c>
      <c r="S708" s="419" t="n">
        <f aca="false">S707-Débit*pas</f>
        <v>7.37799999999998</v>
      </c>
      <c r="T708" s="417" t="n">
        <f aca="false">m*g</f>
        <v>72.3781799999998</v>
      </c>
      <c r="U708" s="421" t="n">
        <f aca="false">IF(pos_xz&lt;L_rampe,Poids*COS(Beta),0)</f>
        <v>0</v>
      </c>
      <c r="V708" s="418" t="n">
        <f aca="false">Rho_moyen*(20000-Alt_rampe-pos_z)/(20000+Alt_rampe+pos_z)</f>
        <v>1.1981212944183</v>
      </c>
      <c r="W708" s="417" t="n">
        <f aca="false">1/2*Rho*Sref*Cx*vit_xz^2</f>
        <v>52.9020969100704</v>
      </c>
      <c r="X708" s="401"/>
      <c r="Y708" s="422" t="str">
        <f aca="false">IF(AND(pos_z&lt;=0,K707&gt;0),"Impact balistique","") &amp; IF(AND(H709&lt;0,vit_z&gt;=0),"Apogée","") &amp; IF(AND(Poussee=0,Q707&gt;0),"Fin de propulsion","") &amp; IF(AND(L709&gt;L_rampe,pos_xz&lt;=L_rampe),"Sortie de rampe","")</f>
        <v/>
      </c>
      <c r="Z708" s="423" t="str">
        <f aca="false">IF(ABS(t-T_para)&lt;pas/2,"Para","")</f>
        <v/>
      </c>
      <c r="AA708" s="424" t="str">
        <f aca="false">IF(ABS(t-T_satellite)&lt;pas/2,"Satellite","")</f>
        <v/>
      </c>
      <c r="AB708" s="412"/>
      <c r="AC708" s="420" t="e">
        <f aca="false">IF(ABS(t-ROUND(t,0))&lt;0.001,t,NA())</f>
        <v>#N/A</v>
      </c>
      <c r="AD708" s="425" t="e">
        <f aca="false">IF(ABS(t-ROUND(t,0))&lt;0.001,pos_x,NA())</f>
        <v>#N/A</v>
      </c>
      <c r="AE708" s="426" t="e">
        <f aca="false">IF(t&lt;T_para, pos_z, NA())</f>
        <v>#N/A</v>
      </c>
      <c r="AF708" s="412"/>
      <c r="AG708" s="418" t="n">
        <f aca="false">IF(AND(L707&lt;L_rampe,Poussee&lt;Poids*SIN(M707)),0,(-W707+Poussee)/m-Poids*SIN(M707)/m)</f>
        <v>2.61086157880742</v>
      </c>
      <c r="AH708" s="417" t="n">
        <f aca="false">IF(AND(L707&lt;L_rampe,Poussee&lt;Poids*SIN(M707)), g*SIN(M707), (-W707+Poussee)/m)</f>
        <v>-7.13054914590532</v>
      </c>
    </row>
    <row r="709" customFormat="false" ht="12" hidden="false" customHeight="false" outlineLevel="0" collapsed="false">
      <c r="A709" s="416" t="n">
        <f aca="false">IF(B708+0.01&lt;=T_ini+ROUNDUP(Temps_fin_propu,0), 0.01, IF(K708&gt;0, 0.1, 0.0001))</f>
        <v>0.1</v>
      </c>
      <c r="B709" s="417" t="n">
        <f aca="false">B708+pas</f>
        <v>34.5000000000002</v>
      </c>
      <c r="C709" s="401"/>
      <c r="D709" s="418" t="n">
        <f aca="false">IF(AND(L708&lt;L_rampe,Poussee&lt;Poids*SIN(M708)),0,(-W708+Poussee)/m*COS(M708)-U708/m*SIN(M708))</f>
        <v>-0.839531967694233</v>
      </c>
      <c r="E709" s="419" t="n">
        <f aca="false">IF(AND(L708&lt;L_rampe,Poussee&lt;Poids*SIN(M708)),0,(-W708+Poussee)/m*SIN(M708)+U708/m*COS(M708)-Poids/m)</f>
        <v>-2.68906913491666</v>
      </c>
      <c r="F709" s="417" t="n">
        <f aca="false">SQRT(acc_x^2+acc_z^2)</f>
        <v>2.81707414477184</v>
      </c>
      <c r="G709" s="418" t="n">
        <f aca="false">G708+acc_x*pas</f>
        <v>13.9464837305236</v>
      </c>
      <c r="H709" s="419" t="n">
        <f aca="false">H708+acc_z*pas</f>
        <v>-119.275419125965</v>
      </c>
      <c r="I709" s="417" t="n">
        <f aca="false">SQRT(vit_x^2+vit_z^2)</f>
        <v>120.088009460231</v>
      </c>
      <c r="J709" s="418" t="n">
        <f aca="false">J708+0.5*(vit_x+G708)*pas*(K708&gt;=0)</f>
        <v>889.845547155147</v>
      </c>
      <c r="K709" s="419" t="n">
        <f aca="false">K708+0.5*(vit_z+H708)*pas</f>
        <v>209.937823463824</v>
      </c>
      <c r="L709" s="417" t="n">
        <f aca="false">SQRT(pos_x^2+pos_z^2)</f>
        <v>914.275115877366</v>
      </c>
      <c r="M709" s="418" t="n">
        <f aca="false">IF(AND(L708&gt;L_rampe,G709&gt;0),ATAN2(G709,H709),$M$4)</f>
        <v>-1.45439814473313</v>
      </c>
      <c r="N709" s="417" t="n">
        <f aca="false">DEGREES(Beta)</f>
        <v>-83.3308754248652</v>
      </c>
      <c r="O709" s="401"/>
      <c r="P709" s="420" t="n">
        <f aca="false">MATCH(t-pas/2-T_ini,CdP_t)</f>
        <v>23</v>
      </c>
      <c r="Q709" s="417" t="n">
        <f aca="false">(INDEX(CdP,2,i_P+1)-INDEX(CdP,2,i_P+0))/(INDEX(CdP,1,i_P+1)-INDEX(CdP,1,i_P+0))*(t-pas/2-T_ini-INDEX(CdP,1,i_P+0))+INDEX(CdP,2,i_P+0)</f>
        <v>0</v>
      </c>
      <c r="R709" s="418" t="n">
        <f aca="false">Poussee/(g*ISP)</f>
        <v>0</v>
      </c>
      <c r="S709" s="419" t="n">
        <f aca="false">S708-Débit*pas</f>
        <v>7.37799999999998</v>
      </c>
      <c r="T709" s="417" t="n">
        <f aca="false">m*g</f>
        <v>72.3781799999998</v>
      </c>
      <c r="U709" s="421" t="n">
        <f aca="false">IF(pos_xz&lt;L_rampe,Poids*COS(Beta),0)</f>
        <v>0</v>
      </c>
      <c r="V709" s="418" t="n">
        <f aca="false">Rho_moyen*(20000-Alt_rampe-pos_z)/(20000+Alt_rampe+pos_z)</f>
        <v>1.19954976497309</v>
      </c>
      <c r="W709" s="417" t="n">
        <f aca="false">1/2*Rho*Sref*Cx*vit_xz^2</f>
        <v>53.1928517906849</v>
      </c>
      <c r="X709" s="401"/>
      <c r="Y709" s="422" t="str">
        <f aca="false">IF(AND(pos_z&lt;=0,K708&gt;0),"Impact balistique","") &amp; IF(AND(H710&lt;0,vit_z&gt;=0),"Apogée","") &amp; IF(AND(Poussee=0,Q708&gt;0),"Fin de propulsion","") &amp; IF(AND(L710&gt;L_rampe,pos_xz&lt;=L_rampe),"Sortie de rampe","")</f>
        <v/>
      </c>
      <c r="Z709" s="423" t="str">
        <f aca="false">IF(ABS(t-T_para)&lt;pas/2,"Para","")</f>
        <v/>
      </c>
      <c r="AA709" s="424" t="str">
        <f aca="false">IF(ABS(t-T_satellite)&lt;pas/2,"Satellite","")</f>
        <v/>
      </c>
      <c r="AB709" s="412"/>
      <c r="AC709" s="420" t="e">
        <f aca="false">IF(ABS(t-ROUND(t,0))&lt;0.001,t,NA())</f>
        <v>#N/A</v>
      </c>
      <c r="AD709" s="425" t="e">
        <f aca="false">IF(ABS(t-ROUND(t,0))&lt;0.001,pos_x,NA())</f>
        <v>#N/A</v>
      </c>
      <c r="AE709" s="426" t="e">
        <f aca="false">IF(t&lt;T_para, pos_z, NA())</f>
        <v>#N/A</v>
      </c>
      <c r="AF709" s="412"/>
      <c r="AG709" s="418" t="n">
        <f aca="false">IF(AND(L708&lt;L_rampe,Poussee&lt;Poids*SIN(M708)),0,(-W708+Poussee)/m-Poids*SIN(M708)/m)</f>
        <v>2.57227629755645</v>
      </c>
      <c r="AH709" s="417" t="n">
        <f aca="false">IF(AND(L708&lt;L_rampe,Poussee&lt;Poids*SIN(M708)), g*SIN(M708), (-W708+Poussee)/m)</f>
        <v>-7.17024897127548</v>
      </c>
    </row>
    <row r="710" customFormat="false" ht="12" hidden="false" customHeight="false" outlineLevel="0" collapsed="false">
      <c r="A710" s="416" t="n">
        <f aca="false">IF(B709+0.01&lt;=T_ini+ROUNDUP(Temps_fin_propu,0), 0.01, IF(K709&gt;0, 0.1, 0.0001))</f>
        <v>0.1</v>
      </c>
      <c r="B710" s="417" t="n">
        <f aca="false">B709+pas</f>
        <v>34.6000000000002</v>
      </c>
      <c r="C710" s="401"/>
      <c r="D710" s="418" t="n">
        <f aca="false">IF(AND(L709&lt;L_rampe,Poussee&lt;Poids*SIN(M709)),0,(-W709+Poussee)/m*COS(M709)-U709/m*SIN(M709))</f>
        <v>-0.837297321574747</v>
      </c>
      <c r="E710" s="419" t="n">
        <f aca="false">IF(AND(L709&lt;L_rampe,Poussee&lt;Poids*SIN(M709)),0,(-W709+Poussee)/m*SIN(M709)+U709/m*COS(M709)-Poids/m)</f>
        <v>-2.64912770461987</v>
      </c>
      <c r="F710" s="417" t="n">
        <f aca="false">SQRT(acc_x^2+acc_z^2)</f>
        <v>2.77829883203747</v>
      </c>
      <c r="G710" s="418" t="n">
        <f aca="false">G709+acc_x*pas</f>
        <v>13.8627539983661</v>
      </c>
      <c r="H710" s="419" t="n">
        <f aca="false">H709+acc_z*pas</f>
        <v>-119.540331896427</v>
      </c>
      <c r="I710" s="417" t="n">
        <f aca="false">SQRT(vit_x^2+vit_z^2)</f>
        <v>120.341459598624</v>
      </c>
      <c r="J710" s="418" t="n">
        <f aca="false">J709+0.5*(vit_x+G709)*pas*(K709&gt;=0)</f>
        <v>891.236009041592</v>
      </c>
      <c r="K710" s="419" t="n">
        <f aca="false">K709+0.5*(vit_z+H709)*pas</f>
        <v>197.997035912704</v>
      </c>
      <c r="L710" s="417" t="n">
        <f aca="false">SQRT(pos_x^2+pos_z^2)</f>
        <v>912.964648846055</v>
      </c>
      <c r="M710" s="418" t="n">
        <f aca="false">IF(AND(L709&gt;L_rampe,G710&gt;0),ATAN2(G710,H710),$M$4)</f>
        <v>-1.45534485889979</v>
      </c>
      <c r="N710" s="417" t="n">
        <f aca="false">DEGREES(Beta)</f>
        <v>-83.3851181510203</v>
      </c>
      <c r="O710" s="401"/>
      <c r="P710" s="420" t="n">
        <f aca="false">MATCH(t-pas/2-T_ini,CdP_t)</f>
        <v>23</v>
      </c>
      <c r="Q710" s="417" t="n">
        <f aca="false">(INDEX(CdP,2,i_P+1)-INDEX(CdP,2,i_P+0))/(INDEX(CdP,1,i_P+1)-INDEX(CdP,1,i_P+0))*(t-pas/2-T_ini-INDEX(CdP,1,i_P+0))+INDEX(CdP,2,i_P+0)</f>
        <v>0</v>
      </c>
      <c r="R710" s="418" t="n">
        <f aca="false">Poussee/(g*ISP)</f>
        <v>0</v>
      </c>
      <c r="S710" s="419" t="n">
        <f aca="false">S709-Débit*pas</f>
        <v>7.37799999999998</v>
      </c>
      <c r="T710" s="417" t="n">
        <f aca="false">m*g</f>
        <v>72.3781799999998</v>
      </c>
      <c r="U710" s="421" t="n">
        <f aca="false">IF(pos_xz&lt;L_rampe,Poids*COS(Beta),0)</f>
        <v>0</v>
      </c>
      <c r="V710" s="418" t="n">
        <f aca="false">Rho_moyen*(20000-Alt_rampe-pos_z)/(20000+Alt_rampe+pos_z)</f>
        <v>1.20098312658807</v>
      </c>
      <c r="W710" s="417" t="n">
        <f aca="false">1/2*Rho*Sref*Cx*vit_xz^2</f>
        <v>53.4814492380417</v>
      </c>
      <c r="X710" s="401"/>
      <c r="Y710" s="422" t="str">
        <f aca="false">IF(AND(pos_z&lt;=0,K709&gt;0),"Impact balistique","") &amp; IF(AND(H711&lt;0,vit_z&gt;=0),"Apogée","") &amp; IF(AND(Poussee=0,Q709&gt;0),"Fin de propulsion","") &amp; IF(AND(L711&gt;L_rampe,pos_xz&lt;=L_rampe),"Sortie de rampe","")</f>
        <v/>
      </c>
      <c r="Z710" s="423" t="str">
        <f aca="false">IF(ABS(t-T_para)&lt;pas/2,"Para","")</f>
        <v/>
      </c>
      <c r="AA710" s="424" t="str">
        <f aca="false">IF(ABS(t-T_satellite)&lt;pas/2,"Satellite","")</f>
        <v/>
      </c>
      <c r="AB710" s="412"/>
      <c r="AC710" s="420" t="e">
        <f aca="false">IF(ABS(t-ROUND(t,0))&lt;0.001,t,NA())</f>
        <v>#N/A</v>
      </c>
      <c r="AD710" s="425" t="e">
        <f aca="false">IF(ABS(t-ROUND(t,0))&lt;0.001,pos_x,NA())</f>
        <v>#N/A</v>
      </c>
      <c r="AE710" s="426" t="e">
        <f aca="false">IF(t&lt;T_para, pos_z, NA())</f>
        <v>#N/A</v>
      </c>
      <c r="AF710" s="412"/>
      <c r="AG710" s="418" t="n">
        <f aca="false">IF(AND(L709&lt;L_rampe,Poussee&lt;Poids*SIN(M709)),0,(-W709+Poussee)/m-Poids*SIN(M709)/m)</f>
        <v>2.53396209314771</v>
      </c>
      <c r="AH710" s="417" t="n">
        <f aca="false">IF(AND(L709&lt;L_rampe,Poussee&lt;Poids*SIN(M709)), g*SIN(M709), (-W709+Poussee)/m)</f>
        <v>-7.20965733134793</v>
      </c>
    </row>
    <row r="711" customFormat="false" ht="12" hidden="false" customHeight="false" outlineLevel="0" collapsed="false">
      <c r="A711" s="416" t="n">
        <f aca="false">IF(B710+0.01&lt;=T_ini+ROUNDUP(Temps_fin_propu,0), 0.01, IF(K710&gt;0, 0.1, 0.0001))</f>
        <v>0.1</v>
      </c>
      <c r="B711" s="417" t="n">
        <f aca="false">B710+pas</f>
        <v>34.7000000000002</v>
      </c>
      <c r="C711" s="401"/>
      <c r="D711" s="418" t="n">
        <f aca="false">IF(AND(L710&lt;L_rampe,Poussee&lt;Poids*SIN(M710)),0,(-W710+Poussee)/m*COS(M710)-U710/m*SIN(M710))</f>
        <v>-0.835023615840881</v>
      </c>
      <c r="E711" s="419" t="n">
        <f aca="false">IF(AND(L710&lt;L_rampe,Poussee&lt;Poids*SIN(M710)),0,(-W710+Poussee)/m*SIN(M710)+U710/m*COS(M710)-Poids/m)</f>
        <v>-2.60948268643168</v>
      </c>
      <c r="F711" s="417" t="n">
        <f aca="false">SQRT(acc_x^2+acc_z^2)</f>
        <v>2.73982925194229</v>
      </c>
      <c r="G711" s="418" t="n">
        <f aca="false">G710+acc_x*pas</f>
        <v>13.779251636782</v>
      </c>
      <c r="H711" s="419" t="n">
        <f aca="false">H710+acc_z*pas</f>
        <v>-119.801280165071</v>
      </c>
      <c r="I711" s="417" t="n">
        <f aca="false">SQRT(vit_x^2+vit_z^2)</f>
        <v>120.591104584291</v>
      </c>
      <c r="J711" s="418" t="n">
        <f aca="false">J710+0.5*(vit_x+G710)*pas*(K710&gt;=0)</f>
        <v>892.618109323349</v>
      </c>
      <c r="K711" s="419" t="n">
        <f aca="false">K710+0.5*(vit_z+H710)*pas</f>
        <v>186.029955309629</v>
      </c>
      <c r="L711" s="417" t="n">
        <f aca="false">SQRT(pos_x^2+pos_z^2)</f>
        <v>911.797254527833</v>
      </c>
      <c r="M711" s="418" t="n">
        <f aca="false">IF(AND(L710&gt;L_rampe,G711&gt;0),ATAN2(G711,H711),$M$4)</f>
        <v>-1.4562819634348</v>
      </c>
      <c r="N711" s="417" t="n">
        <f aca="false">DEGREES(Beta)</f>
        <v>-83.4388102858391</v>
      </c>
      <c r="O711" s="401"/>
      <c r="P711" s="420" t="n">
        <f aca="false">MATCH(t-pas/2-T_ini,CdP_t)</f>
        <v>23</v>
      </c>
      <c r="Q711" s="417" t="n">
        <f aca="false">(INDEX(CdP,2,i_P+1)-INDEX(CdP,2,i_P+0))/(INDEX(CdP,1,i_P+1)-INDEX(CdP,1,i_P+0))*(t-pas/2-T_ini-INDEX(CdP,1,i_P+0))+INDEX(CdP,2,i_P+0)</f>
        <v>0</v>
      </c>
      <c r="R711" s="418" t="n">
        <f aca="false">Poussee/(g*ISP)</f>
        <v>0</v>
      </c>
      <c r="S711" s="419" t="n">
        <f aca="false">S710-Débit*pas</f>
        <v>7.37799999999998</v>
      </c>
      <c r="T711" s="417" t="n">
        <f aca="false">m*g</f>
        <v>72.3781799999998</v>
      </c>
      <c r="U711" s="421" t="n">
        <f aca="false">IF(pos_xz&lt;L_rampe,Poids*COS(Beta),0)</f>
        <v>0</v>
      </c>
      <c r="V711" s="418" t="n">
        <f aca="false">Rho_moyen*(20000-Alt_rampe-pos_z)/(20000+Alt_rampe+pos_z)</f>
        <v>1.20242134577638</v>
      </c>
      <c r="W711" s="417" t="n">
        <f aca="false">1/2*Rho*Sref*Cx*vit_xz^2</f>
        <v>53.7678828269895</v>
      </c>
      <c r="X711" s="401"/>
      <c r="Y711" s="422" t="str">
        <f aca="false">IF(AND(pos_z&lt;=0,K710&gt;0),"Impact balistique","") &amp; IF(AND(H712&lt;0,vit_z&gt;=0),"Apogée","") &amp; IF(AND(Poussee=0,Q710&gt;0),"Fin de propulsion","") &amp; IF(AND(L712&gt;L_rampe,pos_xz&lt;=L_rampe),"Sortie de rampe","")</f>
        <v/>
      </c>
      <c r="Z711" s="423" t="str">
        <f aca="false">IF(ABS(t-T_para)&lt;pas/2,"Para","")</f>
        <v/>
      </c>
      <c r="AA711" s="424" t="str">
        <f aca="false">IF(ABS(t-T_satellite)&lt;pas/2,"Satellite","")</f>
        <v/>
      </c>
      <c r="AB711" s="412"/>
      <c r="AC711" s="420" t="e">
        <f aca="false">IF(ABS(t-ROUND(t,0))&lt;0.001,t,NA())</f>
        <v>#N/A</v>
      </c>
      <c r="AD711" s="425" t="e">
        <f aca="false">IF(ABS(t-ROUND(t,0))&lt;0.001,pos_x,NA())</f>
        <v>#N/A</v>
      </c>
      <c r="AE711" s="426" t="e">
        <f aca="false">IF(t&lt;T_para, pos_z, NA())</f>
        <v>#N/A</v>
      </c>
      <c r="AF711" s="412"/>
      <c r="AG711" s="418" t="n">
        <f aca="false">IF(AND(L710&lt;L_rampe,Poussee&lt;Poids*SIN(M710)),0,(-W710+Poussee)/m-Poids*SIN(M710)/m)</f>
        <v>2.49592036233064</v>
      </c>
      <c r="AH711" s="417" t="n">
        <f aca="false">IF(AND(L710&lt;L_rampe,Poussee&lt;Poids*SIN(M710)), g*SIN(M710), (-W710+Poussee)/m)</f>
        <v>-7.24877327704551</v>
      </c>
    </row>
    <row r="712" customFormat="false" ht="12" hidden="false" customHeight="false" outlineLevel="0" collapsed="false">
      <c r="A712" s="416" t="n">
        <f aca="false">IF(B711+0.01&lt;=T_ini+ROUNDUP(Temps_fin_propu,0), 0.01, IF(K711&gt;0, 0.1, 0.0001))</f>
        <v>0.1</v>
      </c>
      <c r="B712" s="417" t="n">
        <f aca="false">B711+pas</f>
        <v>34.8000000000002</v>
      </c>
      <c r="C712" s="401"/>
      <c r="D712" s="418" t="n">
        <f aca="false">IF(AND(L711&lt;L_rampe,Poussee&lt;Poids*SIN(M711)),0,(-W711+Poussee)/m*COS(M711)-U711/m*SIN(M711))</f>
        <v>-0.832711654780695</v>
      </c>
      <c r="E712" s="419" t="n">
        <f aca="false">IF(AND(L711&lt;L_rampe,Poussee&lt;Poids*SIN(M711)),0,(-W711+Poussee)/m*SIN(M711)+U711/m*COS(M711)-Poids/m)</f>
        <v>-2.57013495647292</v>
      </c>
      <c r="F712" s="417" t="n">
        <f aca="false">SQRT(acc_x^2+acc_z^2)</f>
        <v>2.70166659573155</v>
      </c>
      <c r="G712" s="418" t="n">
        <f aca="false">G711+acc_x*pas</f>
        <v>13.695980471304</v>
      </c>
      <c r="H712" s="419" t="n">
        <f aca="false">H711+acc_z*pas</f>
        <v>-120.058293660718</v>
      </c>
      <c r="I712" s="417" t="n">
        <f aca="false">SQRT(vit_x^2+vit_z^2)</f>
        <v>120.836971816549</v>
      </c>
      <c r="J712" s="418" t="n">
        <f aca="false">J711+0.5*(vit_x+G711)*pas*(K711&gt;=0)</f>
        <v>893.991870928753</v>
      </c>
      <c r="K712" s="419" t="n">
        <f aca="false">K711+0.5*(vit_z+H711)*pas</f>
        <v>174.03697661834</v>
      </c>
      <c r="L712" s="417" t="n">
        <f aca="false">SQRT(pos_x^2+pos_z^2)</f>
        <v>910.774579419708</v>
      </c>
      <c r="M712" s="418" t="n">
        <f aca="false">IF(AND(L711&gt;L_rampe,G712&gt;0),ATAN2(G712,H712),$M$4)</f>
        <v>-1.4572096037066</v>
      </c>
      <c r="N712" s="417" t="n">
        <f aca="false">DEGREES(Beta)</f>
        <v>-83.4919601583195</v>
      </c>
      <c r="O712" s="401"/>
      <c r="P712" s="420" t="n">
        <f aca="false">MATCH(t-pas/2-T_ini,CdP_t)</f>
        <v>23</v>
      </c>
      <c r="Q712" s="417" t="n">
        <f aca="false">(INDEX(CdP,2,i_P+1)-INDEX(CdP,2,i_P+0))/(INDEX(CdP,1,i_P+1)-INDEX(CdP,1,i_P+0))*(t-pas/2-T_ini-INDEX(CdP,1,i_P+0))+INDEX(CdP,2,i_P+0)</f>
        <v>0</v>
      </c>
      <c r="R712" s="418" t="n">
        <f aca="false">Poussee/(g*ISP)</f>
        <v>0</v>
      </c>
      <c r="S712" s="419" t="n">
        <f aca="false">S711-Débit*pas</f>
        <v>7.37799999999998</v>
      </c>
      <c r="T712" s="417" t="n">
        <f aca="false">m*g</f>
        <v>72.3781799999998</v>
      </c>
      <c r="U712" s="421" t="n">
        <f aca="false">IF(pos_xz&lt;L_rampe,Poids*COS(Beta),0)</f>
        <v>0</v>
      </c>
      <c r="V712" s="418" t="n">
        <f aca="false">Rho_moyen*(20000-Alt_rampe-pos_z)/(20000+Alt_rampe+pos_z)</f>
        <v>1.20386438925392</v>
      </c>
      <c r="W712" s="417" t="n">
        <f aca="false">1/2*Rho*Sref*Cx*vit_xz^2</f>
        <v>54.0521467001318</v>
      </c>
      <c r="X712" s="401"/>
      <c r="Y712" s="422" t="str">
        <f aca="false">IF(AND(pos_z&lt;=0,K711&gt;0),"Impact balistique","") &amp; IF(AND(H713&lt;0,vit_z&gt;=0),"Apogée","") &amp; IF(AND(Poussee=0,Q711&gt;0),"Fin de propulsion","") &amp; IF(AND(L713&gt;L_rampe,pos_xz&lt;=L_rampe),"Sortie de rampe","")</f>
        <v/>
      </c>
      <c r="Z712" s="423" t="str">
        <f aca="false">IF(ABS(t-T_para)&lt;pas/2,"Para","")</f>
        <v/>
      </c>
      <c r="AA712" s="424" t="str">
        <f aca="false">IF(ABS(t-T_satellite)&lt;pas/2,"Satellite","")</f>
        <v/>
      </c>
      <c r="AB712" s="412"/>
      <c r="AC712" s="420" t="e">
        <f aca="false">IF(ABS(t-ROUND(t,0))&lt;0.001,t,NA())</f>
        <v>#N/A</v>
      </c>
      <c r="AD712" s="425" t="e">
        <f aca="false">IF(ABS(t-ROUND(t,0))&lt;0.001,pos_x,NA())</f>
        <v>#N/A</v>
      </c>
      <c r="AE712" s="426" t="e">
        <f aca="false">IF(t&lt;T_para, pos_z, NA())</f>
        <v>#N/A</v>
      </c>
      <c r="AF712" s="412"/>
      <c r="AG712" s="418" t="n">
        <f aca="false">IF(AND(L711&lt;L_rampe,Poussee&lt;Poids*SIN(M711)),0,(-W711+Poussee)/m-Poids*SIN(M711)/m)</f>
        <v>2.45815241159143</v>
      </c>
      <c r="AH712" s="417" t="n">
        <f aca="false">IF(AND(L711&lt;L_rampe,Poussee&lt;Poids*SIN(M711)), g*SIN(M711), (-W711+Poussee)/m)</f>
        <v>-7.28759593751554</v>
      </c>
    </row>
    <row r="713" customFormat="false" ht="12" hidden="false" customHeight="false" outlineLevel="0" collapsed="false">
      <c r="A713" s="416" t="n">
        <f aca="false">IF(B712+0.01&lt;=T_ini+ROUNDUP(Temps_fin_propu,0), 0.01, IF(K712&gt;0, 0.1, 0.0001))</f>
        <v>0.1</v>
      </c>
      <c r="B713" s="417" t="n">
        <f aca="false">B712+pas</f>
        <v>34.9000000000002</v>
      </c>
      <c r="C713" s="401"/>
      <c r="D713" s="418" t="n">
        <f aca="false">IF(AND(L712&lt;L_rampe,Poussee&lt;Poids*SIN(M712)),0,(-W712+Poussee)/m*COS(M712)-U712/m*SIN(M712))</f>
        <v>-0.830362237916277</v>
      </c>
      <c r="E713" s="419" t="n">
        <f aca="false">IF(AND(L712&lt;L_rampe,Poussee&lt;Poids*SIN(M712)),0,(-W712+Poussee)/m*SIN(M712)+U712/m*COS(M712)-Poids/m)</f>
        <v>-2.53108531306691</v>
      </c>
      <c r="F713" s="417" t="n">
        <f aca="false">SQRT(acc_x^2+acc_z^2)</f>
        <v>2.66381198814412</v>
      </c>
      <c r="G713" s="418" t="n">
        <f aca="false">G712+acc_x*pas</f>
        <v>13.6129442475123</v>
      </c>
      <c r="H713" s="419" t="n">
        <f aca="false">H712+acc_z*pas</f>
        <v>-120.311402192024</v>
      </c>
      <c r="I713" s="417" t="n">
        <f aca="false">SQRT(vit_x^2+vit_z^2)</f>
        <v>121.079088815935</v>
      </c>
      <c r="J713" s="418" t="n">
        <f aca="false">J712+0.5*(vit_x+G712)*pas*(K712&gt;=0)</f>
        <v>895.357317164694</v>
      </c>
      <c r="K713" s="419" t="n">
        <f aca="false">K712+0.5*(vit_z+H712)*pas</f>
        <v>162.018491825703</v>
      </c>
      <c r="L713" s="417" t="n">
        <f aca="false">SQRT(pos_x^2+pos_z^2)</f>
        <v>909.898190510254</v>
      </c>
      <c r="M713" s="418" t="n">
        <f aca="false">IF(AND(L712&gt;L_rampe,G713&gt;0),ATAN2(G713,H713),$M$4)</f>
        <v>-1.45812792196497</v>
      </c>
      <c r="N713" s="417" t="n">
        <f aca="false">DEGREES(Beta)</f>
        <v>-83.5445759187739</v>
      </c>
      <c r="O713" s="401"/>
      <c r="P713" s="420" t="n">
        <f aca="false">MATCH(t-pas/2-T_ini,CdP_t)</f>
        <v>23</v>
      </c>
      <c r="Q713" s="417" t="n">
        <f aca="false">(INDEX(CdP,2,i_P+1)-INDEX(CdP,2,i_P+0))/(INDEX(CdP,1,i_P+1)-INDEX(CdP,1,i_P+0))*(t-pas/2-T_ini-INDEX(CdP,1,i_P+0))+INDEX(CdP,2,i_P+0)</f>
        <v>0</v>
      </c>
      <c r="R713" s="418" t="n">
        <f aca="false">Poussee/(g*ISP)</f>
        <v>0</v>
      </c>
      <c r="S713" s="419" t="n">
        <f aca="false">S712-Débit*pas</f>
        <v>7.37799999999998</v>
      </c>
      <c r="T713" s="417" t="n">
        <f aca="false">m*g</f>
        <v>72.3781799999998</v>
      </c>
      <c r="U713" s="421" t="n">
        <f aca="false">IF(pos_xz&lt;L_rampe,Poids*COS(Beta),0)</f>
        <v>0</v>
      </c>
      <c r="V713" s="418" t="n">
        <f aca="false">Rho_moyen*(20000-Alt_rampe-pos_z)/(20000+Alt_rampe+pos_z)</f>
        <v>1.20531222394058</v>
      </c>
      <c r="W713" s="417" t="n">
        <f aca="false">1/2*Rho*Sref*Cx*vit_xz^2</f>
        <v>54.3342355584141</v>
      </c>
      <c r="X713" s="401"/>
      <c r="Y713" s="422" t="str">
        <f aca="false">IF(AND(pos_z&lt;=0,K712&gt;0),"Impact balistique","") &amp; IF(AND(H714&lt;0,vit_z&gt;=0),"Apogée","") &amp; IF(AND(Poussee=0,Q712&gt;0),"Fin de propulsion","") &amp; IF(AND(L714&gt;L_rampe,pos_xz&lt;=L_rampe),"Sortie de rampe","")</f>
        <v/>
      </c>
      <c r="Z713" s="423" t="str">
        <f aca="false">IF(ABS(t-T_para)&lt;pas/2,"Para","")</f>
        <v/>
      </c>
      <c r="AA713" s="424" t="str">
        <f aca="false">IF(ABS(t-T_satellite)&lt;pas/2,"Satellite","")</f>
        <v/>
      </c>
      <c r="AB713" s="412"/>
      <c r="AC713" s="420" t="e">
        <f aca="false">IF(ABS(t-ROUND(t,0))&lt;0.001,t,NA())</f>
        <v>#N/A</v>
      </c>
      <c r="AD713" s="425" t="e">
        <f aca="false">IF(ABS(t-ROUND(t,0))&lt;0.001,pos_x,NA())</f>
        <v>#N/A</v>
      </c>
      <c r="AE713" s="426" t="e">
        <f aca="false">IF(t&lt;T_para, pos_z, NA())</f>
        <v>#N/A</v>
      </c>
      <c r="AF713" s="412"/>
      <c r="AG713" s="418" t="n">
        <f aca="false">IF(AND(L712&lt;L_rampe,Poussee&lt;Poids*SIN(M712)),0,(-W712+Poussee)/m-Poids*SIN(M712)/m)</f>
        <v>2.42065945881182</v>
      </c>
      <c r="AH713" s="417" t="n">
        <f aca="false">IF(AND(L712&lt;L_rampe,Poussee&lt;Poids*SIN(M712)), g*SIN(M712), (-W712+Poussee)/m)</f>
        <v>-7.32612451885768</v>
      </c>
    </row>
    <row r="714" customFormat="false" ht="12" hidden="false" customHeight="false" outlineLevel="0" collapsed="false">
      <c r="A714" s="416" t="n">
        <f aca="false">IF(B713+0.01&lt;=T_ini+ROUNDUP(Temps_fin_propu,0), 0.01, IF(K713&gt;0, 0.1, 0.0001))</f>
        <v>0.1</v>
      </c>
      <c r="B714" s="417" t="n">
        <f aca="false">B713+pas</f>
        <v>35.0000000000002</v>
      </c>
      <c r="C714" s="401"/>
      <c r="D714" s="418" t="n">
        <f aca="false">IF(AND(L713&lt;L_rampe,Poussee&lt;Poids*SIN(M713)),0,(-W713+Poussee)/m*COS(M713)-U713/m*SIN(M713))</f>
        <v>-0.827976159845234</v>
      </c>
      <c r="E714" s="419" t="n">
        <f aca="false">IF(AND(L713&lt;L_rampe,Poussee&lt;Poids*SIN(M713)),0,(-W713+Poussee)/m*SIN(M713)+U713/m*COS(M713)-Poids/m)</f>
        <v>-2.49233447802802</v>
      </c>
      <c r="F714" s="417" t="n">
        <f aca="false">SQRT(acc_x^2+acc_z^2)</f>
        <v>2.62626648907518</v>
      </c>
      <c r="G714" s="418" t="n">
        <f aca="false">G713+acc_x*pas</f>
        <v>13.5301466315278</v>
      </c>
      <c r="H714" s="419" t="n">
        <f aca="false">H713+acc_z*pas</f>
        <v>-120.560635639827</v>
      </c>
      <c r="I714" s="417" t="n">
        <f aca="false">SQRT(vit_x^2+vit_z^2)</f>
        <v>121.317483215528</v>
      </c>
      <c r="J714" s="418" t="n">
        <f aca="false">J713+0.5*(vit_x+G713)*pas*(K713&gt;=0)</f>
        <v>896.714471708646</v>
      </c>
      <c r="K714" s="419" t="n">
        <f aca="false">K713+0.5*(vit_z+H713)*pas</f>
        <v>149.97488993411</v>
      </c>
      <c r="L714" s="417" t="n">
        <f aca="false">SQRT(pos_x^2+pos_z^2)</f>
        <v>909.169572402456</v>
      </c>
      <c r="M714" s="418" t="n">
        <f aca="false">IF(AND(L713&gt;L_rampe,G714&gt;0),ATAN2(G714,H714),$M$4)</f>
        <v>-1.45903705742412</v>
      </c>
      <c r="N714" s="417" t="n">
        <f aca="false">DEGREES(Beta)</f>
        <v>-83.5966655435888</v>
      </c>
      <c r="O714" s="401"/>
      <c r="P714" s="420" t="n">
        <f aca="false">MATCH(t-pas/2-T_ini,CdP_t)</f>
        <v>23</v>
      </c>
      <c r="Q714" s="417" t="n">
        <f aca="false">(INDEX(CdP,2,i_P+1)-INDEX(CdP,2,i_P+0))/(INDEX(CdP,1,i_P+1)-INDEX(CdP,1,i_P+0))*(t-pas/2-T_ini-INDEX(CdP,1,i_P+0))+INDEX(CdP,2,i_P+0)</f>
        <v>0</v>
      </c>
      <c r="R714" s="418" t="n">
        <f aca="false">Poussee/(g*ISP)</f>
        <v>0</v>
      </c>
      <c r="S714" s="419" t="n">
        <f aca="false">S713-Débit*pas</f>
        <v>7.37799999999998</v>
      </c>
      <c r="T714" s="417" t="n">
        <f aca="false">m*g</f>
        <v>72.3781799999998</v>
      </c>
      <c r="U714" s="421" t="n">
        <f aca="false">IF(pos_xz&lt;L_rampe,Poids*COS(Beta),0)</f>
        <v>0</v>
      </c>
      <c r="V714" s="418" t="n">
        <f aca="false">Rho_moyen*(20000-Alt_rampe-pos_z)/(20000+Alt_rampe+pos_z)</f>
        <v>1.20676481696153</v>
      </c>
      <c r="W714" s="417" t="n">
        <f aca="false">1/2*Rho*Sref*Cx*vit_xz^2</f>
        <v>54.6141446516898</v>
      </c>
      <c r="X714" s="401"/>
      <c r="Y714" s="422" t="str">
        <f aca="false">IF(AND(pos_z&lt;=0,K713&gt;0),"Impact balistique","") &amp; IF(AND(H715&lt;0,vit_z&gt;=0),"Apogée","") &amp; IF(AND(Poussee=0,Q713&gt;0),"Fin de propulsion","") &amp; IF(AND(L715&gt;L_rampe,pos_xz&lt;=L_rampe),"Sortie de rampe","")</f>
        <v/>
      </c>
      <c r="Z714" s="423" t="str">
        <f aca="false">IF(ABS(t-T_para)&lt;pas/2,"Para","")</f>
        <v/>
      </c>
      <c r="AA714" s="424" t="str">
        <f aca="false">IF(ABS(t-T_satellite)&lt;pas/2,"Satellite","")</f>
        <v/>
      </c>
      <c r="AB714" s="412"/>
      <c r="AC714" s="420" t="n">
        <f aca="false">IF(ABS(t-ROUND(t,0))&lt;0.001,t,NA())</f>
        <v>35.0000000000002</v>
      </c>
      <c r="AD714" s="425" t="n">
        <f aca="false">IF(ABS(t-ROUND(t,0))&lt;0.001,pos_x,NA())</f>
        <v>896.714471708646</v>
      </c>
      <c r="AE714" s="426" t="e">
        <f aca="false">IF(t&lt;T_para, pos_z, NA())</f>
        <v>#N/A</v>
      </c>
      <c r="AF714" s="412"/>
      <c r="AG714" s="418" t="n">
        <f aca="false">IF(AND(L713&lt;L_rampe,Poussee&lt;Poids*SIN(M713)),0,(-W713+Poussee)/m-Poids*SIN(M713)/m)</f>
        <v>2.38344263491729</v>
      </c>
      <c r="AH714" s="417" t="n">
        <f aca="false">IF(AND(L713&lt;L_rampe,Poussee&lt;Poids*SIN(M713)), g*SIN(M713), (-W713+Poussee)/m)</f>
        <v>-7.36435830284822</v>
      </c>
    </row>
    <row r="715" customFormat="false" ht="12" hidden="false" customHeight="false" outlineLevel="0" collapsed="false">
      <c r="A715" s="416" t="n">
        <f aca="false">IF(B714+0.01&lt;=T_ini+ROUNDUP(Temps_fin_propu,0), 0.01, IF(K714&gt;0, 0.1, 0.0001))</f>
        <v>0.1</v>
      </c>
      <c r="B715" s="417" t="n">
        <f aca="false">B714+pas</f>
        <v>35.1000000000002</v>
      </c>
      <c r="C715" s="401"/>
      <c r="D715" s="418" t="n">
        <f aca="false">IF(AND(L714&lt;L_rampe,Poussee&lt;Poids*SIN(M714)),0,(-W714+Poussee)/m*COS(M714)-U714/m*SIN(M714))</f>
        <v>-0.825554210088051</v>
      </c>
      <c r="E715" s="419" t="n">
        <f aca="false">IF(AND(L714&lt;L_rampe,Poussee&lt;Poids*SIN(M714)),0,(-W714+Poussee)/m*SIN(M714)+U714/m*COS(M714)-Poids/m)</f>
        <v>-2.45388309795337</v>
      </c>
      <c r="F715" s="417" t="n">
        <f aca="false">SQRT(acc_x^2+acc_z^2)</f>
        <v>2.58903109525848</v>
      </c>
      <c r="G715" s="418" t="n">
        <f aca="false">G714+acc_x*pas</f>
        <v>13.447591210519</v>
      </c>
      <c r="H715" s="419" t="n">
        <f aca="false">H714+acc_z*pas</f>
        <v>-120.806023949623</v>
      </c>
      <c r="I715" s="417" t="n">
        <f aca="false">SQRT(vit_x^2+vit_z^2)</f>
        <v>121.552182752438</v>
      </c>
      <c r="J715" s="418" t="n">
        <f aca="false">J714+0.5*(vit_x+G714)*pas*(K714&gt;=0)</f>
        <v>898.063358600748</v>
      </c>
      <c r="K715" s="419" t="n">
        <f aca="false">K714+0.5*(vit_z+H714)*pas</f>
        <v>137.906556954638</v>
      </c>
      <c r="L715" s="417" t="n">
        <f aca="false">SQRT(pos_x^2+pos_z^2)</f>
        <v>908.59012459543</v>
      </c>
      <c r="M715" s="418" t="n">
        <f aca="false">IF(AND(L714&gt;L_rampe,G715&gt;0),ATAN2(G715,H715),$M$4)</f>
        <v>-1.45993714634315</v>
      </c>
      <c r="N715" s="417" t="n">
        <f aca="false">DEGREES(Beta)</f>
        <v>-83.6482368398355</v>
      </c>
      <c r="O715" s="401"/>
      <c r="P715" s="420" t="n">
        <f aca="false">MATCH(t-pas/2-T_ini,CdP_t)</f>
        <v>23</v>
      </c>
      <c r="Q715" s="417" t="n">
        <f aca="false">(INDEX(CdP,2,i_P+1)-INDEX(CdP,2,i_P+0))/(INDEX(CdP,1,i_P+1)-INDEX(CdP,1,i_P+0))*(t-pas/2-T_ini-INDEX(CdP,1,i_P+0))+INDEX(CdP,2,i_P+0)</f>
        <v>0</v>
      </c>
      <c r="R715" s="418" t="n">
        <f aca="false">Poussee/(g*ISP)</f>
        <v>0</v>
      </c>
      <c r="S715" s="419" t="n">
        <f aca="false">S714-Débit*pas</f>
        <v>7.37799999999998</v>
      </c>
      <c r="T715" s="417" t="n">
        <f aca="false">m*g</f>
        <v>72.3781799999998</v>
      </c>
      <c r="U715" s="421" t="n">
        <f aca="false">IF(pos_xz&lt;L_rampe,Poids*COS(Beta),0)</f>
        <v>0</v>
      </c>
      <c r="V715" s="418" t="n">
        <f aca="false">Rho_moyen*(20000-Alt_rampe-pos_z)/(20000+Alt_rampe+pos_z)</f>
        <v>1.20822213564835</v>
      </c>
      <c r="W715" s="417" t="n">
        <f aca="false">1/2*Rho*Sref*Cx*vit_xz^2</f>
        <v>54.8918697692713</v>
      </c>
      <c r="X715" s="401"/>
      <c r="Y715" s="422" t="str">
        <f aca="false">IF(AND(pos_z&lt;=0,K714&gt;0),"Impact balistique","") &amp; IF(AND(H716&lt;0,vit_z&gt;=0),"Apogée","") &amp; IF(AND(Poussee=0,Q714&gt;0),"Fin de propulsion","") &amp; IF(AND(L716&gt;L_rampe,pos_xz&lt;=L_rampe),"Sortie de rampe","")</f>
        <v/>
      </c>
      <c r="Z715" s="423" t="str">
        <f aca="false">IF(ABS(t-T_para)&lt;pas/2,"Para","")</f>
        <v/>
      </c>
      <c r="AA715" s="424" t="str">
        <f aca="false">IF(ABS(t-T_satellite)&lt;pas/2,"Satellite","")</f>
        <v/>
      </c>
      <c r="AB715" s="412"/>
      <c r="AC715" s="420" t="e">
        <f aca="false">IF(ABS(t-ROUND(t,0))&lt;0.001,t,NA())</f>
        <v>#N/A</v>
      </c>
      <c r="AD715" s="425" t="e">
        <f aca="false">IF(ABS(t-ROUND(t,0))&lt;0.001,pos_x,NA())</f>
        <v>#N/A</v>
      </c>
      <c r="AE715" s="426" t="e">
        <f aca="false">IF(t&lt;T_para, pos_z, NA())</f>
        <v>#N/A</v>
      </c>
      <c r="AF715" s="412"/>
      <c r="AG715" s="418" t="n">
        <f aca="false">IF(AND(L714&lt;L_rampe,Poussee&lt;Poids*SIN(M714)),0,(-W714+Poussee)/m-Poids*SIN(M714)/m)</f>
        <v>2.34650298551433</v>
      </c>
      <c r="AH715" s="417" t="n">
        <f aca="false">IF(AND(L714&lt;L_rampe,Poussee&lt;Poids*SIN(M714)), g*SIN(M714), (-W714+Poussee)/m)</f>
        <v>-7.40229664566142</v>
      </c>
    </row>
    <row r="716" customFormat="false" ht="12" hidden="false" customHeight="false" outlineLevel="0" collapsed="false">
      <c r="A716" s="416" t="n">
        <f aca="false">IF(B715+0.01&lt;=T_ini+ROUNDUP(Temps_fin_propu,0), 0.01, IF(K715&gt;0, 0.1, 0.0001))</f>
        <v>0.1</v>
      </c>
      <c r="B716" s="417" t="n">
        <f aca="false">B715+pas</f>
        <v>35.2000000000002</v>
      </c>
      <c r="C716" s="401"/>
      <c r="D716" s="418" t="n">
        <f aca="false">IF(AND(L715&lt;L_rampe,Poussee&lt;Poids*SIN(M715)),0,(-W715+Poussee)/m*COS(M715)-U715/m*SIN(M715))</f>
        <v>-0.823097172941269</v>
      </c>
      <c r="E716" s="419" t="n">
        <f aca="false">IF(AND(L715&lt;L_rampe,Poussee&lt;Poids*SIN(M715)),0,(-W715+Poussee)/m*SIN(M715)+U715/m*COS(M715)-Poids/m)</f>
        <v>-2.41573174551669</v>
      </c>
      <c r="F716" s="417" t="n">
        <f aca="false">SQRT(acc_x^2+acc_z^2)</f>
        <v>2.55210674196849</v>
      </c>
      <c r="G716" s="418" t="n">
        <f aca="false">G715+acc_x*pas</f>
        <v>13.3652814932249</v>
      </c>
      <c r="H716" s="419" t="n">
        <f aca="false">H715+acc_z*pas</f>
        <v>-121.047597124174</v>
      </c>
      <c r="I716" s="417" t="n">
        <f aca="false">SQRT(vit_x^2+vit_z^2)</f>
        <v>121.78321525945</v>
      </c>
      <c r="J716" s="418" t="n">
        <f aca="false">J715+0.5*(vit_x+G715)*pas*(K715&gt;=0)</f>
        <v>899.404002235936</v>
      </c>
      <c r="K716" s="419" t="n">
        <f aca="false">K715+0.5*(vit_z+H715)*pas</f>
        <v>125.813875900948</v>
      </c>
      <c r="L716" s="417" t="n">
        <f aca="false">SQRT(pos_x^2+pos_z^2)</f>
        <v>908.161158939997</v>
      </c>
      <c r="M716" s="418" t="n">
        <f aca="false">IF(AND(L715&gt;L_rampe,G716&gt;0),ATAN2(G716,H716),$M$4)</f>
        <v>-1.46082832210401</v>
      </c>
      <c r="N716" s="417" t="n">
        <f aca="false">DEGREES(Beta)</f>
        <v>-83.6992974497372</v>
      </c>
      <c r="O716" s="401"/>
      <c r="P716" s="420" t="n">
        <f aca="false">MATCH(t-pas/2-T_ini,CdP_t)</f>
        <v>23</v>
      </c>
      <c r="Q716" s="417" t="n">
        <f aca="false">(INDEX(CdP,2,i_P+1)-INDEX(CdP,2,i_P+0))/(INDEX(CdP,1,i_P+1)-INDEX(CdP,1,i_P+0))*(t-pas/2-T_ini-INDEX(CdP,1,i_P+0))+INDEX(CdP,2,i_P+0)</f>
        <v>0</v>
      </c>
      <c r="R716" s="418" t="n">
        <f aca="false">Poussee/(g*ISP)</f>
        <v>0</v>
      </c>
      <c r="S716" s="419" t="n">
        <f aca="false">S715-Débit*pas</f>
        <v>7.37799999999998</v>
      </c>
      <c r="T716" s="417" t="n">
        <f aca="false">m*g</f>
        <v>72.3781799999998</v>
      </c>
      <c r="U716" s="421" t="n">
        <f aca="false">IF(pos_xz&lt;L_rampe,Poids*COS(Beta),0)</f>
        <v>0</v>
      </c>
      <c r="V716" s="418" t="n">
        <f aca="false">Rho_moyen*(20000-Alt_rampe-pos_z)/(20000+Alt_rampe+pos_z)</f>
        <v>1.20968414754017</v>
      </c>
      <c r="W716" s="417" t="n">
        <f aca="false">1/2*Rho*Sref*Cx*vit_xz^2</f>
        <v>55.1674072304696</v>
      </c>
      <c r="X716" s="401"/>
      <c r="Y716" s="422" t="str">
        <f aca="false">IF(AND(pos_z&lt;=0,K715&gt;0),"Impact balistique","") &amp; IF(AND(H717&lt;0,vit_z&gt;=0),"Apogée","") &amp; IF(AND(Poussee=0,Q715&gt;0),"Fin de propulsion","") &amp; IF(AND(L717&gt;L_rampe,pos_xz&lt;=L_rampe),"Sortie de rampe","")</f>
        <v/>
      </c>
      <c r="Z716" s="423" t="str">
        <f aca="false">IF(ABS(t-T_para)&lt;pas/2,"Para","")</f>
        <v/>
      </c>
      <c r="AA716" s="424" t="str">
        <f aca="false">IF(ABS(t-T_satellite)&lt;pas/2,"Satellite","")</f>
        <v/>
      </c>
      <c r="AB716" s="412"/>
      <c r="AC716" s="420" t="e">
        <f aca="false">IF(ABS(t-ROUND(t,0))&lt;0.001,t,NA())</f>
        <v>#N/A</v>
      </c>
      <c r="AD716" s="425" t="e">
        <f aca="false">IF(ABS(t-ROUND(t,0))&lt;0.001,pos_x,NA())</f>
        <v>#N/A</v>
      </c>
      <c r="AE716" s="426" t="e">
        <f aca="false">IF(t&lt;T_para, pos_z, NA())</f>
        <v>#N/A</v>
      </c>
      <c r="AF716" s="412"/>
      <c r="AG716" s="418" t="n">
        <f aca="false">IF(AND(L715&lt;L_rampe,Poussee&lt;Poids*SIN(M715)),0,(-W715+Poussee)/m-Poids*SIN(M715)/m)</f>
        <v>2.30984147251665</v>
      </c>
      <c r="AH716" s="417" t="n">
        <f aca="false">IF(AND(L715&lt;L_rampe,Poussee&lt;Poids*SIN(M715)), g*SIN(M715), (-W715+Poussee)/m)</f>
        <v>-7.4399389765887</v>
      </c>
    </row>
    <row r="717" customFormat="false" ht="12" hidden="false" customHeight="false" outlineLevel="0" collapsed="false">
      <c r="A717" s="416" t="n">
        <f aca="false">IF(B716+0.01&lt;=T_ini+ROUNDUP(Temps_fin_propu,0), 0.01, IF(K716&gt;0, 0.1, 0.0001))</f>
        <v>0.1</v>
      </c>
      <c r="B717" s="417" t="n">
        <f aca="false">B716+pas</f>
        <v>35.3000000000002</v>
      </c>
      <c r="C717" s="401"/>
      <c r="D717" s="418" t="n">
        <f aca="false">IF(AND(L716&lt;L_rampe,Poussee&lt;Poids*SIN(M716)),0,(-W716+Poussee)/m*COS(M716)-U716/m*SIN(M716))</f>
        <v>-0.820605827336352</v>
      </c>
      <c r="E717" s="419" t="n">
        <f aca="false">IF(AND(L716&lt;L_rampe,Poussee&lt;Poids*SIN(M716)),0,(-W716+Poussee)/m*SIN(M716)+U716/m*COS(M716)-Poids/m)</f>
        <v>-2.37788092076371</v>
      </c>
      <c r="F717" s="417" t="n">
        <f aca="false">SQRT(acc_x^2+acc_z^2)</f>
        <v>2.5154943047422</v>
      </c>
      <c r="G717" s="418" t="n">
        <f aca="false">G716+acc_x*pas</f>
        <v>13.2832209104912</v>
      </c>
      <c r="H717" s="419" t="n">
        <f aca="false">H716+acc_z*pas</f>
        <v>-121.285385216251</v>
      </c>
      <c r="I717" s="417" t="n">
        <f aca="false">SQRT(vit_x^2+vit_z^2)</f>
        <v>122.010608656835</v>
      </c>
      <c r="J717" s="418" t="n">
        <f aca="false">J716+0.5*(vit_x+G716)*pas*(K716&gt;=0)</f>
        <v>900.736427356122</v>
      </c>
      <c r="K717" s="419" t="n">
        <f aca="false">K716+0.5*(vit_z+H716)*pas</f>
        <v>113.697226783927</v>
      </c>
      <c r="L717" s="417" t="n">
        <f aca="false">SQRT(pos_x^2+pos_z^2)</f>
        <v>907.88389728237</v>
      </c>
      <c r="M717" s="418" t="n">
        <f aca="false">IF(AND(L716&gt;L_rampe,G717&gt;0),ATAN2(G717,H717),$M$4)</f>
        <v>-1.46171071528708</v>
      </c>
      <c r="N717" s="417" t="n">
        <f aca="false">DEGREES(Beta)</f>
        <v>-83.7498548549985</v>
      </c>
      <c r="O717" s="401"/>
      <c r="P717" s="420" t="n">
        <f aca="false">MATCH(t-pas/2-T_ini,CdP_t)</f>
        <v>23</v>
      </c>
      <c r="Q717" s="417" t="n">
        <f aca="false">(INDEX(CdP,2,i_P+1)-INDEX(CdP,2,i_P+0))/(INDEX(CdP,1,i_P+1)-INDEX(CdP,1,i_P+0))*(t-pas/2-T_ini-INDEX(CdP,1,i_P+0))+INDEX(CdP,2,i_P+0)</f>
        <v>0</v>
      </c>
      <c r="R717" s="418" t="n">
        <f aca="false">Poussee/(g*ISP)</f>
        <v>0</v>
      </c>
      <c r="S717" s="419" t="n">
        <f aca="false">S716-Débit*pas</f>
        <v>7.37799999999998</v>
      </c>
      <c r="T717" s="417" t="n">
        <f aca="false">m*g</f>
        <v>72.3781799999998</v>
      </c>
      <c r="U717" s="421" t="n">
        <f aca="false">IF(pos_xz&lt;L_rampe,Poids*COS(Beta),0)</f>
        <v>0</v>
      </c>
      <c r="V717" s="418" t="n">
        <f aca="false">Rho_moyen*(20000-Alt_rampe-pos_z)/(20000+Alt_rampe+pos_z)</f>
        <v>1.21115082038474</v>
      </c>
      <c r="W717" s="417" t="n">
        <f aca="false">1/2*Rho*Sref*Cx*vit_xz^2</f>
        <v>55.4407538751308</v>
      </c>
      <c r="X717" s="401"/>
      <c r="Y717" s="422" t="str">
        <f aca="false">IF(AND(pos_z&lt;=0,K716&gt;0),"Impact balistique","") &amp; IF(AND(H718&lt;0,vit_z&gt;=0),"Apogée","") &amp; IF(AND(Poussee=0,Q716&gt;0),"Fin de propulsion","") &amp; IF(AND(L718&gt;L_rampe,pos_xz&lt;=L_rampe),"Sortie de rampe","")</f>
        <v/>
      </c>
      <c r="Z717" s="423" t="str">
        <f aca="false">IF(ABS(t-T_para)&lt;pas/2,"Para","")</f>
        <v/>
      </c>
      <c r="AA717" s="424" t="str">
        <f aca="false">IF(ABS(t-T_satellite)&lt;pas/2,"Satellite","")</f>
        <v/>
      </c>
      <c r="AB717" s="412"/>
      <c r="AC717" s="420" t="e">
        <f aca="false">IF(ABS(t-ROUND(t,0))&lt;0.001,t,NA())</f>
        <v>#N/A</v>
      </c>
      <c r="AD717" s="425" t="e">
        <f aca="false">IF(ABS(t-ROUND(t,0))&lt;0.001,pos_x,NA())</f>
        <v>#N/A</v>
      </c>
      <c r="AE717" s="426" t="e">
        <f aca="false">IF(t&lt;T_para, pos_z, NA())</f>
        <v>#N/A</v>
      </c>
      <c r="AF717" s="412"/>
      <c r="AG717" s="418" t="n">
        <f aca="false">IF(AND(L716&lt;L_rampe,Poussee&lt;Poids*SIN(M716)),0,(-W716+Poussee)/m-Poids*SIN(M716)/m)</f>
        <v>2.27345897576021</v>
      </c>
      <c r="AH717" s="417" t="n">
        <f aca="false">IF(AND(L716&lt;L_rampe,Poussee&lt;Poids*SIN(M716)), g*SIN(M716), (-W716+Poussee)/m)</f>
        <v>-7.47728479675654</v>
      </c>
    </row>
    <row r="718" customFormat="false" ht="12" hidden="false" customHeight="false" outlineLevel="0" collapsed="false">
      <c r="A718" s="416" t="n">
        <f aca="false">IF(B717+0.01&lt;=T_ini+ROUNDUP(Temps_fin_propu,0), 0.01, IF(K717&gt;0, 0.1, 0.0001))</f>
        <v>0.1</v>
      </c>
      <c r="B718" s="417" t="n">
        <f aca="false">B717+pas</f>
        <v>35.4000000000002</v>
      </c>
      <c r="C718" s="401"/>
      <c r="D718" s="418" t="n">
        <f aca="false">IF(AND(L717&lt;L_rampe,Poussee&lt;Poids*SIN(M717)),0,(-W717+Poussee)/m*COS(M717)-U717/m*SIN(M717))</f>
        <v>-0.818080946704227</v>
      </c>
      <c r="E718" s="419" t="n">
        <f aca="false">IF(AND(L717&lt;L_rampe,Poussee&lt;Poids*SIN(M717)),0,(-W717+Poussee)/m*SIN(M717)+U717/m*COS(M717)-Poids/m)</f>
        <v>-2.3403310524083</v>
      </c>
      <c r="F718" s="417" t="n">
        <f aca="false">SQRT(acc_x^2+acc_z^2)</f>
        <v>2.4791946011209</v>
      </c>
      <c r="G718" s="418" t="n">
        <f aca="false">G717+acc_x*pas</f>
        <v>13.2014128158208</v>
      </c>
      <c r="H718" s="419" t="n">
        <f aca="false">H717+acc_z*pas</f>
        <v>-121.519418321492</v>
      </c>
      <c r="I718" s="417" t="n">
        <f aca="false">SQRT(vit_x^2+vit_z^2)</f>
        <v>122.234390944314</v>
      </c>
      <c r="J718" s="418" t="n">
        <f aca="false">J717+0.5*(vit_x+G717)*pas*(K717&gt;=0)</f>
        <v>902.060659042437</v>
      </c>
      <c r="K718" s="419" t="n">
        <f aca="false">K717+0.5*(vit_z+H717)*pas</f>
        <v>101.55698660704</v>
      </c>
      <c r="L718" s="417" t="n">
        <f aca="false">SQRT(pos_x^2+pos_z^2)</f>
        <v>907.759469309342</v>
      </c>
      <c r="M718" s="418" t="n">
        <f aca="false">IF(AND(L717&gt;L_rampe,G718&gt;0),ATAN2(G718,H718),$M$4)</f>
        <v>-1.46258445374439</v>
      </c>
      <c r="N718" s="417" t="n">
        <f aca="false">DEGREES(Beta)</f>
        <v>-83.7999163810006</v>
      </c>
      <c r="O718" s="401"/>
      <c r="P718" s="420" t="n">
        <f aca="false">MATCH(t-pas/2-T_ini,CdP_t)</f>
        <v>23</v>
      </c>
      <c r="Q718" s="417" t="n">
        <f aca="false">(INDEX(CdP,2,i_P+1)-INDEX(CdP,2,i_P+0))/(INDEX(CdP,1,i_P+1)-INDEX(CdP,1,i_P+0))*(t-pas/2-T_ini-INDEX(CdP,1,i_P+0))+INDEX(CdP,2,i_P+0)</f>
        <v>0</v>
      </c>
      <c r="R718" s="418" t="n">
        <f aca="false">Poussee/(g*ISP)</f>
        <v>0</v>
      </c>
      <c r="S718" s="419" t="n">
        <f aca="false">S717-Débit*pas</f>
        <v>7.37799999999998</v>
      </c>
      <c r="T718" s="417" t="n">
        <f aca="false">m*g</f>
        <v>72.3781799999998</v>
      </c>
      <c r="U718" s="421" t="n">
        <f aca="false">IF(pos_xz&lt;L_rampe,Poids*COS(Beta),0)</f>
        <v>0</v>
      </c>
      <c r="V718" s="418" t="n">
        <f aca="false">Rho_moyen*(20000-Alt_rampe-pos_z)/(20000+Alt_rampe+pos_z)</f>
        <v>1.21262212213944</v>
      </c>
      <c r="W718" s="417" t="n">
        <f aca="false">1/2*Rho*Sref*Cx*vit_xz^2</f>
        <v>55.7119070541714</v>
      </c>
      <c r="X718" s="401"/>
      <c r="Y718" s="422" t="str">
        <f aca="false">IF(AND(pos_z&lt;=0,K717&gt;0),"Impact balistique","") &amp; IF(AND(H719&lt;0,vit_z&gt;=0),"Apogée","") &amp; IF(AND(Poussee=0,Q717&gt;0),"Fin de propulsion","") &amp; IF(AND(L719&gt;L_rampe,pos_xz&lt;=L_rampe),"Sortie de rampe","")</f>
        <v/>
      </c>
      <c r="Z718" s="423" t="str">
        <f aca="false">IF(ABS(t-T_para)&lt;pas/2,"Para","")</f>
        <v/>
      </c>
      <c r="AA718" s="424" t="str">
        <f aca="false">IF(ABS(t-T_satellite)&lt;pas/2,"Satellite","")</f>
        <v/>
      </c>
      <c r="AB718" s="412"/>
      <c r="AC718" s="420" t="e">
        <f aca="false">IF(ABS(t-ROUND(t,0))&lt;0.001,t,NA())</f>
        <v>#N/A</v>
      </c>
      <c r="AD718" s="425" t="e">
        <f aca="false">IF(ABS(t-ROUND(t,0))&lt;0.001,pos_x,NA())</f>
        <v>#N/A</v>
      </c>
      <c r="AE718" s="426" t="e">
        <f aca="false">IF(t&lt;T_para, pos_z, NA())</f>
        <v>#N/A</v>
      </c>
      <c r="AF718" s="412"/>
      <c r="AG718" s="418" t="n">
        <f aca="false">IF(AND(L717&lt;L_rampe,Poussee&lt;Poids*SIN(M717)),0,(-W717+Poussee)/m-Poids*SIN(M717)/m)</f>
        <v>2.23735629460665</v>
      </c>
      <c r="AH718" s="417" t="n">
        <f aca="false">IF(AND(L717&lt;L_rampe,Poussee&lt;Poids*SIN(M717)), g*SIN(M717), (-W717+Poussee)/m)</f>
        <v>-7.51433367784371</v>
      </c>
    </row>
    <row r="719" customFormat="false" ht="12" hidden="false" customHeight="false" outlineLevel="0" collapsed="false">
      <c r="A719" s="416" t="n">
        <f aca="false">IF(B718+0.01&lt;=T_ini+ROUNDUP(Temps_fin_propu,0), 0.01, IF(K718&gt;0, 0.1, 0.0001))</f>
        <v>0.1</v>
      </c>
      <c r="B719" s="417" t="n">
        <f aca="false">B718+pas</f>
        <v>35.5000000000002</v>
      </c>
      <c r="C719" s="401"/>
      <c r="D719" s="418" t="n">
        <f aca="false">IF(AND(L718&lt;L_rampe,Poussee&lt;Poids*SIN(M718)),0,(-W718+Poussee)/m*COS(M718)-U718/m*SIN(M718))</f>
        <v>-0.815523298845369</v>
      </c>
      <c r="E719" s="419" t="n">
        <f aca="false">IF(AND(L718&lt;L_rampe,Poussee&lt;Poids*SIN(M718)),0,(-W718+Poussee)/m*SIN(M718)+U718/m*COS(M718)-Poids/m)</f>
        <v>-2.30308249912862</v>
      </c>
      <c r="F719" s="417" t="n">
        <f aca="false">SQRT(acc_x^2+acc_z^2)</f>
        <v>2.44320839241195</v>
      </c>
      <c r="G719" s="418" t="n">
        <f aca="false">G718+acc_x*pas</f>
        <v>13.1198604859363</v>
      </c>
      <c r="H719" s="419" t="n">
        <f aca="false">H718+acc_z*pas</f>
        <v>-121.749726571404</v>
      </c>
      <c r="I719" s="417" t="n">
        <f aca="false">SQRT(vit_x^2+vit_z^2)</f>
        <v>122.45459019319</v>
      </c>
      <c r="J719" s="418" t="n">
        <f aca="false">J718+0.5*(vit_x+G718)*pas*(K718&gt;=0)</f>
        <v>903.376722707525</v>
      </c>
      <c r="K719" s="419" t="n">
        <f aca="false">K718+0.5*(vit_z+H718)*pas</f>
        <v>89.3935293623948</v>
      </c>
      <c r="L719" s="417" t="n">
        <f aca="false">SQRT(pos_x^2+pos_z^2)</f>
        <v>907.788910607336</v>
      </c>
      <c r="M719" s="418" t="n">
        <f aca="false">IF(AND(L718&gt;L_rampe,G719&gt;0),ATAN2(G719,H719),$M$4)</f>
        <v>-1.4634496626706</v>
      </c>
      <c r="N719" s="417" t="n">
        <f aca="false">DEGREES(Beta)</f>
        <v>-83.8494892008691</v>
      </c>
      <c r="O719" s="401"/>
      <c r="P719" s="420" t="n">
        <f aca="false">MATCH(t-pas/2-T_ini,CdP_t)</f>
        <v>23</v>
      </c>
      <c r="Q719" s="417" t="n">
        <f aca="false">(INDEX(CdP,2,i_P+1)-INDEX(CdP,2,i_P+0))/(INDEX(CdP,1,i_P+1)-INDEX(CdP,1,i_P+0))*(t-pas/2-T_ini-INDEX(CdP,1,i_P+0))+INDEX(CdP,2,i_P+0)</f>
        <v>0</v>
      </c>
      <c r="R719" s="418" t="n">
        <f aca="false">Poussee/(g*ISP)</f>
        <v>0</v>
      </c>
      <c r="S719" s="419" t="n">
        <f aca="false">S718-Débit*pas</f>
        <v>7.37799999999998</v>
      </c>
      <c r="T719" s="417" t="n">
        <f aca="false">m*g</f>
        <v>72.3781799999998</v>
      </c>
      <c r="U719" s="421" t="n">
        <f aca="false">IF(pos_xz&lt;L_rampe,Poids*COS(Beta),0)</f>
        <v>0</v>
      </c>
      <c r="V719" s="418" t="n">
        <f aca="false">Rho_moyen*(20000-Alt_rampe-pos_z)/(20000+Alt_rampe+pos_z)</f>
        <v>1.21409802097222</v>
      </c>
      <c r="W719" s="417" t="n">
        <f aca="false">1/2*Rho*Sref*Cx*vit_xz^2</f>
        <v>55.9808646201205</v>
      </c>
      <c r="X719" s="401"/>
      <c r="Y719" s="422" t="str">
        <f aca="false">IF(AND(pos_z&lt;=0,K718&gt;0),"Impact balistique","") &amp; IF(AND(H720&lt;0,vit_z&gt;=0),"Apogée","") &amp; IF(AND(Poussee=0,Q718&gt;0),"Fin de propulsion","") &amp; IF(AND(L720&gt;L_rampe,pos_xz&lt;=L_rampe),"Sortie de rampe","")</f>
        <v/>
      </c>
      <c r="Z719" s="423" t="str">
        <f aca="false">IF(ABS(t-T_para)&lt;pas/2,"Para","")</f>
        <v/>
      </c>
      <c r="AA719" s="424" t="str">
        <f aca="false">IF(ABS(t-T_satellite)&lt;pas/2,"Satellite","")</f>
        <v/>
      </c>
      <c r="AB719" s="412"/>
      <c r="AC719" s="420" t="e">
        <f aca="false">IF(ABS(t-ROUND(t,0))&lt;0.001,t,NA())</f>
        <v>#N/A</v>
      </c>
      <c r="AD719" s="425" t="e">
        <f aca="false">IF(ABS(t-ROUND(t,0))&lt;0.001,pos_x,NA())</f>
        <v>#N/A</v>
      </c>
      <c r="AE719" s="426" t="e">
        <f aca="false">IF(t&lt;T_para, pos_z, NA())</f>
        <v>#N/A</v>
      </c>
      <c r="AF719" s="412"/>
      <c r="AG719" s="418" t="n">
        <f aca="false">IF(AND(L718&lt;L_rampe,Poussee&lt;Poids*SIN(M718)),0,(-W718+Poussee)/m-Poids*SIN(M718)/m)</f>
        <v>2.20153414953516</v>
      </c>
      <c r="AH719" s="417" t="n">
        <f aca="false">IF(AND(L718&lt;L_rampe,Poussee&lt;Poids*SIN(M718)), g*SIN(M718), (-W718+Poussee)/m)</f>
        <v>-7.55108526079852</v>
      </c>
    </row>
    <row r="720" customFormat="false" ht="12" hidden="false" customHeight="false" outlineLevel="0" collapsed="false">
      <c r="A720" s="416" t="n">
        <f aca="false">IF(B719+0.01&lt;=T_ini+ROUNDUP(Temps_fin_propu,0), 0.01, IF(K719&gt;0, 0.1, 0.0001))</f>
        <v>0.1</v>
      </c>
      <c r="B720" s="417" t="n">
        <f aca="false">B719+pas</f>
        <v>35.6000000000002</v>
      </c>
      <c r="C720" s="401"/>
      <c r="D720" s="418" t="n">
        <f aca="false">IF(AND(L719&lt;L_rampe,Poussee&lt;Poids*SIN(M719)),0,(-W719+Poussee)/m*COS(M719)-U719/m*SIN(M719))</f>
        <v>-0.812933645805357</v>
      </c>
      <c r="E720" s="419" t="n">
        <f aca="false">IF(AND(L719&lt;L_rampe,Poussee&lt;Poids*SIN(M719)),0,(-W719+Poussee)/m*SIN(M719)+U719/m*COS(M719)-Poids/m)</f>
        <v>-2.26613555086261</v>
      </c>
      <c r="F720" s="417" t="n">
        <f aca="false">SQRT(acc_x^2+acc_z^2)</f>
        <v>2.40753638547079</v>
      </c>
      <c r="G720" s="418" t="n">
        <f aca="false">G719+acc_x*pas</f>
        <v>13.0385671213557</v>
      </c>
      <c r="H720" s="419" t="n">
        <f aca="false">H719+acc_z*pas</f>
        <v>-121.976340126491</v>
      </c>
      <c r="I720" s="417" t="n">
        <f aca="false">SQRT(vit_x^2+vit_z^2)</f>
        <v>122.671234538629</v>
      </c>
      <c r="J720" s="418" t="n">
        <f aca="false">J719+0.5*(vit_x+G719)*pas*(K719&gt;=0)</f>
        <v>904.68464408789</v>
      </c>
      <c r="K720" s="419" t="n">
        <f aca="false">K719+0.5*(vit_z+H719)*pas</f>
        <v>77.2072260275001</v>
      </c>
      <c r="L720" s="417" t="n">
        <f aca="false">SQRT(pos_x^2+pos_z^2)</f>
        <v>907.973160946563</v>
      </c>
      <c r="M720" s="418" t="n">
        <f aca="false">IF(AND(L719&gt;L_rampe,G720&gt;0),ATAN2(G720,H720),$M$4)</f>
        <v>-1.46430646467181</v>
      </c>
      <c r="N720" s="417" t="n">
        <f aca="false">DEGREES(Beta)</f>
        <v>-83.8985803394168</v>
      </c>
      <c r="O720" s="401"/>
      <c r="P720" s="420" t="n">
        <f aca="false">MATCH(t-pas/2-T_ini,CdP_t)</f>
        <v>23</v>
      </c>
      <c r="Q720" s="417" t="n">
        <f aca="false">(INDEX(CdP,2,i_P+1)-INDEX(CdP,2,i_P+0))/(INDEX(CdP,1,i_P+1)-INDEX(CdP,1,i_P+0))*(t-pas/2-T_ini-INDEX(CdP,1,i_P+0))+INDEX(CdP,2,i_P+0)</f>
        <v>0</v>
      </c>
      <c r="R720" s="418" t="n">
        <f aca="false">Poussee/(g*ISP)</f>
        <v>0</v>
      </c>
      <c r="S720" s="419" t="n">
        <f aca="false">S719-Débit*pas</f>
        <v>7.37799999999998</v>
      </c>
      <c r="T720" s="417" t="n">
        <f aca="false">m*g</f>
        <v>72.3781799999998</v>
      </c>
      <c r="U720" s="421" t="n">
        <f aca="false">IF(pos_xz&lt;L_rampe,Poids*COS(Beta),0)</f>
        <v>0</v>
      </c>
      <c r="V720" s="418" t="n">
        <f aca="false">Rho_moyen*(20000-Alt_rampe-pos_z)/(20000+Alt_rampe+pos_z)</f>
        <v>1.21557848526252</v>
      </c>
      <c r="W720" s="417" t="n">
        <f aca="false">1/2*Rho*Sref*Cx*vit_xz^2</f>
        <v>56.2476249176717</v>
      </c>
      <c r="X720" s="401"/>
      <c r="Y720" s="422" t="str">
        <f aca="false">IF(AND(pos_z&lt;=0,K719&gt;0),"Impact balistique","") &amp; IF(AND(H721&lt;0,vit_z&gt;=0),"Apogée","") &amp; IF(AND(Poussee=0,Q719&gt;0),"Fin de propulsion","") &amp; IF(AND(L721&gt;L_rampe,pos_xz&lt;=L_rampe),"Sortie de rampe","")</f>
        <v/>
      </c>
      <c r="Z720" s="423" t="str">
        <f aca="false">IF(ABS(t-T_para)&lt;pas/2,"Para","")</f>
        <v/>
      </c>
      <c r="AA720" s="424" t="str">
        <f aca="false">IF(ABS(t-T_satellite)&lt;pas/2,"Satellite","")</f>
        <v/>
      </c>
      <c r="AB720" s="412"/>
      <c r="AC720" s="420" t="e">
        <f aca="false">IF(ABS(t-ROUND(t,0))&lt;0.001,t,NA())</f>
        <v>#N/A</v>
      </c>
      <c r="AD720" s="425" t="e">
        <f aca="false">IF(ABS(t-ROUND(t,0))&lt;0.001,pos_x,NA())</f>
        <v>#N/A</v>
      </c>
      <c r="AE720" s="426" t="e">
        <f aca="false">IF(t&lt;T_para, pos_z, NA())</f>
        <v>#N/A</v>
      </c>
      <c r="AF720" s="412"/>
      <c r="AG720" s="418" t="n">
        <f aca="false">IF(AND(L719&lt;L_rampe,Poussee&lt;Poids*SIN(M719)),0,(-W719+Poussee)/m-Poids*SIN(M719)/m)</f>
        <v>2.16599318372241</v>
      </c>
      <c r="AH720" s="417" t="n">
        <f aca="false">IF(AND(L719&lt;L_rampe,Poussee&lt;Poids*SIN(M719)), g*SIN(M719), (-W719+Poussee)/m)</f>
        <v>-7.58753925455687</v>
      </c>
    </row>
    <row r="721" customFormat="false" ht="12" hidden="false" customHeight="false" outlineLevel="0" collapsed="false">
      <c r="A721" s="416" t="n">
        <f aca="false">IF(B720+0.01&lt;=T_ini+ROUNDUP(Temps_fin_propu,0), 0.01, IF(K720&gt;0, 0.1, 0.0001))</f>
        <v>0.1</v>
      </c>
      <c r="B721" s="417" t="n">
        <f aca="false">B720+pas</f>
        <v>35.7000000000002</v>
      </c>
      <c r="C721" s="401"/>
      <c r="D721" s="418" t="n">
        <f aca="false">IF(AND(L720&lt;L_rampe,Poussee&lt;Poids*SIN(M720)),0,(-W720+Poussee)/m*COS(M720)-U720/m*SIN(M720))</f>
        <v>-0.810312743755848</v>
      </c>
      <c r="E721" s="419" t="n">
        <f aca="false">IF(AND(L720&lt;L_rampe,Poussee&lt;Poids*SIN(M720)),0,(-W720+Poussee)/m*SIN(M720)+U720/m*COS(M720)-Poids/m)</f>
        <v>-2.22949043010212</v>
      </c>
      <c r="F721" s="417" t="n">
        <f aca="false">SQRT(acc_x^2+acc_z^2)</f>
        <v>2.3721792345036</v>
      </c>
      <c r="G721" s="418" t="n">
        <f aca="false">G720+acc_x*pas</f>
        <v>12.9575358469802</v>
      </c>
      <c r="H721" s="419" t="n">
        <f aca="false">H720+acc_z*pas</f>
        <v>-122.199289169501</v>
      </c>
      <c r="I721" s="417" t="n">
        <f aca="false">SQRT(vit_x^2+vit_z^2)</f>
        <v>122.884352172101</v>
      </c>
      <c r="J721" s="418" t="n">
        <f aca="false">J720+0.5*(vit_x+G720)*pas*(K720&gt;=0)</f>
        <v>905.984449236306</v>
      </c>
      <c r="K721" s="419" t="n">
        <f aca="false">K720+0.5*(vit_z+H720)*pas</f>
        <v>64.9984445627005</v>
      </c>
      <c r="L721" s="417" t="n">
        <f aca="false">SQRT(pos_x^2+pos_z^2)</f>
        <v>908.313062800257</v>
      </c>
      <c r="M721" s="418" t="n">
        <f aca="false">IF(AND(L720&gt;L_rampe,G721&gt;0),ATAN2(G721,H721),$M$4)</f>
        <v>-1.46515497983232</v>
      </c>
      <c r="N721" s="417" t="n">
        <f aca="false">DEGREES(Beta)</f>
        <v>-83.9471966769669</v>
      </c>
      <c r="O721" s="401"/>
      <c r="P721" s="420" t="n">
        <f aca="false">MATCH(t-pas/2-T_ini,CdP_t)</f>
        <v>23</v>
      </c>
      <c r="Q721" s="417" t="n">
        <f aca="false">(INDEX(CdP,2,i_P+1)-INDEX(CdP,2,i_P+0))/(INDEX(CdP,1,i_P+1)-INDEX(CdP,1,i_P+0))*(t-pas/2-T_ini-INDEX(CdP,1,i_P+0))+INDEX(CdP,2,i_P+0)</f>
        <v>0</v>
      </c>
      <c r="R721" s="418" t="n">
        <f aca="false">Poussee/(g*ISP)</f>
        <v>0</v>
      </c>
      <c r="S721" s="419" t="n">
        <f aca="false">S720-Débit*pas</f>
        <v>7.37799999999998</v>
      </c>
      <c r="T721" s="417" t="n">
        <f aca="false">m*g</f>
        <v>72.3781799999998</v>
      </c>
      <c r="U721" s="421" t="n">
        <f aca="false">IF(pos_xz&lt;L_rampe,Poids*COS(Beta),0)</f>
        <v>0</v>
      </c>
      <c r="V721" s="418" t="n">
        <f aca="false">Rho_moyen*(20000-Alt_rampe-pos_z)/(20000+Alt_rampe+pos_z)</f>
        <v>1.21706348360212</v>
      </c>
      <c r="W721" s="417" t="n">
        <f aca="false">1/2*Rho*Sref*Cx*vit_xz^2</f>
        <v>56.5121867742507</v>
      </c>
      <c r="X721" s="401"/>
      <c r="Y721" s="422" t="str">
        <f aca="false">IF(AND(pos_z&lt;=0,K720&gt;0),"Impact balistique","") &amp; IF(AND(H722&lt;0,vit_z&gt;=0),"Apogée","") &amp; IF(AND(Poussee=0,Q720&gt;0),"Fin de propulsion","") &amp; IF(AND(L722&gt;L_rampe,pos_xz&lt;=L_rampe),"Sortie de rampe","")</f>
        <v/>
      </c>
      <c r="Z721" s="423" t="str">
        <f aca="false">IF(ABS(t-T_para)&lt;pas/2,"Para","")</f>
        <v/>
      </c>
      <c r="AA721" s="424" t="str">
        <f aca="false">IF(ABS(t-T_satellite)&lt;pas/2,"Satellite","")</f>
        <v/>
      </c>
      <c r="AB721" s="412"/>
      <c r="AC721" s="420" t="e">
        <f aca="false">IF(ABS(t-ROUND(t,0))&lt;0.001,t,NA())</f>
        <v>#N/A</v>
      </c>
      <c r="AD721" s="425" t="e">
        <f aca="false">IF(ABS(t-ROUND(t,0))&lt;0.001,pos_x,NA())</f>
        <v>#N/A</v>
      </c>
      <c r="AE721" s="426" t="e">
        <f aca="false">IF(t&lt;T_para, pos_z, NA())</f>
        <v>#N/A</v>
      </c>
      <c r="AF721" s="412"/>
      <c r="AG721" s="418" t="n">
        <f aca="false">IF(AND(L720&lt;L_rampe,Poussee&lt;Poids*SIN(M720)),0,(-W720+Poussee)/m-Poids*SIN(M720)/m)</f>
        <v>2.13073396461037</v>
      </c>
      <c r="AH721" s="417" t="n">
        <f aca="false">IF(AND(L720&lt;L_rampe,Poussee&lt;Poids*SIN(M720)), g*SIN(M720), (-W720+Poussee)/m)</f>
        <v>-7.6236954347617</v>
      </c>
    </row>
    <row r="722" customFormat="false" ht="12" hidden="false" customHeight="false" outlineLevel="0" collapsed="false">
      <c r="A722" s="416" t="n">
        <f aca="false">IF(B721+0.01&lt;=T_ini+ROUNDUP(Temps_fin_propu,0), 0.01, IF(K721&gt;0, 0.1, 0.0001))</f>
        <v>0.1</v>
      </c>
      <c r="B722" s="417" t="n">
        <f aca="false">B721+pas</f>
        <v>35.8000000000002</v>
      </c>
      <c r="C722" s="401"/>
      <c r="D722" s="418" t="n">
        <f aca="false">IF(AND(L721&lt;L_rampe,Poussee&lt;Poids*SIN(M721)),0,(-W721+Poussee)/m*COS(M721)-U721/m*SIN(M721))</f>
        <v>-0.807661342880833</v>
      </c>
      <c r="E722" s="419" t="n">
        <f aca="false">IF(AND(L721&lt;L_rampe,Poussee&lt;Poids*SIN(M721)),0,(-W721+Poussee)/m*SIN(M721)+U721/m*COS(M721)-Poids/m)</f>
        <v>-2.19314729318508</v>
      </c>
      <c r="F722" s="417" t="n">
        <f aca="false">SQRT(acc_x^2+acc_z^2)</f>
        <v>2.33713754289068</v>
      </c>
      <c r="G722" s="418" t="n">
        <f aca="false">G721+acc_x*pas</f>
        <v>12.8767697126921</v>
      </c>
      <c r="H722" s="419" t="n">
        <f aca="false">H721+acc_z*pas</f>
        <v>-122.418603898819</v>
      </c>
      <c r="I722" s="417" t="n">
        <f aca="false">SQRT(vit_x^2+vit_z^2)</f>
        <v>123.093971333976</v>
      </c>
      <c r="J722" s="418" t="n">
        <f aca="false">J721+0.5*(vit_x+G721)*pas*(K721&gt;=0)</f>
        <v>907.27616451429</v>
      </c>
      <c r="K722" s="419" t="n">
        <f aca="false">K721+0.5*(vit_z+H721)*pas</f>
        <v>52.7675499092845</v>
      </c>
      <c r="L722" s="417" t="n">
        <f aca="false">SQRT(pos_x^2+pos_z^2)</f>
        <v>908.809360107602</v>
      </c>
      <c r="M722" s="418" t="n">
        <f aca="false">IF(AND(L721&gt;L_rampe,G722&gt;0),ATAN2(G722,H722),$M$4)</f>
        <v>-1.46599532577932</v>
      </c>
      <c r="N722" s="417" t="n">
        <f aca="false">DEGREES(Beta)</f>
        <v>-83.9953449530612</v>
      </c>
      <c r="O722" s="401"/>
      <c r="P722" s="420" t="n">
        <f aca="false">MATCH(t-pas/2-T_ini,CdP_t)</f>
        <v>23</v>
      </c>
      <c r="Q722" s="417" t="n">
        <f aca="false">(INDEX(CdP,2,i_P+1)-INDEX(CdP,2,i_P+0))/(INDEX(CdP,1,i_P+1)-INDEX(CdP,1,i_P+0))*(t-pas/2-T_ini-INDEX(CdP,1,i_P+0))+INDEX(CdP,2,i_P+0)</f>
        <v>0</v>
      </c>
      <c r="R722" s="418" t="n">
        <f aca="false">Poussee/(g*ISP)</f>
        <v>0</v>
      </c>
      <c r="S722" s="419" t="n">
        <f aca="false">S721-Débit*pas</f>
        <v>7.37799999999998</v>
      </c>
      <c r="T722" s="417" t="n">
        <f aca="false">m*g</f>
        <v>72.3781799999998</v>
      </c>
      <c r="U722" s="421" t="n">
        <f aca="false">IF(pos_xz&lt;L_rampe,Poids*COS(Beta),0)</f>
        <v>0</v>
      </c>
      <c r="V722" s="418" t="n">
        <f aca="false">Rho_moyen*(20000-Alt_rampe-pos_z)/(20000+Alt_rampe+pos_z)</f>
        <v>1.21855298479594</v>
      </c>
      <c r="W722" s="417" t="n">
        <f aca="false">1/2*Rho*Sref*Cx*vit_xz^2</f>
        <v>56.774549490602</v>
      </c>
      <c r="X722" s="401"/>
      <c r="Y722" s="422" t="str">
        <f aca="false">IF(AND(pos_z&lt;=0,K721&gt;0),"Impact balistique","") &amp; IF(AND(H723&lt;0,vit_z&gt;=0),"Apogée","") &amp; IF(AND(Poussee=0,Q721&gt;0),"Fin de propulsion","") &amp; IF(AND(L723&gt;L_rampe,pos_xz&lt;=L_rampe),"Sortie de rampe","")</f>
        <v/>
      </c>
      <c r="Z722" s="423" t="str">
        <f aca="false">IF(ABS(t-T_para)&lt;pas/2,"Para","")</f>
        <v/>
      </c>
      <c r="AA722" s="424" t="str">
        <f aca="false">IF(ABS(t-T_satellite)&lt;pas/2,"Satellite","")</f>
        <v/>
      </c>
      <c r="AB722" s="412"/>
      <c r="AC722" s="420" t="e">
        <f aca="false">IF(ABS(t-ROUND(t,0))&lt;0.001,t,NA())</f>
        <v>#N/A</v>
      </c>
      <c r="AD722" s="425" t="e">
        <f aca="false">IF(ABS(t-ROUND(t,0))&lt;0.001,pos_x,NA())</f>
        <v>#N/A</v>
      </c>
      <c r="AE722" s="426" t="e">
        <f aca="false">IF(t&lt;T_para, pos_z, NA())</f>
        <v>#N/A</v>
      </c>
      <c r="AF722" s="412"/>
      <c r="AG722" s="418" t="n">
        <f aca="false">IF(AND(L721&lt;L_rampe,Poussee&lt;Poids*SIN(M721)),0,(-W721+Poussee)/m-Poids*SIN(M721)/m)</f>
        <v>2.09575698546182</v>
      </c>
      <c r="AH722" s="417" t="n">
        <f aca="false">IF(AND(L721&lt;L_rampe,Poussee&lt;Poids*SIN(M721)), g*SIN(M721), (-W721+Poussee)/m)</f>
        <v>-7.65955364248452</v>
      </c>
    </row>
    <row r="723" customFormat="false" ht="12" hidden="false" customHeight="false" outlineLevel="0" collapsed="false">
      <c r="A723" s="416" t="n">
        <f aca="false">IF(B722+0.01&lt;=T_ini+ROUNDUP(Temps_fin_propu,0), 0.01, IF(K722&gt;0, 0.1, 0.0001))</f>
        <v>0.1</v>
      </c>
      <c r="B723" s="417" t="n">
        <f aca="false">B722+pas</f>
        <v>35.9000000000002</v>
      </c>
      <c r="C723" s="401"/>
      <c r="D723" s="418" t="n">
        <f aca="false">IF(AND(L722&lt;L_rampe,Poussee&lt;Poids*SIN(M722)),0,(-W722+Poussee)/m*COS(M722)-U722/m*SIN(M722))</f>
        <v>-0.804980187268152</v>
      </c>
      <c r="E723" s="419" t="n">
        <f aca="false">IF(AND(L722&lt;L_rampe,Poussee&lt;Poids*SIN(M722)),0,(-W722+Poussee)/m*SIN(M722)+U722/m*COS(M722)-Poids/m)</f>
        <v>-2.15710623158491</v>
      </c>
      <c r="F723" s="417" t="n">
        <f aca="false">SQRT(acc_x^2+acc_z^2)</f>
        <v>2.30241186503126</v>
      </c>
      <c r="G723" s="418" t="n">
        <f aca="false">G722+acc_x*pas</f>
        <v>12.7962716939653</v>
      </c>
      <c r="H723" s="419" t="n">
        <f aca="false">H722+acc_z*pas</f>
        <v>-122.634314521978</v>
      </c>
      <c r="I723" s="417" t="n">
        <f aca="false">SQRT(vit_x^2+vit_z^2)</f>
        <v>123.300120306272</v>
      </c>
      <c r="J723" s="418" t="n">
        <f aca="false">J722+0.5*(vit_x+G722)*pas*(K722&gt;=0)</f>
        <v>908.559816584623</v>
      </c>
      <c r="K723" s="419" t="n">
        <f aca="false">K722+0.5*(vit_z+H722)*pas</f>
        <v>40.5149039882447</v>
      </c>
      <c r="L723" s="417" t="n">
        <f aca="false">SQRT(pos_x^2+pos_z^2)</f>
        <v>909.462697287503</v>
      </c>
      <c r="M723" s="418" t="n">
        <f aca="false">IF(AND(L722&gt;L_rampe,G723&gt;0),ATAN2(G723,H723),$M$4)</f>
        <v>-1.46682761774568</v>
      </c>
      <c r="N723" s="417" t="n">
        <f aca="false">DEGREES(Beta)</f>
        <v>-84.043031770056</v>
      </c>
      <c r="O723" s="401"/>
      <c r="P723" s="420" t="n">
        <f aca="false">MATCH(t-pas/2-T_ini,CdP_t)</f>
        <v>23</v>
      </c>
      <c r="Q723" s="417" t="n">
        <f aca="false">(INDEX(CdP,2,i_P+1)-INDEX(CdP,2,i_P+0))/(INDEX(CdP,1,i_P+1)-INDEX(CdP,1,i_P+0))*(t-pas/2-T_ini-INDEX(CdP,1,i_P+0))+INDEX(CdP,2,i_P+0)</f>
        <v>0</v>
      </c>
      <c r="R723" s="418" t="n">
        <f aca="false">Poussee/(g*ISP)</f>
        <v>0</v>
      </c>
      <c r="S723" s="419" t="n">
        <f aca="false">S722-Débit*pas</f>
        <v>7.37799999999998</v>
      </c>
      <c r="T723" s="417" t="n">
        <f aca="false">m*g</f>
        <v>72.3781799999998</v>
      </c>
      <c r="U723" s="421" t="n">
        <f aca="false">IF(pos_xz&lt;L_rampe,Poids*COS(Beta),0)</f>
        <v>0</v>
      </c>
      <c r="V723" s="418" t="n">
        <f aca="false">Rho_moyen*(20000-Alt_rampe-pos_z)/(20000+Alt_rampe+pos_z)</f>
        <v>1.22004695786277</v>
      </c>
      <c r="W723" s="417" t="n">
        <f aca="false">1/2*Rho*Sref*Cx*vit_xz^2</f>
        <v>57.0347128314008</v>
      </c>
      <c r="X723" s="401"/>
      <c r="Y723" s="422" t="str">
        <f aca="false">IF(AND(pos_z&lt;=0,K722&gt;0),"Impact balistique","") &amp; IF(AND(H724&lt;0,vit_z&gt;=0),"Apogée","") &amp; IF(AND(Poussee=0,Q722&gt;0),"Fin de propulsion","") &amp; IF(AND(L724&gt;L_rampe,pos_xz&lt;=L_rampe),"Sortie de rampe","")</f>
        <v/>
      </c>
      <c r="Z723" s="423" t="str">
        <f aca="false">IF(ABS(t-T_para)&lt;pas/2,"Para","")</f>
        <v/>
      </c>
      <c r="AA723" s="424" t="str">
        <f aca="false">IF(ABS(t-T_satellite)&lt;pas/2,"Satellite","")</f>
        <v/>
      </c>
      <c r="AB723" s="412"/>
      <c r="AC723" s="420" t="e">
        <f aca="false">IF(ABS(t-ROUND(t,0))&lt;0.001,t,NA())</f>
        <v>#N/A</v>
      </c>
      <c r="AD723" s="425" t="e">
        <f aca="false">IF(ABS(t-ROUND(t,0))&lt;0.001,pos_x,NA())</f>
        <v>#N/A</v>
      </c>
      <c r="AE723" s="426" t="e">
        <f aca="false">IF(t&lt;T_para, pos_z, NA())</f>
        <v>#N/A</v>
      </c>
      <c r="AF723" s="412"/>
      <c r="AG723" s="418" t="n">
        <f aca="false">IF(AND(L722&lt;L_rampe,Poussee&lt;Poids*SIN(M722)),0,(-W722+Poussee)/m-Poids*SIN(M722)/m)</f>
        <v>2.06106266690341</v>
      </c>
      <c r="AH723" s="417" t="n">
        <f aca="false">IF(AND(L722&lt;L_rampe,Poussee&lt;Poids*SIN(M722)), g*SIN(M722), (-W722+Poussee)/m)</f>
        <v>-7.69511378294959</v>
      </c>
    </row>
    <row r="724" customFormat="false" ht="12" hidden="false" customHeight="false" outlineLevel="0" collapsed="false">
      <c r="A724" s="416" t="n">
        <f aca="false">IF(B723+0.01&lt;=T_ini+ROUNDUP(Temps_fin_propu,0), 0.01, IF(K723&gt;0, 0.1, 0.0001))</f>
        <v>0.1</v>
      </c>
      <c r="B724" s="417" t="n">
        <f aca="false">B723+pas</f>
        <v>36.0000000000002</v>
      </c>
      <c r="C724" s="401"/>
      <c r="D724" s="418" t="n">
        <f aca="false">IF(AND(L723&lt;L_rampe,Poussee&lt;Poids*SIN(M723)),0,(-W723+Poussee)/m*COS(M723)-U723/m*SIN(M723))</f>
        <v>-0.802270014806127</v>
      </c>
      <c r="E724" s="419" t="n">
        <f aca="false">IF(AND(L723&lt;L_rampe,Poussee&lt;Poids*SIN(M723)),0,(-W723+Poussee)/m*SIN(M723)+U723/m*COS(M723)-Poids/m)</f>
        <v>-2.12136727319683</v>
      </c>
      <c r="F724" s="417" t="n">
        <f aca="false">SQRT(acc_x^2+acc_z^2)</f>
        <v>2.26800270820993</v>
      </c>
      <c r="G724" s="418" t="n">
        <f aca="false">G723+acc_x*pas</f>
        <v>12.7160446924847</v>
      </c>
      <c r="H724" s="419" t="n">
        <f aca="false">H723+acc_z*pas</f>
        <v>-122.846451249298</v>
      </c>
      <c r="I724" s="417" t="n">
        <f aca="false">SQRT(vit_x^2+vit_z^2)</f>
        <v>123.502827405559</v>
      </c>
      <c r="J724" s="418" t="n">
        <f aca="false">J723+0.5*(vit_x+G723)*pas*(K723&gt;=0)</f>
        <v>909.835432403945</v>
      </c>
      <c r="K724" s="419" t="n">
        <f aca="false">K723+0.5*(vit_z+H723)*pas</f>
        <v>28.2408656996809</v>
      </c>
      <c r="L724" s="417" t="n">
        <f aca="false">SQRT(pos_x^2+pos_z^2)</f>
        <v>910.273618508821</v>
      </c>
      <c r="M724" s="418" t="n">
        <f aca="false">IF(AND(L723&gt;L_rampe,G724&gt;0),ATAN2(G724,H724),$M$4)</f>
        <v>-1.4676519686308</v>
      </c>
      <c r="N724" s="417" t="n">
        <f aca="false">DEGREES(Beta)</f>
        <v>-84.0902635966113</v>
      </c>
      <c r="O724" s="401"/>
      <c r="P724" s="420" t="n">
        <f aca="false">MATCH(t-pas/2-T_ini,CdP_t)</f>
        <v>23</v>
      </c>
      <c r="Q724" s="417" t="n">
        <f aca="false">(INDEX(CdP,2,i_P+1)-INDEX(CdP,2,i_P+0))/(INDEX(CdP,1,i_P+1)-INDEX(CdP,1,i_P+0))*(t-pas/2-T_ini-INDEX(CdP,1,i_P+0))+INDEX(CdP,2,i_P+0)</f>
        <v>0</v>
      </c>
      <c r="R724" s="418" t="n">
        <f aca="false">Poussee/(g*ISP)</f>
        <v>0</v>
      </c>
      <c r="S724" s="419" t="n">
        <f aca="false">S723-Débit*pas</f>
        <v>7.37799999999998</v>
      </c>
      <c r="T724" s="417" t="n">
        <f aca="false">m*g</f>
        <v>72.3781799999998</v>
      </c>
      <c r="U724" s="421" t="n">
        <f aca="false">IF(pos_xz&lt;L_rampe,Poids*COS(Beta),0)</f>
        <v>0</v>
      </c>
      <c r="V724" s="418" t="n">
        <f aca="false">Rho_moyen*(20000-Alt_rampe-pos_z)/(20000+Alt_rampe+pos_z)</f>
        <v>1.22154537203601</v>
      </c>
      <c r="W724" s="417" t="n">
        <f aca="false">1/2*Rho*Sref*Cx*vit_xz^2</f>
        <v>57.2926770158935</v>
      </c>
      <c r="X724" s="401"/>
      <c r="Y724" s="422" t="str">
        <f aca="false">IF(AND(pos_z&lt;=0,K723&gt;0),"Impact balistique","") &amp; IF(AND(H725&lt;0,vit_z&gt;=0),"Apogée","") &amp; IF(AND(Poussee=0,Q723&gt;0),"Fin de propulsion","") &amp; IF(AND(L725&gt;L_rampe,pos_xz&lt;=L_rampe),"Sortie de rampe","")</f>
        <v/>
      </c>
      <c r="Z724" s="423" t="str">
        <f aca="false">IF(ABS(t-T_para)&lt;pas/2,"Para","")</f>
        <v/>
      </c>
      <c r="AA724" s="424" t="str">
        <f aca="false">IF(ABS(t-T_satellite)&lt;pas/2,"Satellite","")</f>
        <v/>
      </c>
      <c r="AB724" s="412"/>
      <c r="AC724" s="420" t="n">
        <f aca="false">IF(ABS(t-ROUND(t,0))&lt;0.001,t,NA())</f>
        <v>36.0000000000002</v>
      </c>
      <c r="AD724" s="425" t="n">
        <f aca="false">IF(ABS(t-ROUND(t,0))&lt;0.001,pos_x,NA())</f>
        <v>909.835432403945</v>
      </c>
      <c r="AE724" s="426" t="e">
        <f aca="false">IF(t&lt;T_para, pos_z, NA())</f>
        <v>#N/A</v>
      </c>
      <c r="AF724" s="412"/>
      <c r="AG724" s="418" t="n">
        <f aca="false">IF(AND(L723&lt;L_rampe,Poussee&lt;Poids*SIN(M723)),0,(-W723+Poussee)/m-Poids*SIN(M723)/m)</f>
        <v>2.0266513584558</v>
      </c>
      <c r="AH724" s="417" t="n">
        <f aca="false">IF(AND(L723&lt;L_rampe,Poussee&lt;Poids*SIN(M723)), g*SIN(M723), (-W723+Poussee)/m)</f>
        <v>-7.73037582426144</v>
      </c>
    </row>
    <row r="725" customFormat="false" ht="12" hidden="false" customHeight="false" outlineLevel="0" collapsed="false">
      <c r="A725" s="416" t="n">
        <f aca="false">IF(B724+0.01&lt;=T_ini+ROUNDUP(Temps_fin_propu,0), 0.01, IF(K724&gt;0, 0.1, 0.0001))</f>
        <v>0.1</v>
      </c>
      <c r="B725" s="417" t="n">
        <f aca="false">B724+pas</f>
        <v>36.1000000000002</v>
      </c>
      <c r="C725" s="401"/>
      <c r="D725" s="418" t="n">
        <f aca="false">IF(AND(L724&lt;L_rampe,Poussee&lt;Poids*SIN(M724)),0,(-W724+Poussee)/m*COS(M724)-U724/m*SIN(M724))</f>
        <v>-0.799531557085261</v>
      </c>
      <c r="E725" s="419" t="n">
        <f aca="false">IF(AND(L724&lt;L_rampe,Poussee&lt;Poids*SIN(M724)),0,(-W724+Poussee)/m*SIN(M724)+U724/m*COS(M724)-Poids/m)</f>
        <v>-2.08593038362012</v>
      </c>
      <c r="F725" s="417" t="n">
        <f aca="false">SQRT(acc_x^2+acc_z^2)</f>
        <v>2.23391053448538</v>
      </c>
      <c r="G725" s="418" t="n">
        <f aca="false">G724+acc_x*pas</f>
        <v>12.6360915367761</v>
      </c>
      <c r="H725" s="419" t="n">
        <f aca="false">H724+acc_z*pas</f>
        <v>-123.05504428766</v>
      </c>
      <c r="I725" s="417" t="n">
        <f aca="false">SQRT(vit_x^2+vit_z^2)</f>
        <v>123.702120976011</v>
      </c>
      <c r="J725" s="418" t="n">
        <f aca="false">J724+0.5*(vit_x+G724)*pas*(K724&gt;=0)</f>
        <v>911.103039215408</v>
      </c>
      <c r="K725" s="419" t="n">
        <f aca="false">K724+0.5*(vit_z+H724)*pas</f>
        <v>15.945790922833</v>
      </c>
      <c r="L725" s="417" t="n">
        <f aca="false">SQRT(pos_x^2+pos_z^2)</f>
        <v>911.242567221104</v>
      </c>
      <c r="M725" s="418" t="n">
        <f aca="false">IF(AND(L724&gt;L_rampe,G725&gt;0),ATAN2(G725,H725),$M$4)</f>
        <v>-1.46846848905972</v>
      </c>
      <c r="N725" s="417" t="n">
        <f aca="false">DEGREES(Beta)</f>
        <v>-84.137046771075</v>
      </c>
      <c r="O725" s="401"/>
      <c r="P725" s="420" t="n">
        <f aca="false">MATCH(t-pas/2-T_ini,CdP_t)</f>
        <v>23</v>
      </c>
      <c r="Q725" s="417" t="n">
        <f aca="false">(INDEX(CdP,2,i_P+1)-INDEX(CdP,2,i_P+0))/(INDEX(CdP,1,i_P+1)-INDEX(CdP,1,i_P+0))*(t-pas/2-T_ini-INDEX(CdP,1,i_P+0))+INDEX(CdP,2,i_P+0)</f>
        <v>0</v>
      </c>
      <c r="R725" s="418" t="n">
        <f aca="false">Poussee/(g*ISP)</f>
        <v>0</v>
      </c>
      <c r="S725" s="419" t="n">
        <f aca="false">S724-Débit*pas</f>
        <v>7.37799999999998</v>
      </c>
      <c r="T725" s="417" t="n">
        <f aca="false">m*g</f>
        <v>72.3781799999998</v>
      </c>
      <c r="U725" s="421" t="n">
        <f aca="false">IF(pos_xz&lt;L_rampe,Poids*COS(Beta),0)</f>
        <v>0</v>
      </c>
      <c r="V725" s="418" t="n">
        <f aca="false">Rho_moyen*(20000-Alt_rampe-pos_z)/(20000+Alt_rampe+pos_z)</f>
        <v>1.22304819676427</v>
      </c>
      <c r="W725" s="417" t="n">
        <f aca="false">1/2*Rho*Sref*Cx*vit_xz^2</f>
        <v>57.54844270857</v>
      </c>
      <c r="X725" s="401"/>
      <c r="Y725" s="422" t="str">
        <f aca="false">IF(AND(pos_z&lt;=0,K724&gt;0),"Impact balistique","") &amp; IF(AND(H726&lt;0,vit_z&gt;=0),"Apogée","") &amp; IF(AND(Poussee=0,Q724&gt;0),"Fin de propulsion","") &amp; IF(AND(L726&gt;L_rampe,pos_xz&lt;=L_rampe),"Sortie de rampe","")</f>
        <v/>
      </c>
      <c r="Z725" s="423" t="str">
        <f aca="false">IF(ABS(t-T_para)&lt;pas/2,"Para","")</f>
        <v/>
      </c>
      <c r="AA725" s="424" t="str">
        <f aca="false">IF(ABS(t-T_satellite)&lt;pas/2,"Satellite","")</f>
        <v/>
      </c>
      <c r="AB725" s="412"/>
      <c r="AC725" s="420" t="e">
        <f aca="false">IF(ABS(t-ROUND(t,0))&lt;0.001,t,NA())</f>
        <v>#N/A</v>
      </c>
      <c r="AD725" s="425" t="e">
        <f aca="false">IF(ABS(t-ROUND(t,0))&lt;0.001,pos_x,NA())</f>
        <v>#N/A</v>
      </c>
      <c r="AE725" s="426" t="e">
        <f aca="false">IF(t&lt;T_para, pos_z, NA())</f>
        <v>#N/A</v>
      </c>
      <c r="AF725" s="412"/>
      <c r="AG725" s="418" t="n">
        <f aca="false">IF(AND(L724&lt;L_rampe,Poussee&lt;Poids*SIN(M724)),0,(-W724+Poussee)/m-Poids*SIN(M724)/m)</f>
        <v>1.99252334005102</v>
      </c>
      <c r="AH725" s="417" t="n">
        <f aca="false">IF(AND(L724&lt;L_rampe,Poussee&lt;Poids*SIN(M724)), g*SIN(M724), (-W724+Poussee)/m)</f>
        <v>-7.7653397961363</v>
      </c>
    </row>
    <row r="726" customFormat="false" ht="12" hidden="false" customHeight="false" outlineLevel="0" collapsed="false">
      <c r="A726" s="416" t="n">
        <f aca="false">IF(B725+0.01&lt;=T_ini+ROUNDUP(Temps_fin_propu,0), 0.01, IF(K725&gt;0, 0.1, 0.0001))</f>
        <v>0.1</v>
      </c>
      <c r="B726" s="417" t="n">
        <f aca="false">B725+pas</f>
        <v>36.2000000000002</v>
      </c>
      <c r="C726" s="401"/>
      <c r="D726" s="418" t="n">
        <f aca="false">IF(AND(L725&lt;L_rampe,Poussee&lt;Poids*SIN(M725)),0,(-W725+Poussee)/m*COS(M725)-U725/m*SIN(M725))</f>
        <v>-0.796765539304903</v>
      </c>
      <c r="E726" s="419" t="n">
        <f aca="false">IF(AND(L725&lt;L_rampe,Poussee&lt;Poids*SIN(M725)),0,(-W725+Poussee)/m*SIN(M725)+U725/m*COS(M725)-Poids/m)</f>
        <v>-2.0507954674361</v>
      </c>
      <c r="F726" s="417" t="n">
        <f aca="false">SQRT(acc_x^2+acc_z^2)</f>
        <v>2.200135762602</v>
      </c>
      <c r="G726" s="418" t="n">
        <f aca="false">G725+acc_x*pas</f>
        <v>12.5564149828456</v>
      </c>
      <c r="H726" s="419" t="n">
        <f aca="false">H725+acc_z*pas</f>
        <v>-123.260123834403</v>
      </c>
      <c r="I726" s="417" t="n">
        <f aca="false">SQRT(vit_x^2+vit_z^2)</f>
        <v>123.898029382609</v>
      </c>
      <c r="J726" s="418" t="n">
        <f aca="false">J725+0.5*(vit_x+G725)*pas*(K725&gt;=0)</f>
        <v>912.362664541389</v>
      </c>
      <c r="K726" s="419" t="n">
        <f aca="false">K725+0.5*(vit_z+H725)*pas</f>
        <v>3.63003251672989</v>
      </c>
      <c r="L726" s="417" t="n">
        <f aca="false">SQRT(pos_x^2+pos_z^2)</f>
        <v>912.369885948203</v>
      </c>
      <c r="M726" s="418" t="n">
        <f aca="false">IF(AND(L725&gt;L_rampe,G726&gt;0),ATAN2(G726,H726),$M$4)</f>
        <v>-1.46927728744044</v>
      </c>
      <c r="N726" s="417" t="n">
        <f aca="false">DEGREES(Beta)</f>
        <v>-84.1833875047673</v>
      </c>
      <c r="O726" s="401"/>
      <c r="P726" s="420" t="n">
        <f aca="false">MATCH(t-pas/2-T_ini,CdP_t)</f>
        <v>23</v>
      </c>
      <c r="Q726" s="417" t="n">
        <f aca="false">(INDEX(CdP,2,i_P+1)-INDEX(CdP,2,i_P+0))/(INDEX(CdP,1,i_P+1)-INDEX(CdP,1,i_P+0))*(t-pas/2-T_ini-INDEX(CdP,1,i_P+0))+INDEX(CdP,2,i_P+0)</f>
        <v>0</v>
      </c>
      <c r="R726" s="418" t="n">
        <f aca="false">Poussee/(g*ISP)</f>
        <v>0</v>
      </c>
      <c r="S726" s="419" t="n">
        <f aca="false">S725-Débit*pas</f>
        <v>7.37799999999998</v>
      </c>
      <c r="T726" s="417" t="n">
        <f aca="false">m*g</f>
        <v>72.3781799999998</v>
      </c>
      <c r="U726" s="421" t="n">
        <f aca="false">IF(pos_xz&lt;L_rampe,Poids*COS(Beta),0)</f>
        <v>0</v>
      </c>
      <c r="V726" s="418" t="n">
        <f aca="false">Rho_moyen*(20000-Alt_rampe-pos_z)/(20000+Alt_rampe+pos_z)</f>
        <v>1.22455540171201</v>
      </c>
      <c r="W726" s="417" t="n">
        <f aca="false">1/2*Rho*Sref*Cx*vit_xz^2</f>
        <v>57.8020110098746</v>
      </c>
      <c r="X726" s="401"/>
      <c r="Y726" s="422" t="str">
        <f aca="false">IF(AND(pos_z&lt;=0,K725&gt;0),"Impact balistique","") &amp; IF(AND(H727&lt;0,vit_z&gt;=0),"Apogée","") &amp; IF(AND(Poussee=0,Q725&gt;0),"Fin de propulsion","") &amp; IF(AND(L727&gt;L_rampe,pos_xz&lt;=L_rampe),"Sortie de rampe","")</f>
        <v/>
      </c>
      <c r="Z726" s="423" t="str">
        <f aca="false">IF(ABS(t-T_para)&lt;pas/2,"Para","")</f>
        <v/>
      </c>
      <c r="AA726" s="424" t="str">
        <f aca="false">IF(ABS(t-T_satellite)&lt;pas/2,"Satellite","")</f>
        <v/>
      </c>
      <c r="AB726" s="412"/>
      <c r="AC726" s="420" t="e">
        <f aca="false">IF(ABS(t-ROUND(t,0))&lt;0.001,t,NA())</f>
        <v>#N/A</v>
      </c>
      <c r="AD726" s="425" t="e">
        <f aca="false">IF(ABS(t-ROUND(t,0))&lt;0.001,pos_x,NA())</f>
        <v>#N/A</v>
      </c>
      <c r="AE726" s="426" t="e">
        <f aca="false">IF(t&lt;T_para, pos_z, NA())</f>
        <v>#N/A</v>
      </c>
      <c r="AF726" s="412"/>
      <c r="AG726" s="418" t="n">
        <f aca="false">IF(AND(L725&lt;L_rampe,Poussee&lt;Poids*SIN(M725)),0,(-W725+Poussee)/m-Poids*SIN(M725)/m)</f>
        <v>1.95867882353659</v>
      </c>
      <c r="AH726" s="417" t="n">
        <f aca="false">IF(AND(L725&lt;L_rampe,Poussee&lt;Poids*SIN(M725)), g*SIN(M725), (-W725+Poussee)/m)</f>
        <v>-7.80000578863786</v>
      </c>
    </row>
    <row r="727" customFormat="false" ht="12" hidden="false" customHeight="false" outlineLevel="0" collapsed="false">
      <c r="A727" s="416" t="n">
        <f aca="false">IF(B726+0.01&lt;=T_ini+ROUNDUP(Temps_fin_propu,0), 0.01, IF(K726&gt;0, 0.1, 0.0001))</f>
        <v>0.1</v>
      </c>
      <c r="B727" s="417" t="n">
        <f aca="false">B726+pas</f>
        <v>36.3000000000002</v>
      </c>
      <c r="C727" s="401"/>
      <c r="D727" s="418" t="n">
        <f aca="false">IF(AND(L726&lt;L_rampe,Poussee&lt;Poids*SIN(M726)),0,(-W726+Poussee)/m*COS(M726)-U726/m*SIN(M726))</f>
        <v>-0.793972680184802</v>
      </c>
      <c r="E727" s="419" t="n">
        <f aca="false">IF(AND(L726&lt;L_rampe,Poussee&lt;Poids*SIN(M726)),0,(-W726+Poussee)/m*SIN(M726)+U726/m*COS(M726)-Poids/m)</f>
        <v>-2.015962369481</v>
      </c>
      <c r="F727" s="417" t="n">
        <f aca="false">SQRT(acc_x^2+acc_z^2)</f>
        <v>2.1666787699249</v>
      </c>
      <c r="G727" s="418" t="n">
        <f aca="false">G726+acc_x*pas</f>
        <v>12.4770177148272</v>
      </c>
      <c r="H727" s="419" t="n">
        <f aca="false">H726+acc_z*pas</f>
        <v>-123.461720071351</v>
      </c>
      <c r="I727" s="417" t="n">
        <f aca="false">SQRT(vit_x^2+vit_z^2)</f>
        <v>124.090581004494</v>
      </c>
      <c r="J727" s="418" t="n">
        <f aca="false">J726+0.5*(vit_x+G726)*pas*(K726&gt;=0)</f>
        <v>913.614336176273</v>
      </c>
      <c r="K727" s="419" t="n">
        <f aca="false">K726+0.5*(vit_z+H726)*pas</f>
        <v>-8.70605967855783</v>
      </c>
      <c r="L727" s="417" t="n">
        <f aca="false">SQRT(pos_x^2+pos_z^2)</f>
        <v>913.655816345487</v>
      </c>
      <c r="M727" s="418" t="n">
        <f aca="false">IF(AND(L726&gt;L_rampe,G727&gt;0),ATAN2(G727,H727),$M$4)</f>
        <v>-1.47007847001952</v>
      </c>
      <c r="N727" s="417" t="n">
        <f aca="false">DEGREES(Beta)</f>
        <v>-84.229291885168</v>
      </c>
      <c r="O727" s="401"/>
      <c r="P727" s="420" t="n">
        <f aca="false">MATCH(t-pas/2-T_ini,CdP_t)</f>
        <v>23</v>
      </c>
      <c r="Q727" s="417" t="n">
        <f aca="false">(INDEX(CdP,2,i_P+1)-INDEX(CdP,2,i_P+0))/(INDEX(CdP,1,i_P+1)-INDEX(CdP,1,i_P+0))*(t-pas/2-T_ini-INDEX(CdP,1,i_P+0))+INDEX(CdP,2,i_P+0)</f>
        <v>0</v>
      </c>
      <c r="R727" s="418" t="n">
        <f aca="false">Poussee/(g*ISP)</f>
        <v>0</v>
      </c>
      <c r="S727" s="419" t="n">
        <f aca="false">S726-Débit*pas</f>
        <v>7.37799999999998</v>
      </c>
      <c r="T727" s="417" t="n">
        <f aca="false">m*g</f>
        <v>72.3781799999998</v>
      </c>
      <c r="U727" s="421" t="n">
        <f aca="false">IF(pos_xz&lt;L_rampe,Poids*COS(Beta),0)</f>
        <v>0</v>
      </c>
      <c r="V727" s="418" t="n">
        <f aca="false">Rho_moyen*(20000-Alt_rampe-pos_z)/(20000+Alt_rampe+pos_z)</f>
        <v>1.22606695676009</v>
      </c>
      <c r="W727" s="417" t="n">
        <f aca="false">1/2*Rho*Sref*Cx*vit_xz^2</f>
        <v>58.0533834469562</v>
      </c>
      <c r="X727" s="401"/>
      <c r="Y727" s="422" t="str">
        <f aca="false">IF(AND(pos_z&lt;=0,K726&gt;0),"Impact balistique","") &amp; IF(AND(H728&lt;0,vit_z&gt;=0),"Apogée","") &amp; IF(AND(Poussee=0,Q726&gt;0),"Fin de propulsion","") &amp; IF(AND(L728&gt;L_rampe,pos_xz&lt;=L_rampe),"Sortie de rampe","")</f>
        <v>Impact balistique</v>
      </c>
      <c r="Z727" s="423" t="str">
        <f aca="false">IF(ABS(t-T_para)&lt;pas/2,"Para","")</f>
        <v/>
      </c>
      <c r="AA727" s="424" t="str">
        <f aca="false">IF(ABS(t-T_satellite)&lt;pas/2,"Satellite","")</f>
        <v/>
      </c>
      <c r="AB727" s="412"/>
      <c r="AC727" s="420" t="e">
        <f aca="false">IF(ABS(t-ROUND(t,0))&lt;0.001,t,NA())</f>
        <v>#N/A</v>
      </c>
      <c r="AD727" s="425" t="e">
        <f aca="false">IF(ABS(t-ROUND(t,0))&lt;0.001,pos_x,NA())</f>
        <v>#N/A</v>
      </c>
      <c r="AE727" s="426" t="e">
        <f aca="false">IF(t&lt;T_para, pos_z, NA())</f>
        <v>#N/A</v>
      </c>
      <c r="AF727" s="412"/>
      <c r="AG727" s="418" t="n">
        <f aca="false">IF(AND(L726&lt;L_rampe,Poussee&lt;Poids*SIN(M726)),0,(-W726+Poussee)/m-Poids*SIN(M726)/m)</f>
        <v>1.92511795416628</v>
      </c>
      <c r="AH727" s="417" t="n">
        <f aca="false">IF(AND(L726&lt;L_rampe,Poussee&lt;Poids*SIN(M726)), g*SIN(M726), (-W726+Poussee)/m)</f>
        <v>-7.83437395091823</v>
      </c>
    </row>
    <row r="728" customFormat="false" ht="12" hidden="false" customHeight="false" outlineLevel="0" collapsed="false">
      <c r="A728" s="416" t="n">
        <f aca="false">IF(B727+0.01&lt;=T_ini+ROUNDUP(Temps_fin_propu,0), 0.01, IF(K727&gt;0, 0.1, 0.0001))</f>
        <v>0.0001</v>
      </c>
      <c r="B728" s="417" t="n">
        <f aca="false">B727+pas</f>
        <v>36.3001000000002</v>
      </c>
      <c r="C728" s="401"/>
      <c r="D728" s="418" t="n">
        <f aca="false">IF(AND(L727&lt;L_rampe,Poussee&lt;Poids*SIN(M727)),0,(-W727+Poussee)/m*COS(M727)-U727/m*SIN(M727))</f>
        <v>-0.79115369188144</v>
      </c>
      <c r="E728" s="419" t="n">
        <f aca="false">IF(AND(L727&lt;L_rampe,Poussee&lt;Poids*SIN(M727)),0,(-W727+Poussee)/m*SIN(M727)+U727/m*COS(M727)-Poids/m)</f>
        <v>-1.98143087611336</v>
      </c>
      <c r="F728" s="417" t="n">
        <f aca="false">SQRT(acc_x^2+acc_z^2)</f>
        <v>2.13353989439921</v>
      </c>
      <c r="G728" s="418" t="n">
        <f aca="false">G727+acc_x*pas</f>
        <v>12.476938599458</v>
      </c>
      <c r="H728" s="419" t="n">
        <f aca="false">H727+acc_z*pas</f>
        <v>-123.461918214439</v>
      </c>
      <c r="I728" s="417" t="n">
        <f aca="false">SQRT(vit_x^2+vit_z^2)</f>
        <v>124.090770188614</v>
      </c>
      <c r="J728" s="418" t="n">
        <f aca="false">J727+0.5*(vit_x+G727)*pas*(K727&gt;=0)</f>
        <v>913.614336176273</v>
      </c>
      <c r="K728" s="419" t="n">
        <f aca="false">K727+0.5*(vit_z+H727)*pas</f>
        <v>-8.71840586047211</v>
      </c>
      <c r="L728" s="417" t="n">
        <f aca="false">SQRT(pos_x^2+pos_z^2)</f>
        <v>913.655934073413</v>
      </c>
      <c r="M728" s="418" t="n">
        <f aca="false">IF(AND(L727&gt;L_rampe,G728&gt;0),ATAN2(G728,H728),$M$4)</f>
        <v>-1.4700792648994</v>
      </c>
      <c r="N728" s="417" t="n">
        <f aca="false">DEGREES(Beta)</f>
        <v>-84.22933742843</v>
      </c>
      <c r="O728" s="401"/>
      <c r="P728" s="420" t="n">
        <f aca="false">MATCH(t-pas/2-T_ini,CdP_t)</f>
        <v>23</v>
      </c>
      <c r="Q728" s="417" t="n">
        <f aca="false">(INDEX(CdP,2,i_P+1)-INDEX(CdP,2,i_P+0))/(INDEX(CdP,1,i_P+1)-INDEX(CdP,1,i_P+0))*(t-pas/2-T_ini-INDEX(CdP,1,i_P+0))+INDEX(CdP,2,i_P+0)</f>
        <v>0</v>
      </c>
      <c r="R728" s="418" t="n">
        <f aca="false">Poussee/(g*ISP)</f>
        <v>0</v>
      </c>
      <c r="S728" s="419" t="n">
        <f aca="false">S727-Débit*pas</f>
        <v>7.37799999999998</v>
      </c>
      <c r="T728" s="417" t="n">
        <f aca="false">m*g</f>
        <v>72.3781799999998</v>
      </c>
      <c r="U728" s="421" t="n">
        <f aca="false">IF(pos_xz&lt;L_rampe,Poids*COS(Beta),0)</f>
        <v>0</v>
      </c>
      <c r="V728" s="418" t="n">
        <f aca="false">Rho_moyen*(20000-Alt_rampe-pos_z)/(20000+Alt_rampe+pos_z)</f>
        <v>1.22606847048588</v>
      </c>
      <c r="W728" s="417" t="n">
        <f aca="false">1/2*Rho*Sref*Cx*vit_xz^2</f>
        <v>58.05363213341</v>
      </c>
      <c r="X728" s="401"/>
      <c r="Y728" s="422" t="str">
        <f aca="false">IF(AND(pos_z&lt;=0,K727&gt;0),"Impact balistique","") &amp; IF(AND(H729&lt;0,vit_z&gt;=0),"Apogée","") &amp; IF(AND(Poussee=0,Q727&gt;0),"Fin de propulsion","") &amp; IF(AND(L729&gt;L_rampe,pos_xz&lt;=L_rampe),"Sortie de rampe","")</f>
        <v/>
      </c>
      <c r="Z728" s="423" t="str">
        <f aca="false">IF(ABS(t-T_para)&lt;pas/2,"Para","")</f>
        <v/>
      </c>
      <c r="AA728" s="424" t="str">
        <f aca="false">IF(ABS(t-T_satellite)&lt;pas/2,"Satellite","")</f>
        <v/>
      </c>
      <c r="AB728" s="412"/>
      <c r="AC728" s="420" t="e">
        <f aca="false">IF(ABS(t-ROUND(t,0))&lt;0.001,t,NA())</f>
        <v>#N/A</v>
      </c>
      <c r="AD728" s="425" t="e">
        <f aca="false">IF(ABS(t-ROUND(t,0))&lt;0.001,pos_x,NA())</f>
        <v>#N/A</v>
      </c>
      <c r="AE728" s="426" t="e">
        <f aca="false">IF(t&lt;T_para, pos_z, NA())</f>
        <v>#N/A</v>
      </c>
      <c r="AF728" s="412"/>
      <c r="AG728" s="418" t="n">
        <f aca="false">IF(AND(L727&lt;L_rampe,Poussee&lt;Poids*SIN(M727)),0,(-W727+Poussee)/m-Poids*SIN(M727)/m)</f>
        <v>1.89184081207729</v>
      </c>
      <c r="AH728" s="417" t="n">
        <f aca="false">IF(AND(L727&lt;L_rampe,Poussee&lt;Poids*SIN(M727)), g*SIN(M727), (-W727+Poussee)/m)</f>
        <v>-7.86844448996426</v>
      </c>
    </row>
    <row r="729" customFormat="false" ht="12" hidden="false" customHeight="false" outlineLevel="0" collapsed="false">
      <c r="A729" s="416" t="n">
        <f aca="false">IF(B728+0.01&lt;=T_ini+ROUNDUP(Temps_fin_propu,0), 0.01, IF(K728&gt;0, 0.1, 0.0001))</f>
        <v>0.0001</v>
      </c>
      <c r="B729" s="417" t="n">
        <f aca="false">B728+pas</f>
        <v>36.3002000000002</v>
      </c>
      <c r="C729" s="401"/>
      <c r="D729" s="418" t="n">
        <f aca="false">IF(AND(L728&lt;L_rampe,Poussee&lt;Poids*SIN(M728)),0,(-W728+Poussee)/m*COS(M728)-U728/m*SIN(M728))</f>
        <v>-0.791150858190836</v>
      </c>
      <c r="E729" s="419" t="n">
        <f aca="false">IF(AND(L728&lt;L_rampe,Poussee&lt;Poids*SIN(M728)),0,(-W728+Poussee)/m*SIN(M728)+U728/m*COS(M728)-Poids/m)</f>
        <v>-1.98139671157127</v>
      </c>
      <c r="F729" s="417" t="n">
        <f aca="false">SQRT(acc_x^2+acc_z^2)</f>
        <v>2.13350711483265</v>
      </c>
      <c r="G729" s="418" t="n">
        <f aca="false">G728+acc_x*pas</f>
        <v>12.4768594843721</v>
      </c>
      <c r="H729" s="419" t="n">
        <f aca="false">H728+acc_z*pas</f>
        <v>-123.46211635411</v>
      </c>
      <c r="I729" s="417" t="n">
        <f aca="false">SQRT(vit_x^2+vit_z^2)</f>
        <v>124.090959369442</v>
      </c>
      <c r="J729" s="418" t="n">
        <f aca="false">J728+0.5*(vit_x+G728)*pas*(K728&gt;=0)</f>
        <v>913.614336176273</v>
      </c>
      <c r="K729" s="419" t="n">
        <f aca="false">K728+0.5*(vit_z+H728)*pas</f>
        <v>-8.73075206220054</v>
      </c>
      <c r="L729" s="417" t="n">
        <f aca="false">SQRT(pos_x^2+pos_z^2)</f>
        <v>913.656051968345</v>
      </c>
      <c r="M729" s="418" t="n">
        <f aca="false">IF(AND(L728&gt;L_rampe,G729&gt;0),ATAN2(G729,H729),$M$4)</f>
        <v>-1.47008005977181</v>
      </c>
      <c r="N729" s="417" t="n">
        <f aca="false">DEGREES(Beta)</f>
        <v>-84.2293829712643</v>
      </c>
      <c r="O729" s="401"/>
      <c r="P729" s="420" t="n">
        <f aca="false">MATCH(t-pas/2-T_ini,CdP_t)</f>
        <v>23</v>
      </c>
      <c r="Q729" s="417" t="n">
        <f aca="false">(INDEX(CdP,2,i_P+1)-INDEX(CdP,2,i_P+0))/(INDEX(CdP,1,i_P+1)-INDEX(CdP,1,i_P+0))*(t-pas/2-T_ini-INDEX(CdP,1,i_P+0))+INDEX(CdP,2,i_P+0)</f>
        <v>0</v>
      </c>
      <c r="R729" s="418" t="n">
        <f aca="false">Poussee/(g*ISP)</f>
        <v>0</v>
      </c>
      <c r="S729" s="419" t="n">
        <f aca="false">S728-Débit*pas</f>
        <v>7.37799999999998</v>
      </c>
      <c r="T729" s="417" t="n">
        <f aca="false">m*g</f>
        <v>72.3781799999998</v>
      </c>
      <c r="U729" s="421" t="n">
        <f aca="false">IF(pos_xz&lt;L_rampe,Poids*COS(Beta),0)</f>
        <v>0</v>
      </c>
      <c r="V729" s="418" t="n">
        <f aca="false">Rho_moyen*(20000-Alt_rampe-pos_z)/(20000+Alt_rampe+pos_z)</f>
        <v>1.22606998421596</v>
      </c>
      <c r="W729" s="417" t="n">
        <f aca="false">1/2*Rho*Sref*Cx*vit_xz^2</f>
        <v>58.0538808176938</v>
      </c>
      <c r="X729" s="401"/>
      <c r="Y729" s="422" t="str">
        <f aca="false">IF(AND(pos_z&lt;=0,K728&gt;0),"Impact balistique","") &amp; IF(AND(H730&lt;0,vit_z&gt;=0),"Apogée","") &amp; IF(AND(Poussee=0,Q728&gt;0),"Fin de propulsion","") &amp; IF(AND(L730&gt;L_rampe,pos_xz&lt;=L_rampe),"Sortie de rampe","")</f>
        <v/>
      </c>
      <c r="Z729" s="423" t="str">
        <f aca="false">IF(ABS(t-T_para)&lt;pas/2,"Para","")</f>
        <v/>
      </c>
      <c r="AA729" s="424" t="str">
        <f aca="false">IF(ABS(t-T_satellite)&lt;pas/2,"Satellite","")</f>
        <v/>
      </c>
      <c r="AB729" s="412"/>
      <c r="AC729" s="420" t="e">
        <f aca="false">IF(ABS(t-ROUND(t,0))&lt;0.001,t,NA())</f>
        <v>#N/A</v>
      </c>
      <c r="AD729" s="425" t="e">
        <f aca="false">IF(ABS(t-ROUND(t,0))&lt;0.001,pos_x,NA())</f>
        <v>#N/A</v>
      </c>
      <c r="AE729" s="426" t="e">
        <f aca="false">IF(t&lt;T_para, pos_z, NA())</f>
        <v>#N/A</v>
      </c>
      <c r="AF729" s="412"/>
      <c r="AG729" s="418" t="n">
        <f aca="false">IF(AND(L728&lt;L_rampe,Poussee&lt;Poids*SIN(M728)),0,(-W728+Poussee)/m-Poids*SIN(M728)/m)</f>
        <v>1.89180788963589</v>
      </c>
      <c r="AH729" s="417" t="n">
        <f aca="false">IF(AND(L728&lt;L_rampe,Poussee&lt;Poids*SIN(M728)), g*SIN(M728), (-W728+Poussee)/m)</f>
        <v>-7.86847819645027</v>
      </c>
    </row>
    <row r="730" customFormat="false" ht="12" hidden="false" customHeight="false" outlineLevel="0" collapsed="false">
      <c r="A730" s="416" t="n">
        <f aca="false">IF(B729+0.01&lt;=T_ini+ROUNDUP(Temps_fin_propu,0), 0.01, IF(K729&gt;0, 0.1, 0.0001))</f>
        <v>0.0001</v>
      </c>
      <c r="B730" s="417" t="n">
        <f aca="false">B729+pas</f>
        <v>36.3003000000002</v>
      </c>
      <c r="C730" s="401"/>
      <c r="D730" s="418" t="n">
        <f aca="false">IF(AND(L729&lt;L_rampe,Poussee&lt;Poids*SIN(M729)),0,(-W729+Poussee)/m*COS(M729)-U729/m*SIN(M729))</f>
        <v>-0.791148024475278</v>
      </c>
      <c r="E730" s="419" t="n">
        <f aca="false">IF(AND(L729&lt;L_rampe,Poussee&lt;Poids*SIN(M729)),0,(-W729+Poussee)/m*SIN(M729)+U729/m*COS(M729)-Poids/m)</f>
        <v>-1.98136254732726</v>
      </c>
      <c r="F730" s="417" t="n">
        <f aca="false">SQRT(acc_x^2+acc_z^2)</f>
        <v>2.13347433558088</v>
      </c>
      <c r="G730" s="418" t="n">
        <f aca="false">G729+acc_x*pas</f>
        <v>12.4767803695697</v>
      </c>
      <c r="H730" s="419" t="n">
        <f aca="false">H729+acc_z*pas</f>
        <v>-123.462314490365</v>
      </c>
      <c r="I730" s="417" t="n">
        <f aca="false">SQRT(vit_x^2+vit_z^2)</f>
        <v>124.091148546978</v>
      </c>
      <c r="J730" s="418" t="n">
        <f aca="false">J729+0.5*(vit_x+G729)*pas*(K729&gt;=0)</f>
        <v>913.614336176273</v>
      </c>
      <c r="K730" s="419" t="n">
        <f aca="false">K729+0.5*(vit_z+H729)*pas</f>
        <v>-8.74309828374276</v>
      </c>
      <c r="L730" s="417" t="n">
        <f aca="false">SQRT(pos_x^2+pos_z^2)</f>
        <v>913.656170030286</v>
      </c>
      <c r="M730" s="418" t="n">
        <f aca="false">IF(AND(L729&gt;L_rampe,G730&gt;0),ATAN2(G730,H730),$M$4)</f>
        <v>-1.47008085463675</v>
      </c>
      <c r="N730" s="417" t="n">
        <f aca="false">DEGREES(Beta)</f>
        <v>-84.2294285136711</v>
      </c>
      <c r="O730" s="401"/>
      <c r="P730" s="420" t="n">
        <f aca="false">MATCH(t-pas/2-T_ini,CdP_t)</f>
        <v>23</v>
      </c>
      <c r="Q730" s="417" t="n">
        <f aca="false">(INDEX(CdP,2,i_P+1)-INDEX(CdP,2,i_P+0))/(INDEX(CdP,1,i_P+1)-INDEX(CdP,1,i_P+0))*(t-pas/2-T_ini-INDEX(CdP,1,i_P+0))+INDEX(CdP,2,i_P+0)</f>
        <v>0</v>
      </c>
      <c r="R730" s="418" t="n">
        <f aca="false">Poussee/(g*ISP)</f>
        <v>0</v>
      </c>
      <c r="S730" s="419" t="n">
        <f aca="false">S729-Débit*pas</f>
        <v>7.37799999999998</v>
      </c>
      <c r="T730" s="417" t="n">
        <f aca="false">m*g</f>
        <v>72.3781799999998</v>
      </c>
      <c r="U730" s="421" t="n">
        <f aca="false">IF(pos_xz&lt;L_rampe,Poids*COS(Beta),0)</f>
        <v>0</v>
      </c>
      <c r="V730" s="418" t="n">
        <f aca="false">Rho_moyen*(20000-Alt_rampe-pos_z)/(20000+Alt_rampe+pos_z)</f>
        <v>1.22607149795035</v>
      </c>
      <c r="W730" s="417" t="n">
        <f aca="false">1/2*Rho*Sref*Cx*vit_xz^2</f>
        <v>58.0541294998078</v>
      </c>
      <c r="X730" s="401"/>
      <c r="Y730" s="422" t="str">
        <f aca="false">IF(AND(pos_z&lt;=0,K729&gt;0),"Impact balistique","") &amp; IF(AND(H731&lt;0,vit_z&gt;=0),"Apogée","") &amp; IF(AND(Poussee=0,Q729&gt;0),"Fin de propulsion","") &amp; IF(AND(L731&gt;L_rampe,pos_xz&lt;=L_rampe),"Sortie de rampe","")</f>
        <v/>
      </c>
      <c r="Z730" s="423" t="str">
        <f aca="false">IF(ABS(t-T_para)&lt;pas/2,"Para","")</f>
        <v/>
      </c>
      <c r="AA730" s="424" t="str">
        <f aca="false">IF(ABS(t-T_satellite)&lt;pas/2,"Satellite","")</f>
        <v/>
      </c>
      <c r="AB730" s="412"/>
      <c r="AC730" s="420" t="e">
        <f aca="false">IF(ABS(t-ROUND(t,0))&lt;0.001,t,NA())</f>
        <v>#N/A</v>
      </c>
      <c r="AD730" s="425" t="e">
        <f aca="false">IF(ABS(t-ROUND(t,0))&lt;0.001,pos_x,NA())</f>
        <v>#N/A</v>
      </c>
      <c r="AE730" s="426" t="e">
        <f aca="false">IF(t&lt;T_para, pos_z, NA())</f>
        <v>#N/A</v>
      </c>
      <c r="AF730" s="412"/>
      <c r="AG730" s="418" t="n">
        <f aca="false">IF(AND(L729&lt;L_rampe,Poussee&lt;Poids*SIN(M729)),0,(-W729+Poussee)/m-Poids*SIN(M729)/m)</f>
        <v>1.89177496747507</v>
      </c>
      <c r="AH730" s="417" t="n">
        <f aca="false">IF(AND(L729&lt;L_rampe,Poussee&lt;Poids*SIN(M729)), g*SIN(M729), (-W729+Poussee)/m)</f>
        <v>-7.86851190264217</v>
      </c>
    </row>
    <row r="731" customFormat="false" ht="12" hidden="false" customHeight="false" outlineLevel="0" collapsed="false">
      <c r="A731" s="416" t="n">
        <f aca="false">IF(B730+0.01&lt;=T_ini+ROUNDUP(Temps_fin_propu,0), 0.01, IF(K730&gt;0, 0.1, 0.0001))</f>
        <v>0.0001</v>
      </c>
      <c r="B731" s="417" t="n">
        <f aca="false">B730+pas</f>
        <v>36.3004000000002</v>
      </c>
      <c r="C731" s="401"/>
      <c r="D731" s="418" t="n">
        <f aca="false">IF(AND(L730&lt;L_rampe,Poussee&lt;Poids*SIN(M730)),0,(-W730+Poussee)/m*COS(M730)-U730/m*SIN(M730))</f>
        <v>-0.791145190734766</v>
      </c>
      <c r="E731" s="419" t="n">
        <f aca="false">IF(AND(L730&lt;L_rampe,Poussee&lt;Poids*SIN(M730)),0,(-W730+Poussee)/m*SIN(M730)+U730/m*COS(M730)-Poids/m)</f>
        <v>-1.98132838338133</v>
      </c>
      <c r="F731" s="417" t="n">
        <f aca="false">SQRT(acc_x^2+acc_z^2)</f>
        <v>2.13344155664391</v>
      </c>
      <c r="G731" s="418" t="n">
        <f aca="false">G730+acc_x*pas</f>
        <v>12.4767012550506</v>
      </c>
      <c r="H731" s="419" t="n">
        <f aca="false">H730+acc_z*pas</f>
        <v>-123.462512623203</v>
      </c>
      <c r="I731" s="417" t="n">
        <f aca="false">SQRT(vit_x^2+vit_z^2)</f>
        <v>124.091337721222</v>
      </c>
      <c r="J731" s="418" t="n">
        <f aca="false">J730+0.5*(vit_x+G730)*pas*(K730&gt;=0)</f>
        <v>913.614336176273</v>
      </c>
      <c r="K731" s="419" t="n">
        <f aca="false">K730+0.5*(vit_z+H730)*pas</f>
        <v>-8.75544452509844</v>
      </c>
      <c r="L731" s="417" t="n">
        <f aca="false">SQRT(pos_x^2+pos_z^2)</f>
        <v>913.656288259236</v>
      </c>
      <c r="M731" s="418" t="n">
        <f aca="false">IF(AND(L730&gt;L_rampe,G731&gt;0),ATAN2(G731,H731),$M$4)</f>
        <v>-1.47008164949424</v>
      </c>
      <c r="N731" s="417" t="n">
        <f aca="false">DEGREES(Beta)</f>
        <v>-84.2294740556501</v>
      </c>
      <c r="O731" s="401"/>
      <c r="P731" s="420" t="n">
        <f aca="false">MATCH(t-pas/2-T_ini,CdP_t)</f>
        <v>23</v>
      </c>
      <c r="Q731" s="417" t="n">
        <f aca="false">(INDEX(CdP,2,i_P+1)-INDEX(CdP,2,i_P+0))/(INDEX(CdP,1,i_P+1)-INDEX(CdP,1,i_P+0))*(t-pas/2-T_ini-INDEX(CdP,1,i_P+0))+INDEX(CdP,2,i_P+0)</f>
        <v>0</v>
      </c>
      <c r="R731" s="418" t="n">
        <f aca="false">Poussee/(g*ISP)</f>
        <v>0</v>
      </c>
      <c r="S731" s="419" t="n">
        <f aca="false">S730-Débit*pas</f>
        <v>7.37799999999998</v>
      </c>
      <c r="T731" s="417" t="n">
        <f aca="false">m*g</f>
        <v>72.3781799999998</v>
      </c>
      <c r="U731" s="421" t="n">
        <f aca="false">IF(pos_xz&lt;L_rampe,Poids*COS(Beta),0)</f>
        <v>0</v>
      </c>
      <c r="V731" s="418" t="n">
        <f aca="false">Rho_moyen*(20000-Alt_rampe-pos_z)/(20000+Alt_rampe+pos_z)</f>
        <v>1.22607301168904</v>
      </c>
      <c r="W731" s="417" t="n">
        <f aca="false">1/2*Rho*Sref*Cx*vit_xz^2</f>
        <v>58.0543781797517</v>
      </c>
      <c r="X731" s="401"/>
      <c r="Y731" s="422" t="str">
        <f aca="false">IF(AND(pos_z&lt;=0,K730&gt;0),"Impact balistique","") &amp; IF(AND(H732&lt;0,vit_z&gt;=0),"Apogée","") &amp; IF(AND(Poussee=0,Q730&gt;0),"Fin de propulsion","") &amp; IF(AND(L732&gt;L_rampe,pos_xz&lt;=L_rampe),"Sortie de rampe","")</f>
        <v/>
      </c>
      <c r="Z731" s="423" t="str">
        <f aca="false">IF(ABS(t-T_para)&lt;pas/2,"Para","")</f>
        <v/>
      </c>
      <c r="AA731" s="424" t="str">
        <f aca="false">IF(ABS(t-T_satellite)&lt;pas/2,"Satellite","")</f>
        <v/>
      </c>
      <c r="AB731" s="412"/>
      <c r="AC731" s="420" t="e">
        <f aca="false">IF(ABS(t-ROUND(t,0))&lt;0.001,t,NA())</f>
        <v>#N/A</v>
      </c>
      <c r="AD731" s="425" t="e">
        <f aca="false">IF(ABS(t-ROUND(t,0))&lt;0.001,pos_x,NA())</f>
        <v>#N/A</v>
      </c>
      <c r="AE731" s="426" t="e">
        <f aca="false">IF(t&lt;T_para, pos_z, NA())</f>
        <v>#N/A</v>
      </c>
      <c r="AF731" s="412"/>
      <c r="AG731" s="418" t="n">
        <f aca="false">IF(AND(L730&lt;L_rampe,Poussee&lt;Poids*SIN(M730)),0,(-W730+Poussee)/m-Poids*SIN(M730)/m)</f>
        <v>1.89174204559483</v>
      </c>
      <c r="AH731" s="417" t="n">
        <f aca="false">IF(AND(L730&lt;L_rampe,Poussee&lt;Poids*SIN(M730)), g*SIN(M730), (-W730+Poussee)/m)</f>
        <v>-7.86854560853997</v>
      </c>
    </row>
    <row r="732" customFormat="false" ht="12" hidden="false" customHeight="false" outlineLevel="0" collapsed="false">
      <c r="A732" s="416" t="n">
        <f aca="false">IF(B731+0.01&lt;=T_ini+ROUNDUP(Temps_fin_propu,0), 0.01, IF(K731&gt;0, 0.1, 0.0001))</f>
        <v>0.0001</v>
      </c>
      <c r="B732" s="417" t="n">
        <f aca="false">B731+pas</f>
        <v>36.3005000000002</v>
      </c>
      <c r="C732" s="401"/>
      <c r="D732" s="418" t="n">
        <f aca="false">IF(AND(L731&lt;L_rampe,Poussee&lt;Poids*SIN(M731)),0,(-W731+Poussee)/m*COS(M731)-U731/m*SIN(M731))</f>
        <v>-0.791142356969305</v>
      </c>
      <c r="E732" s="419" t="n">
        <f aca="false">IF(AND(L731&lt;L_rampe,Poussee&lt;Poids*SIN(M731)),0,(-W731+Poussee)/m*SIN(M731)+U731/m*COS(M731)-Poids/m)</f>
        <v>-1.98129421973348</v>
      </c>
      <c r="F732" s="417" t="n">
        <f aca="false">SQRT(acc_x^2+acc_z^2)</f>
        <v>2.13340877802175</v>
      </c>
      <c r="G732" s="418" t="n">
        <f aca="false">G731+acc_x*pas</f>
        <v>12.4766221408149</v>
      </c>
      <c r="H732" s="419" t="n">
        <f aca="false">H731+acc_z*pas</f>
        <v>-123.462710752625</v>
      </c>
      <c r="I732" s="417" t="n">
        <f aca="false">SQRT(vit_x^2+vit_z^2)</f>
        <v>124.091526892174</v>
      </c>
      <c r="J732" s="418" t="n">
        <f aca="false">J731+0.5*(vit_x+G731)*pas*(K731&gt;=0)</f>
        <v>913.614336176273</v>
      </c>
      <c r="K732" s="419" t="n">
        <f aca="false">K731+0.5*(vit_z+H731)*pas</f>
        <v>-8.76779078626723</v>
      </c>
      <c r="L732" s="417" t="n">
        <f aca="false">SQRT(pos_x^2+pos_z^2)</f>
        <v>913.656406655196</v>
      </c>
      <c r="M732" s="418" t="n">
        <f aca="false">IF(AND(L731&gt;L_rampe,G732&gt;0),ATAN2(G732,H732),$M$4)</f>
        <v>-1.47008244434426</v>
      </c>
      <c r="N732" s="417" t="n">
        <f aca="false">DEGREES(Beta)</f>
        <v>-84.2295195972016</v>
      </c>
      <c r="O732" s="401"/>
      <c r="P732" s="420" t="n">
        <f aca="false">MATCH(t-pas/2-T_ini,CdP_t)</f>
        <v>23</v>
      </c>
      <c r="Q732" s="417" t="n">
        <f aca="false">(INDEX(CdP,2,i_P+1)-INDEX(CdP,2,i_P+0))/(INDEX(CdP,1,i_P+1)-INDEX(CdP,1,i_P+0))*(t-pas/2-T_ini-INDEX(CdP,1,i_P+0))+INDEX(CdP,2,i_P+0)</f>
        <v>0</v>
      </c>
      <c r="R732" s="418" t="n">
        <f aca="false">Poussee/(g*ISP)</f>
        <v>0</v>
      </c>
      <c r="S732" s="419" t="n">
        <f aca="false">S731-Débit*pas</f>
        <v>7.37799999999998</v>
      </c>
      <c r="T732" s="417" t="n">
        <f aca="false">m*g</f>
        <v>72.3781799999998</v>
      </c>
      <c r="U732" s="421" t="n">
        <f aca="false">IF(pos_xz&lt;L_rampe,Poids*COS(Beta),0)</f>
        <v>0</v>
      </c>
      <c r="V732" s="418" t="n">
        <f aca="false">Rho_moyen*(20000-Alt_rampe-pos_z)/(20000+Alt_rampe+pos_z)</f>
        <v>1.22607452543203</v>
      </c>
      <c r="W732" s="417" t="n">
        <f aca="false">1/2*Rho*Sref*Cx*vit_xz^2</f>
        <v>58.0546268575258</v>
      </c>
      <c r="X732" s="401"/>
      <c r="Y732" s="422" t="str">
        <f aca="false">IF(AND(pos_z&lt;=0,K731&gt;0),"Impact balistique","") &amp; IF(AND(H733&lt;0,vit_z&gt;=0),"Apogée","") &amp; IF(AND(Poussee=0,Q731&gt;0),"Fin de propulsion","") &amp; IF(AND(L733&gt;L_rampe,pos_xz&lt;=L_rampe),"Sortie de rampe","")</f>
        <v/>
      </c>
      <c r="Z732" s="423" t="str">
        <f aca="false">IF(ABS(t-T_para)&lt;pas/2,"Para","")</f>
        <v/>
      </c>
      <c r="AA732" s="424" t="str">
        <f aca="false">IF(ABS(t-T_satellite)&lt;pas/2,"Satellite","")</f>
        <v/>
      </c>
      <c r="AB732" s="412"/>
      <c r="AC732" s="420" t="e">
        <f aca="false">IF(ABS(t-ROUND(t,0))&lt;0.001,t,NA())</f>
        <v>#N/A</v>
      </c>
      <c r="AD732" s="425" t="e">
        <f aca="false">IF(ABS(t-ROUND(t,0))&lt;0.001,pos_x,NA())</f>
        <v>#N/A</v>
      </c>
      <c r="AE732" s="426" t="e">
        <f aca="false">IF(t&lt;T_para, pos_z, NA())</f>
        <v>#N/A</v>
      </c>
      <c r="AF732" s="412"/>
      <c r="AG732" s="418" t="n">
        <f aca="false">IF(AND(L731&lt;L_rampe,Poussee&lt;Poids*SIN(M731)),0,(-W731+Poussee)/m-Poids*SIN(M731)/m)</f>
        <v>1.89170912399517</v>
      </c>
      <c r="AH732" s="417" t="n">
        <f aca="false">IF(AND(L731&lt;L_rampe,Poussee&lt;Poids*SIN(M731)), g*SIN(M731), (-W731+Poussee)/m)</f>
        <v>-7.86857931414365</v>
      </c>
    </row>
    <row r="733" customFormat="false" ht="12" hidden="false" customHeight="false" outlineLevel="0" collapsed="false">
      <c r="A733" s="416" t="n">
        <f aca="false">IF(B732+0.01&lt;=T_ini+ROUNDUP(Temps_fin_propu,0), 0.01, IF(K732&gt;0, 0.1, 0.0001))</f>
        <v>0.0001</v>
      </c>
      <c r="B733" s="417" t="n">
        <f aca="false">B732+pas</f>
        <v>36.3006000000002</v>
      </c>
      <c r="C733" s="401"/>
      <c r="D733" s="418" t="n">
        <f aca="false">IF(AND(L732&lt;L_rampe,Poussee&lt;Poids*SIN(M732)),0,(-W732+Poussee)/m*COS(M732)-U732/m*SIN(M732))</f>
        <v>-0.791139523178892</v>
      </c>
      <c r="E733" s="419" t="n">
        <f aca="false">IF(AND(L732&lt;L_rampe,Poussee&lt;Poids*SIN(M732)),0,(-W732+Poussee)/m*SIN(M732)+U732/m*COS(M732)-Poids/m)</f>
        <v>-1.98126005638372</v>
      </c>
      <c r="F733" s="417" t="n">
        <f aca="false">SQRT(acc_x^2+acc_z^2)</f>
        <v>2.13337599971438</v>
      </c>
      <c r="G733" s="418" t="n">
        <f aca="false">G732+acc_x*pas</f>
        <v>12.4765430268626</v>
      </c>
      <c r="H733" s="419" t="n">
        <f aca="false">H732+acc_z*pas</f>
        <v>-123.462908878631</v>
      </c>
      <c r="I733" s="417" t="n">
        <f aca="false">SQRT(vit_x^2+vit_z^2)</f>
        <v>124.091716059833</v>
      </c>
      <c r="J733" s="418" t="n">
        <f aca="false">J732+0.5*(vit_x+G732)*pas*(K732&gt;=0)</f>
        <v>913.614336176273</v>
      </c>
      <c r="K733" s="419" t="n">
        <f aca="false">K732+0.5*(vit_z+H732)*pas</f>
        <v>-8.7801370672488</v>
      </c>
      <c r="L733" s="417" t="n">
        <f aca="false">SQRT(pos_x^2+pos_z^2)</f>
        <v>913.656525218165</v>
      </c>
      <c r="M733" s="418" t="n">
        <f aca="false">IF(AND(L732&gt;L_rampe,G733&gt;0),ATAN2(G733,H733),$M$4)</f>
        <v>-1.47008323918681</v>
      </c>
      <c r="N733" s="417" t="n">
        <f aca="false">DEGREES(Beta)</f>
        <v>-84.2295651383254</v>
      </c>
      <c r="O733" s="401"/>
      <c r="P733" s="420" t="n">
        <f aca="false">MATCH(t-pas/2-T_ini,CdP_t)</f>
        <v>23</v>
      </c>
      <c r="Q733" s="417" t="n">
        <f aca="false">(INDEX(CdP,2,i_P+1)-INDEX(CdP,2,i_P+0))/(INDEX(CdP,1,i_P+1)-INDEX(CdP,1,i_P+0))*(t-pas/2-T_ini-INDEX(CdP,1,i_P+0))+INDEX(CdP,2,i_P+0)</f>
        <v>0</v>
      </c>
      <c r="R733" s="418" t="n">
        <f aca="false">Poussee/(g*ISP)</f>
        <v>0</v>
      </c>
      <c r="S733" s="419" t="n">
        <f aca="false">S732-Débit*pas</f>
        <v>7.37799999999998</v>
      </c>
      <c r="T733" s="417" t="n">
        <f aca="false">m*g</f>
        <v>72.3781799999998</v>
      </c>
      <c r="U733" s="421" t="n">
        <f aca="false">IF(pos_xz&lt;L_rampe,Poids*COS(Beta),0)</f>
        <v>0</v>
      </c>
      <c r="V733" s="418" t="n">
        <f aca="false">Rho_moyen*(20000-Alt_rampe-pos_z)/(20000+Alt_rampe+pos_z)</f>
        <v>1.22607603917931</v>
      </c>
      <c r="W733" s="417" t="n">
        <f aca="false">1/2*Rho*Sref*Cx*vit_xz^2</f>
        <v>58.0548755331299</v>
      </c>
      <c r="X733" s="401"/>
      <c r="Y733" s="422" t="str">
        <f aca="false">IF(AND(pos_z&lt;=0,K732&gt;0),"Impact balistique","") &amp; IF(AND(H734&lt;0,vit_z&gt;=0),"Apogée","") &amp; IF(AND(Poussee=0,Q732&gt;0),"Fin de propulsion","") &amp; IF(AND(L734&gt;L_rampe,pos_xz&lt;=L_rampe),"Sortie de rampe","")</f>
        <v/>
      </c>
      <c r="Z733" s="423" t="str">
        <f aca="false">IF(ABS(t-T_para)&lt;pas/2,"Para","")</f>
        <v/>
      </c>
      <c r="AA733" s="424" t="str">
        <f aca="false">IF(ABS(t-T_satellite)&lt;pas/2,"Satellite","")</f>
        <v/>
      </c>
      <c r="AB733" s="412"/>
      <c r="AC733" s="420" t="e">
        <f aca="false">IF(ABS(t-ROUND(t,0))&lt;0.001,t,NA())</f>
        <v>#N/A</v>
      </c>
      <c r="AD733" s="425" t="e">
        <f aca="false">IF(ABS(t-ROUND(t,0))&lt;0.001,pos_x,NA())</f>
        <v>#N/A</v>
      </c>
      <c r="AE733" s="426" t="e">
        <f aca="false">IF(t&lt;T_para, pos_z, NA())</f>
        <v>#N/A</v>
      </c>
      <c r="AF733" s="412"/>
      <c r="AG733" s="418" t="n">
        <f aca="false">IF(AND(L732&lt;L_rampe,Poussee&lt;Poids*SIN(M732)),0,(-W732+Poussee)/m-Poids*SIN(M732)/m)</f>
        <v>1.89167620267609</v>
      </c>
      <c r="AH733" s="417" t="n">
        <f aca="false">IF(AND(L732&lt;L_rampe,Poussee&lt;Poids*SIN(M732)), g*SIN(M732), (-W732+Poussee)/m)</f>
        <v>-7.86861301945323</v>
      </c>
    </row>
    <row r="734" customFormat="false" ht="12" hidden="false" customHeight="false" outlineLevel="0" collapsed="false">
      <c r="A734" s="416" t="n">
        <f aca="false">IF(B733+0.01&lt;=T_ini+ROUNDUP(Temps_fin_propu,0), 0.01, IF(K733&gt;0, 0.1, 0.0001))</f>
        <v>0.0001</v>
      </c>
      <c r="B734" s="417" t="n">
        <f aca="false">B733+pas</f>
        <v>36.3007000000002</v>
      </c>
      <c r="C734" s="401"/>
      <c r="D734" s="418" t="n">
        <f aca="false">IF(AND(L733&lt;L_rampe,Poussee&lt;Poids*SIN(M733)),0,(-W733+Poussee)/m*COS(M733)-U733/m*SIN(M733))</f>
        <v>-0.791136689363528</v>
      </c>
      <c r="E734" s="419" t="n">
        <f aca="false">IF(AND(L733&lt;L_rampe,Poussee&lt;Poids*SIN(M733)),0,(-W733+Poussee)/m*SIN(M733)+U733/m*COS(M733)-Poids/m)</f>
        <v>-1.98122589333203</v>
      </c>
      <c r="F734" s="417" t="n">
        <f aca="false">SQRT(acc_x^2+acc_z^2)</f>
        <v>2.13334322172181</v>
      </c>
      <c r="G734" s="418" t="n">
        <f aca="false">G733+acc_x*pas</f>
        <v>12.4764639131937</v>
      </c>
      <c r="H734" s="419" t="n">
        <f aca="false">H733+acc_z*pas</f>
        <v>-123.46310700122</v>
      </c>
      <c r="I734" s="417" t="n">
        <f aca="false">SQRT(vit_x^2+vit_z^2)</f>
        <v>124.0919052242</v>
      </c>
      <c r="J734" s="418" t="n">
        <f aca="false">J733+0.5*(vit_x+G733)*pas*(K733&gt;=0)</f>
        <v>913.614336176273</v>
      </c>
      <c r="K734" s="419" t="n">
        <f aca="false">K733+0.5*(vit_z+H733)*pas</f>
        <v>-8.79248336804279</v>
      </c>
      <c r="L734" s="417" t="n">
        <f aca="false">SQRT(pos_x^2+pos_z^2)</f>
        <v>913.656643948146</v>
      </c>
      <c r="M734" s="418" t="n">
        <f aca="false">IF(AND(L733&gt;L_rampe,G734&gt;0),ATAN2(G734,H734),$M$4)</f>
        <v>-1.4700840340219</v>
      </c>
      <c r="N734" s="417" t="n">
        <f aca="false">DEGREES(Beta)</f>
        <v>-84.2296106790216</v>
      </c>
      <c r="O734" s="401"/>
      <c r="P734" s="420" t="n">
        <f aca="false">MATCH(t-pas/2-T_ini,CdP_t)</f>
        <v>23</v>
      </c>
      <c r="Q734" s="417" t="n">
        <f aca="false">(INDEX(CdP,2,i_P+1)-INDEX(CdP,2,i_P+0))/(INDEX(CdP,1,i_P+1)-INDEX(CdP,1,i_P+0))*(t-pas/2-T_ini-INDEX(CdP,1,i_P+0))+INDEX(CdP,2,i_P+0)</f>
        <v>0</v>
      </c>
      <c r="R734" s="418" t="n">
        <f aca="false">Poussee/(g*ISP)</f>
        <v>0</v>
      </c>
      <c r="S734" s="419" t="n">
        <f aca="false">S733-Débit*pas</f>
        <v>7.37799999999998</v>
      </c>
      <c r="T734" s="417" t="n">
        <f aca="false">m*g</f>
        <v>72.3781799999998</v>
      </c>
      <c r="U734" s="421" t="n">
        <f aca="false">IF(pos_xz&lt;L_rampe,Poids*COS(Beta),0)</f>
        <v>0</v>
      </c>
      <c r="V734" s="418" t="n">
        <f aca="false">Rho_moyen*(20000-Alt_rampe-pos_z)/(20000+Alt_rampe+pos_z)</f>
        <v>1.2260775529309</v>
      </c>
      <c r="W734" s="417" t="n">
        <f aca="false">1/2*Rho*Sref*Cx*vit_xz^2</f>
        <v>58.0551242065642</v>
      </c>
      <c r="X734" s="401"/>
      <c r="Y734" s="422" t="str">
        <f aca="false">IF(AND(pos_z&lt;=0,K733&gt;0),"Impact balistique","") &amp; IF(AND(H735&lt;0,vit_z&gt;=0),"Apogée","") &amp; IF(AND(Poussee=0,Q733&gt;0),"Fin de propulsion","") &amp; IF(AND(L735&gt;L_rampe,pos_xz&lt;=L_rampe),"Sortie de rampe","")</f>
        <v/>
      </c>
      <c r="Z734" s="423" t="str">
        <f aca="false">IF(ABS(t-T_para)&lt;pas/2,"Para","")</f>
        <v/>
      </c>
      <c r="AA734" s="424" t="str">
        <f aca="false">IF(ABS(t-T_satellite)&lt;pas/2,"Satellite","")</f>
        <v/>
      </c>
      <c r="AB734" s="412"/>
      <c r="AC734" s="420" t="e">
        <f aca="false">IF(ABS(t-ROUND(t,0))&lt;0.001,t,NA())</f>
        <v>#N/A</v>
      </c>
      <c r="AD734" s="425" t="e">
        <f aca="false">IF(ABS(t-ROUND(t,0))&lt;0.001,pos_x,NA())</f>
        <v>#N/A</v>
      </c>
      <c r="AE734" s="426" t="e">
        <f aca="false">IF(t&lt;T_para, pos_z, NA())</f>
        <v>#N/A</v>
      </c>
      <c r="AF734" s="412"/>
      <c r="AG734" s="418" t="n">
        <f aca="false">IF(AND(L733&lt;L_rampe,Poussee&lt;Poids*SIN(M733)),0,(-W733+Poussee)/m-Poids*SIN(M733)/m)</f>
        <v>1.89164328163759</v>
      </c>
      <c r="AH734" s="417" t="n">
        <f aca="false">IF(AND(L733&lt;L_rampe,Poussee&lt;Poids*SIN(M733)), g*SIN(M733), (-W733+Poussee)/m)</f>
        <v>-7.8686467244687</v>
      </c>
    </row>
    <row r="735" customFormat="false" ht="12" hidden="false" customHeight="false" outlineLevel="0" collapsed="false">
      <c r="A735" s="416" t="n">
        <f aca="false">IF(B734+0.01&lt;=T_ini+ROUNDUP(Temps_fin_propu,0), 0.01, IF(K734&gt;0, 0.1, 0.0001))</f>
        <v>0.0001</v>
      </c>
      <c r="B735" s="417" t="n">
        <f aca="false">B734+pas</f>
        <v>36.3008000000002</v>
      </c>
      <c r="C735" s="401"/>
      <c r="D735" s="418" t="n">
        <f aca="false">IF(AND(L734&lt;L_rampe,Poussee&lt;Poids*SIN(M734)),0,(-W734+Poussee)/m*COS(M734)-U734/m*SIN(M734))</f>
        <v>-0.791133855523216</v>
      </c>
      <c r="E735" s="419" t="n">
        <f aca="false">IF(AND(L734&lt;L_rampe,Poussee&lt;Poids*SIN(M734)),0,(-W734+Poussee)/m*SIN(M734)+U734/m*COS(M734)-Poids/m)</f>
        <v>-1.98119173057842</v>
      </c>
      <c r="F735" s="417" t="n">
        <f aca="false">SQRT(acc_x^2+acc_z^2)</f>
        <v>2.13331044404403</v>
      </c>
      <c r="G735" s="418" t="n">
        <f aca="false">G734+acc_x*pas</f>
        <v>12.4763847998081</v>
      </c>
      <c r="H735" s="419" t="n">
        <f aca="false">H734+acc_z*pas</f>
        <v>-123.463305120393</v>
      </c>
      <c r="I735" s="417" t="n">
        <f aca="false">SQRT(vit_x^2+vit_z^2)</f>
        <v>124.092094385276</v>
      </c>
      <c r="J735" s="418" t="n">
        <f aca="false">J734+0.5*(vit_x+G734)*pas*(K734&gt;=0)</f>
        <v>913.614336176273</v>
      </c>
      <c r="K735" s="419" t="n">
        <f aca="false">K734+0.5*(vit_z+H734)*pas</f>
        <v>-8.80482968864887</v>
      </c>
      <c r="L735" s="417" t="n">
        <f aca="false">SQRT(pos_x^2+pos_z^2)</f>
        <v>913.656762845139</v>
      </c>
      <c r="M735" s="418" t="n">
        <f aca="false">IF(AND(L734&gt;L_rampe,G735&gt;0),ATAN2(G735,H735),$M$4)</f>
        <v>-1.47008482884953</v>
      </c>
      <c r="N735" s="417" t="n">
        <f aca="false">DEGREES(Beta)</f>
        <v>-84.2296562192901</v>
      </c>
      <c r="O735" s="401"/>
      <c r="P735" s="420" t="n">
        <f aca="false">MATCH(t-pas/2-T_ini,CdP_t)</f>
        <v>23</v>
      </c>
      <c r="Q735" s="417" t="n">
        <f aca="false">(INDEX(CdP,2,i_P+1)-INDEX(CdP,2,i_P+0))/(INDEX(CdP,1,i_P+1)-INDEX(CdP,1,i_P+0))*(t-pas/2-T_ini-INDEX(CdP,1,i_P+0))+INDEX(CdP,2,i_P+0)</f>
        <v>0</v>
      </c>
      <c r="R735" s="418" t="n">
        <f aca="false">Poussee/(g*ISP)</f>
        <v>0</v>
      </c>
      <c r="S735" s="419" t="n">
        <f aca="false">S734-Débit*pas</f>
        <v>7.37799999999998</v>
      </c>
      <c r="T735" s="417" t="n">
        <f aca="false">m*g</f>
        <v>72.3781799999998</v>
      </c>
      <c r="U735" s="421" t="n">
        <f aca="false">IF(pos_xz&lt;L_rampe,Poids*COS(Beta),0)</f>
        <v>0</v>
      </c>
      <c r="V735" s="418" t="n">
        <f aca="false">Rho_moyen*(20000-Alt_rampe-pos_z)/(20000+Alt_rampe+pos_z)</f>
        <v>1.22607906668678</v>
      </c>
      <c r="W735" s="417" t="n">
        <f aca="false">1/2*Rho*Sref*Cx*vit_xz^2</f>
        <v>58.0553728778285</v>
      </c>
      <c r="X735" s="401"/>
      <c r="Y735" s="422" t="str">
        <f aca="false">IF(AND(pos_z&lt;=0,K734&gt;0),"Impact balistique","") &amp; IF(AND(H736&lt;0,vit_z&gt;=0),"Apogée","") &amp; IF(AND(Poussee=0,Q734&gt;0),"Fin de propulsion","") &amp; IF(AND(L736&gt;L_rampe,pos_xz&lt;=L_rampe),"Sortie de rampe","")</f>
        <v/>
      </c>
      <c r="Z735" s="423" t="str">
        <f aca="false">IF(ABS(t-T_para)&lt;pas/2,"Para","")</f>
        <v/>
      </c>
      <c r="AA735" s="424" t="str">
        <f aca="false">IF(ABS(t-T_satellite)&lt;pas/2,"Satellite","")</f>
        <v/>
      </c>
      <c r="AB735" s="412"/>
      <c r="AC735" s="420" t="e">
        <f aca="false">IF(ABS(t-ROUND(t,0))&lt;0.001,t,NA())</f>
        <v>#N/A</v>
      </c>
      <c r="AD735" s="425" t="e">
        <f aca="false">IF(ABS(t-ROUND(t,0))&lt;0.001,pos_x,NA())</f>
        <v>#N/A</v>
      </c>
      <c r="AE735" s="426" t="e">
        <f aca="false">IF(t&lt;T_para, pos_z, NA())</f>
        <v>#N/A</v>
      </c>
      <c r="AF735" s="412"/>
      <c r="AG735" s="418" t="n">
        <f aca="false">IF(AND(L734&lt;L_rampe,Poussee&lt;Poids*SIN(M734)),0,(-W734+Poussee)/m-Poids*SIN(M734)/m)</f>
        <v>1.89161036087966</v>
      </c>
      <c r="AH735" s="417" t="n">
        <f aca="false">IF(AND(L734&lt;L_rampe,Poussee&lt;Poids*SIN(M734)), g*SIN(M734), (-W734+Poussee)/m)</f>
        <v>-7.86868042919006</v>
      </c>
    </row>
    <row r="736" customFormat="false" ht="12" hidden="false" customHeight="false" outlineLevel="0" collapsed="false">
      <c r="A736" s="416" t="n">
        <f aca="false">IF(B735+0.01&lt;=T_ini+ROUNDUP(Temps_fin_propu,0), 0.01, IF(K735&gt;0, 0.1, 0.0001))</f>
        <v>0.0001</v>
      </c>
      <c r="B736" s="417" t="n">
        <f aca="false">B735+pas</f>
        <v>36.3009000000002</v>
      </c>
      <c r="C736" s="401"/>
      <c r="D736" s="418" t="n">
        <f aca="false">IF(AND(L735&lt;L_rampe,Poussee&lt;Poids*SIN(M735)),0,(-W735+Poussee)/m*COS(M735)-U735/m*SIN(M735))</f>
        <v>-0.791131021657955</v>
      </c>
      <c r="E736" s="419" t="n">
        <f aca="false">IF(AND(L735&lt;L_rampe,Poussee&lt;Poids*SIN(M735)),0,(-W735+Poussee)/m*SIN(M735)+U735/m*COS(M735)-Poids/m)</f>
        <v>-1.9811575681229</v>
      </c>
      <c r="F736" s="417" t="n">
        <f aca="false">SQRT(acc_x^2+acc_z^2)</f>
        <v>2.13327766668106</v>
      </c>
      <c r="G736" s="418" t="n">
        <f aca="false">G735+acc_x*pas</f>
        <v>12.476305686706</v>
      </c>
      <c r="H736" s="419" t="n">
        <f aca="false">H735+acc_z*pas</f>
        <v>-123.46350323615</v>
      </c>
      <c r="I736" s="417" t="n">
        <f aca="false">SQRT(vit_x^2+vit_z^2)</f>
        <v>124.092283543059</v>
      </c>
      <c r="J736" s="418" t="n">
        <f aca="false">J735+0.5*(vit_x+G735)*pas*(K735&gt;=0)</f>
        <v>913.614336176273</v>
      </c>
      <c r="K736" s="419" t="n">
        <f aca="false">K735+0.5*(vit_z+H735)*pas</f>
        <v>-8.8171760290667</v>
      </c>
      <c r="L736" s="417" t="n">
        <f aca="false">SQRT(pos_x^2+pos_z^2)</f>
        <v>913.656881909144</v>
      </c>
      <c r="M736" s="418" t="n">
        <f aca="false">IF(AND(L735&gt;L_rampe,G736&gt;0),ATAN2(G736,H736),$M$4)</f>
        <v>-1.4700856236697</v>
      </c>
      <c r="N736" s="417" t="n">
        <f aca="false">DEGREES(Beta)</f>
        <v>-84.2297017591311</v>
      </c>
      <c r="O736" s="401"/>
      <c r="P736" s="420" t="n">
        <f aca="false">MATCH(t-pas/2-T_ini,CdP_t)</f>
        <v>23</v>
      </c>
      <c r="Q736" s="417" t="n">
        <f aca="false">(INDEX(CdP,2,i_P+1)-INDEX(CdP,2,i_P+0))/(INDEX(CdP,1,i_P+1)-INDEX(CdP,1,i_P+0))*(t-pas/2-T_ini-INDEX(CdP,1,i_P+0))+INDEX(CdP,2,i_P+0)</f>
        <v>0</v>
      </c>
      <c r="R736" s="418" t="n">
        <f aca="false">Poussee/(g*ISP)</f>
        <v>0</v>
      </c>
      <c r="S736" s="419" t="n">
        <f aca="false">S735-Débit*pas</f>
        <v>7.37799999999998</v>
      </c>
      <c r="T736" s="417" t="n">
        <f aca="false">m*g</f>
        <v>72.3781799999998</v>
      </c>
      <c r="U736" s="421" t="n">
        <f aca="false">IF(pos_xz&lt;L_rampe,Poids*COS(Beta),0)</f>
        <v>0</v>
      </c>
      <c r="V736" s="418" t="n">
        <f aca="false">Rho_moyen*(20000-Alt_rampe-pos_z)/(20000+Alt_rampe+pos_z)</f>
        <v>1.22608058044696</v>
      </c>
      <c r="W736" s="417" t="n">
        <f aca="false">1/2*Rho*Sref*Cx*vit_xz^2</f>
        <v>58.0556215469229</v>
      </c>
      <c r="X736" s="401"/>
      <c r="Y736" s="422" t="str">
        <f aca="false">IF(AND(pos_z&lt;=0,K735&gt;0),"Impact balistique","") &amp; IF(AND(H737&lt;0,vit_z&gt;=0),"Apogée","") &amp; IF(AND(Poussee=0,Q735&gt;0),"Fin de propulsion","") &amp; IF(AND(L737&gt;L_rampe,pos_xz&lt;=L_rampe),"Sortie de rampe","")</f>
        <v/>
      </c>
      <c r="Z736" s="423" t="str">
        <f aca="false">IF(ABS(t-T_para)&lt;pas/2,"Para","")</f>
        <v/>
      </c>
      <c r="AA736" s="424" t="str">
        <f aca="false">IF(ABS(t-T_satellite)&lt;pas/2,"Satellite","")</f>
        <v/>
      </c>
      <c r="AB736" s="412"/>
      <c r="AC736" s="420" t="e">
        <f aca="false">IF(ABS(t-ROUND(t,0))&lt;0.001,t,NA())</f>
        <v>#N/A</v>
      </c>
      <c r="AD736" s="425" t="e">
        <f aca="false">IF(ABS(t-ROUND(t,0))&lt;0.001,pos_x,NA())</f>
        <v>#N/A</v>
      </c>
      <c r="AE736" s="426" t="e">
        <f aca="false">IF(t&lt;T_para, pos_z, NA())</f>
        <v>#N/A</v>
      </c>
      <c r="AF736" s="412"/>
      <c r="AG736" s="418" t="n">
        <f aca="false">IF(AND(L735&lt;L_rampe,Poussee&lt;Poids*SIN(M735)),0,(-W735+Poussee)/m-Poids*SIN(M735)/m)</f>
        <v>1.89157744040232</v>
      </c>
      <c r="AH736" s="417" t="n">
        <f aca="false">IF(AND(L735&lt;L_rampe,Poussee&lt;Poids*SIN(M735)), g*SIN(M735), (-W735+Poussee)/m)</f>
        <v>-7.86871413361732</v>
      </c>
    </row>
    <row r="737" customFormat="false" ht="12" hidden="false" customHeight="false" outlineLevel="0" collapsed="false">
      <c r="A737" s="416" t="n">
        <f aca="false">IF(B736+0.01&lt;=T_ini+ROUNDUP(Temps_fin_propu,0), 0.01, IF(K736&gt;0, 0.1, 0.0001))</f>
        <v>0.0001</v>
      </c>
      <c r="B737" s="417" t="n">
        <f aca="false">B736+pas</f>
        <v>36.3010000000002</v>
      </c>
      <c r="C737" s="401"/>
      <c r="D737" s="418" t="n">
        <f aca="false">IF(AND(L736&lt;L_rampe,Poussee&lt;Poids*SIN(M736)),0,(-W736+Poussee)/m*COS(M736)-U736/m*SIN(M736))</f>
        <v>-0.791128187767745</v>
      </c>
      <c r="E737" s="419" t="n">
        <f aca="false">IF(AND(L736&lt;L_rampe,Poussee&lt;Poids*SIN(M736)),0,(-W736+Poussee)/m*SIN(M736)+U736/m*COS(M736)-Poids/m)</f>
        <v>-1.98112340596545</v>
      </c>
      <c r="F737" s="417" t="n">
        <f aca="false">SQRT(acc_x^2+acc_z^2)</f>
        <v>2.13324488963288</v>
      </c>
      <c r="G737" s="418" t="n">
        <f aca="false">G736+acc_x*pas</f>
        <v>12.4762265738872</v>
      </c>
      <c r="H737" s="419" t="n">
        <f aca="false">H736+acc_z*pas</f>
        <v>-123.463701348491</v>
      </c>
      <c r="I737" s="417" t="n">
        <f aca="false">SQRT(vit_x^2+vit_z^2)</f>
        <v>124.09247269755</v>
      </c>
      <c r="J737" s="418" t="n">
        <f aca="false">J736+0.5*(vit_x+G736)*pas*(K736&gt;=0)</f>
        <v>913.614336176273</v>
      </c>
      <c r="K737" s="419" t="n">
        <f aca="false">K736+0.5*(vit_z+H736)*pas</f>
        <v>-8.82952238929593</v>
      </c>
      <c r="L737" s="417" t="n">
        <f aca="false">SQRT(pos_x^2+pos_z^2)</f>
        <v>913.657001140163</v>
      </c>
      <c r="M737" s="418" t="n">
        <f aca="false">IF(AND(L736&gt;L_rampe,G737&gt;0),ATAN2(G737,H737),$M$4)</f>
        <v>-1.4700864184824</v>
      </c>
      <c r="N737" s="417" t="n">
        <f aca="false">DEGREES(Beta)</f>
        <v>-84.2297472985445</v>
      </c>
      <c r="O737" s="401"/>
      <c r="P737" s="420" t="n">
        <f aca="false">MATCH(t-pas/2-T_ini,CdP_t)</f>
        <v>23</v>
      </c>
      <c r="Q737" s="417" t="n">
        <f aca="false">(INDEX(CdP,2,i_P+1)-INDEX(CdP,2,i_P+0))/(INDEX(CdP,1,i_P+1)-INDEX(CdP,1,i_P+0))*(t-pas/2-T_ini-INDEX(CdP,1,i_P+0))+INDEX(CdP,2,i_P+0)</f>
        <v>0</v>
      </c>
      <c r="R737" s="418" t="n">
        <f aca="false">Poussee/(g*ISP)</f>
        <v>0</v>
      </c>
      <c r="S737" s="419" t="n">
        <f aca="false">S736-Débit*pas</f>
        <v>7.37799999999998</v>
      </c>
      <c r="T737" s="417" t="n">
        <f aca="false">m*g</f>
        <v>72.3781799999998</v>
      </c>
      <c r="U737" s="421" t="n">
        <f aca="false">IF(pos_xz&lt;L_rampe,Poids*COS(Beta),0)</f>
        <v>0</v>
      </c>
      <c r="V737" s="418" t="n">
        <f aca="false">Rho_moyen*(20000-Alt_rampe-pos_z)/(20000+Alt_rampe+pos_z)</f>
        <v>1.22608209421144</v>
      </c>
      <c r="W737" s="417" t="n">
        <f aca="false">1/2*Rho*Sref*Cx*vit_xz^2</f>
        <v>58.0558702138473</v>
      </c>
      <c r="X737" s="401"/>
      <c r="Y737" s="422" t="str">
        <f aca="false">IF(AND(pos_z&lt;=0,K736&gt;0),"Impact balistique","") &amp; IF(AND(H738&lt;0,vit_z&gt;=0),"Apogée","") &amp; IF(AND(Poussee=0,Q736&gt;0),"Fin de propulsion","") &amp; IF(AND(L738&gt;L_rampe,pos_xz&lt;=L_rampe),"Sortie de rampe","")</f>
        <v/>
      </c>
      <c r="Z737" s="423" t="str">
        <f aca="false">IF(ABS(t-T_para)&lt;pas/2,"Para","")</f>
        <v/>
      </c>
      <c r="AA737" s="424" t="str">
        <f aca="false">IF(ABS(t-T_satellite)&lt;pas/2,"Satellite","")</f>
        <v/>
      </c>
      <c r="AB737" s="412"/>
      <c r="AC737" s="420" t="e">
        <f aca="false">IF(ABS(t-ROUND(t,0))&lt;0.001,t,NA())</f>
        <v>#N/A</v>
      </c>
      <c r="AD737" s="425" t="e">
        <f aca="false">IF(ABS(t-ROUND(t,0))&lt;0.001,pos_x,NA())</f>
        <v>#N/A</v>
      </c>
      <c r="AE737" s="426" t="e">
        <f aca="false">IF(t&lt;T_para, pos_z, NA())</f>
        <v>#N/A</v>
      </c>
      <c r="AF737" s="412"/>
      <c r="AG737" s="418" t="n">
        <f aca="false">IF(AND(L736&lt;L_rampe,Poussee&lt;Poids*SIN(M736)),0,(-W736+Poussee)/m-Poids*SIN(M736)/m)</f>
        <v>1.89154452020556</v>
      </c>
      <c r="AH737" s="417" t="n">
        <f aca="false">IF(AND(L736&lt;L_rampe,Poussee&lt;Poids*SIN(M736)), g*SIN(M736), (-W736+Poussee)/m)</f>
        <v>-7.86874783775047</v>
      </c>
    </row>
    <row r="738" customFormat="false" ht="12" hidden="false" customHeight="false" outlineLevel="0" collapsed="false">
      <c r="A738" s="416" t="n">
        <f aca="false">IF(B737+0.01&lt;=T_ini+ROUNDUP(Temps_fin_propu,0), 0.01, IF(K737&gt;0, 0.1, 0.0001))</f>
        <v>0.0001</v>
      </c>
      <c r="B738" s="417" t="n">
        <f aca="false">B737+pas</f>
        <v>36.3011000000002</v>
      </c>
      <c r="C738" s="401"/>
      <c r="D738" s="418" t="n">
        <f aca="false">IF(AND(L737&lt;L_rampe,Poussee&lt;Poids*SIN(M737)),0,(-W737+Poussee)/m*COS(M737)-U737/m*SIN(M737))</f>
        <v>-0.791125353852588</v>
      </c>
      <c r="E738" s="419" t="n">
        <f aca="false">IF(AND(L737&lt;L_rampe,Poussee&lt;Poids*SIN(M737)),0,(-W737+Poussee)/m*SIN(M737)+U737/m*COS(M737)-Poids/m)</f>
        <v>-1.98108924410608</v>
      </c>
      <c r="F738" s="417" t="n">
        <f aca="false">SQRT(acc_x^2+acc_z^2)</f>
        <v>2.13321211289951</v>
      </c>
      <c r="G738" s="418" t="n">
        <f aca="false">G737+acc_x*pas</f>
        <v>12.4761474613518</v>
      </c>
      <c r="H738" s="419" t="n">
        <f aca="false">H737+acc_z*pas</f>
        <v>-123.463899457415</v>
      </c>
      <c r="I738" s="417" t="n">
        <f aca="false">SQRT(vit_x^2+vit_z^2)</f>
        <v>124.092661848749</v>
      </c>
      <c r="J738" s="418" t="n">
        <f aca="false">J737+0.5*(vit_x+G737)*pas*(K737&gt;=0)</f>
        <v>913.614336176273</v>
      </c>
      <c r="K738" s="419" t="n">
        <f aca="false">K737+0.5*(vit_z+H737)*pas</f>
        <v>-8.84186876933622</v>
      </c>
      <c r="L738" s="417" t="n">
        <f aca="false">SQRT(pos_x^2+pos_z^2)</f>
        <v>913.657120538195</v>
      </c>
      <c r="M738" s="418" t="n">
        <f aca="false">IF(AND(L737&gt;L_rampe,G738&gt;0),ATAN2(G738,H738),$M$4)</f>
        <v>-1.47008721328764</v>
      </c>
      <c r="N738" s="417" t="n">
        <f aca="false">DEGREES(Beta)</f>
        <v>-84.2297928375303</v>
      </c>
      <c r="O738" s="401"/>
      <c r="P738" s="420" t="n">
        <f aca="false">MATCH(t-pas/2-T_ini,CdP_t)</f>
        <v>23</v>
      </c>
      <c r="Q738" s="417" t="n">
        <f aca="false">(INDEX(CdP,2,i_P+1)-INDEX(CdP,2,i_P+0))/(INDEX(CdP,1,i_P+1)-INDEX(CdP,1,i_P+0))*(t-pas/2-T_ini-INDEX(CdP,1,i_P+0))+INDEX(CdP,2,i_P+0)</f>
        <v>0</v>
      </c>
      <c r="R738" s="418" t="n">
        <f aca="false">Poussee/(g*ISP)</f>
        <v>0</v>
      </c>
      <c r="S738" s="419" t="n">
        <f aca="false">S737-Débit*pas</f>
        <v>7.37799999999998</v>
      </c>
      <c r="T738" s="417" t="n">
        <f aca="false">m*g</f>
        <v>72.3781799999998</v>
      </c>
      <c r="U738" s="421" t="n">
        <f aca="false">IF(pos_xz&lt;L_rampe,Poids*COS(Beta),0)</f>
        <v>0</v>
      </c>
      <c r="V738" s="418" t="n">
        <f aca="false">Rho_moyen*(20000-Alt_rampe-pos_z)/(20000+Alt_rampe+pos_z)</f>
        <v>1.22608360798022</v>
      </c>
      <c r="W738" s="417" t="n">
        <f aca="false">1/2*Rho*Sref*Cx*vit_xz^2</f>
        <v>58.0561188786019</v>
      </c>
      <c r="X738" s="401"/>
      <c r="Y738" s="422" t="str">
        <f aca="false">IF(AND(pos_z&lt;=0,K737&gt;0),"Impact balistique","") &amp; IF(AND(H739&lt;0,vit_z&gt;=0),"Apogée","") &amp; IF(AND(Poussee=0,Q737&gt;0),"Fin de propulsion","") &amp; IF(AND(L739&gt;L_rampe,pos_xz&lt;=L_rampe),"Sortie de rampe","")</f>
        <v/>
      </c>
      <c r="Z738" s="423" t="str">
        <f aca="false">IF(ABS(t-T_para)&lt;pas/2,"Para","")</f>
        <v/>
      </c>
      <c r="AA738" s="424" t="str">
        <f aca="false">IF(ABS(t-T_satellite)&lt;pas/2,"Satellite","")</f>
        <v/>
      </c>
      <c r="AB738" s="412"/>
      <c r="AC738" s="420" t="e">
        <f aca="false">IF(ABS(t-ROUND(t,0))&lt;0.001,t,NA())</f>
        <v>#N/A</v>
      </c>
      <c r="AD738" s="425" t="e">
        <f aca="false">IF(ABS(t-ROUND(t,0))&lt;0.001,pos_x,NA())</f>
        <v>#N/A</v>
      </c>
      <c r="AE738" s="426" t="e">
        <f aca="false">IF(t&lt;T_para, pos_z, NA())</f>
        <v>#N/A</v>
      </c>
      <c r="AF738" s="412"/>
      <c r="AG738" s="418" t="n">
        <f aca="false">IF(AND(L737&lt;L_rampe,Poussee&lt;Poids*SIN(M737)),0,(-W737+Poussee)/m-Poids*SIN(M737)/m)</f>
        <v>1.89151160028937</v>
      </c>
      <c r="AH738" s="417" t="n">
        <f aca="false">IF(AND(L737&lt;L_rampe,Poussee&lt;Poids*SIN(M737)), g*SIN(M737), (-W737+Poussee)/m)</f>
        <v>-7.86878154158952</v>
      </c>
    </row>
    <row r="739" customFormat="false" ht="12" hidden="false" customHeight="false" outlineLevel="0" collapsed="false">
      <c r="A739" s="416" t="n">
        <f aca="false">IF(B738+0.01&lt;=T_ini+ROUNDUP(Temps_fin_propu,0), 0.01, IF(K738&gt;0, 0.1, 0.0001))</f>
        <v>0.0001</v>
      </c>
      <c r="B739" s="417" t="n">
        <f aca="false">B738+pas</f>
        <v>36.3012000000002</v>
      </c>
      <c r="C739" s="401"/>
      <c r="D739" s="418" t="n">
        <f aca="false">IF(AND(L738&lt;L_rampe,Poussee&lt;Poids*SIN(M738)),0,(-W738+Poussee)/m*COS(M738)-U738/m*SIN(M738))</f>
        <v>-0.791122519912485</v>
      </c>
      <c r="E739" s="419" t="n">
        <f aca="false">IF(AND(L738&lt;L_rampe,Poussee&lt;Poids*SIN(M738)),0,(-W738+Poussee)/m*SIN(M738)+U738/m*COS(M738)-Poids/m)</f>
        <v>-1.98105508254479</v>
      </c>
      <c r="F739" s="417" t="n">
        <f aca="false">SQRT(acc_x^2+acc_z^2)</f>
        <v>2.13317933648093</v>
      </c>
      <c r="G739" s="418" t="n">
        <f aca="false">G738+acc_x*pas</f>
        <v>12.4760683490998</v>
      </c>
      <c r="H739" s="419" t="n">
        <f aca="false">H738+acc_z*pas</f>
        <v>-123.464097562923</v>
      </c>
      <c r="I739" s="417" t="n">
        <f aca="false">SQRT(vit_x^2+vit_z^2)</f>
        <v>124.092850996657</v>
      </c>
      <c r="J739" s="418" t="n">
        <f aca="false">J738+0.5*(vit_x+G738)*pas*(K738&gt;=0)</f>
        <v>913.614336176273</v>
      </c>
      <c r="K739" s="419" t="n">
        <f aca="false">K738+0.5*(vit_z+H738)*pas</f>
        <v>-8.85421516918724</v>
      </c>
      <c r="L739" s="417" t="n">
        <f aca="false">SQRT(pos_x^2+pos_z^2)</f>
        <v>913.657240103243</v>
      </c>
      <c r="M739" s="418" t="n">
        <f aca="false">IF(AND(L738&gt;L_rampe,G739&gt;0),ATAN2(G739,H739),$M$4)</f>
        <v>-1.47008800808542</v>
      </c>
      <c r="N739" s="417" t="n">
        <f aca="false">DEGREES(Beta)</f>
        <v>-84.2298383760884</v>
      </c>
      <c r="O739" s="401"/>
      <c r="P739" s="420" t="n">
        <f aca="false">MATCH(t-pas/2-T_ini,CdP_t)</f>
        <v>23</v>
      </c>
      <c r="Q739" s="417" t="n">
        <f aca="false">(INDEX(CdP,2,i_P+1)-INDEX(CdP,2,i_P+0))/(INDEX(CdP,1,i_P+1)-INDEX(CdP,1,i_P+0))*(t-pas/2-T_ini-INDEX(CdP,1,i_P+0))+INDEX(CdP,2,i_P+0)</f>
        <v>0</v>
      </c>
      <c r="R739" s="418" t="n">
        <f aca="false">Poussee/(g*ISP)</f>
        <v>0</v>
      </c>
      <c r="S739" s="419" t="n">
        <f aca="false">S738-Débit*pas</f>
        <v>7.37799999999998</v>
      </c>
      <c r="T739" s="417" t="n">
        <f aca="false">m*g</f>
        <v>72.3781799999998</v>
      </c>
      <c r="U739" s="421" t="n">
        <f aca="false">IF(pos_xz&lt;L_rampe,Poids*COS(Beta),0)</f>
        <v>0</v>
      </c>
      <c r="V739" s="418" t="n">
        <f aca="false">Rho_moyen*(20000-Alt_rampe-pos_z)/(20000+Alt_rampe+pos_z)</f>
        <v>1.2260851217533</v>
      </c>
      <c r="W739" s="417" t="n">
        <f aca="false">1/2*Rho*Sref*Cx*vit_xz^2</f>
        <v>58.0563675411865</v>
      </c>
      <c r="X739" s="401"/>
      <c r="Y739" s="422" t="str">
        <f aca="false">IF(AND(pos_z&lt;=0,K738&gt;0),"Impact balistique","") &amp; IF(AND(H740&lt;0,vit_z&gt;=0),"Apogée","") &amp; IF(AND(Poussee=0,Q738&gt;0),"Fin de propulsion","") &amp; IF(AND(L740&gt;L_rampe,pos_xz&lt;=L_rampe),"Sortie de rampe","")</f>
        <v/>
      </c>
      <c r="Z739" s="423" t="str">
        <f aca="false">IF(ABS(t-T_para)&lt;pas/2,"Para","")</f>
        <v/>
      </c>
      <c r="AA739" s="424" t="str">
        <f aca="false">IF(ABS(t-T_satellite)&lt;pas/2,"Satellite","")</f>
        <v/>
      </c>
      <c r="AB739" s="412"/>
      <c r="AC739" s="420" t="e">
        <f aca="false">IF(ABS(t-ROUND(t,0))&lt;0.001,t,NA())</f>
        <v>#N/A</v>
      </c>
      <c r="AD739" s="425" t="e">
        <f aca="false">IF(ABS(t-ROUND(t,0))&lt;0.001,pos_x,NA())</f>
        <v>#N/A</v>
      </c>
      <c r="AE739" s="426" t="e">
        <f aca="false">IF(t&lt;T_para, pos_z, NA())</f>
        <v>#N/A</v>
      </c>
      <c r="AF739" s="412"/>
      <c r="AG739" s="418" t="n">
        <f aca="false">IF(AND(L738&lt;L_rampe,Poussee&lt;Poids*SIN(M738)),0,(-W738+Poussee)/m-Poids*SIN(M738)/m)</f>
        <v>1.89147868065377</v>
      </c>
      <c r="AH739" s="417" t="n">
        <f aca="false">IF(AND(L738&lt;L_rampe,Poussee&lt;Poids*SIN(M738)), g*SIN(M738), (-W738+Poussee)/m)</f>
        <v>-7.86881524513446</v>
      </c>
    </row>
    <row r="740" customFormat="false" ht="12" hidden="false" customHeight="false" outlineLevel="0" collapsed="false">
      <c r="A740" s="416" t="n">
        <f aca="false">IF(B739+0.01&lt;=T_ini+ROUNDUP(Temps_fin_propu,0), 0.01, IF(K739&gt;0, 0.1, 0.0001))</f>
        <v>0.0001</v>
      </c>
      <c r="B740" s="417" t="n">
        <f aca="false">B739+pas</f>
        <v>36.3013000000002</v>
      </c>
      <c r="C740" s="401"/>
      <c r="D740" s="418" t="n">
        <f aca="false">IF(AND(L739&lt;L_rampe,Poussee&lt;Poids*SIN(M739)),0,(-W739+Poussee)/m*COS(M739)-U739/m*SIN(M739))</f>
        <v>-0.791119685947435</v>
      </c>
      <c r="E740" s="419" t="n">
        <f aca="false">IF(AND(L739&lt;L_rampe,Poussee&lt;Poids*SIN(M739)),0,(-W739+Poussee)/m*SIN(M739)+U739/m*COS(M739)-Poids/m)</f>
        <v>-1.98102092128158</v>
      </c>
      <c r="F740" s="417" t="n">
        <f aca="false">SQRT(acc_x^2+acc_z^2)</f>
        <v>2.13314656037716</v>
      </c>
      <c r="G740" s="418" t="n">
        <f aca="false">G739+acc_x*pas</f>
        <v>12.4759892371312</v>
      </c>
      <c r="H740" s="419" t="n">
        <f aca="false">H739+acc_z*pas</f>
        <v>-123.464295665015</v>
      </c>
      <c r="I740" s="417" t="n">
        <f aca="false">SQRT(vit_x^2+vit_z^2)</f>
        <v>124.093040141272</v>
      </c>
      <c r="J740" s="418" t="n">
        <f aca="false">J739+0.5*(vit_x+G739)*pas*(K739&gt;=0)</f>
        <v>913.614336176273</v>
      </c>
      <c r="K740" s="419" t="n">
        <f aca="false">K739+0.5*(vit_z+H739)*pas</f>
        <v>-8.86656158884864</v>
      </c>
      <c r="L740" s="417" t="n">
        <f aca="false">SQRT(pos_x^2+pos_z^2)</f>
        <v>913.657359835306</v>
      </c>
      <c r="M740" s="418" t="n">
        <f aca="false">IF(AND(L739&gt;L_rampe,G740&gt;0),ATAN2(G740,H740),$M$4)</f>
        <v>-1.47008880287573</v>
      </c>
      <c r="N740" s="417" t="n">
        <f aca="false">DEGREES(Beta)</f>
        <v>-84.229883914219</v>
      </c>
      <c r="O740" s="401"/>
      <c r="P740" s="420" t="n">
        <f aca="false">MATCH(t-pas/2-T_ini,CdP_t)</f>
        <v>23</v>
      </c>
      <c r="Q740" s="417" t="n">
        <f aca="false">(INDEX(CdP,2,i_P+1)-INDEX(CdP,2,i_P+0))/(INDEX(CdP,1,i_P+1)-INDEX(CdP,1,i_P+0))*(t-pas/2-T_ini-INDEX(CdP,1,i_P+0))+INDEX(CdP,2,i_P+0)</f>
        <v>0</v>
      </c>
      <c r="R740" s="418" t="n">
        <f aca="false">Poussee/(g*ISP)</f>
        <v>0</v>
      </c>
      <c r="S740" s="419" t="n">
        <f aca="false">S739-Débit*pas</f>
        <v>7.37799999999998</v>
      </c>
      <c r="T740" s="417" t="n">
        <f aca="false">m*g</f>
        <v>72.3781799999998</v>
      </c>
      <c r="U740" s="421" t="n">
        <f aca="false">IF(pos_xz&lt;L_rampe,Poids*COS(Beta),0)</f>
        <v>0</v>
      </c>
      <c r="V740" s="418" t="n">
        <f aca="false">Rho_moyen*(20000-Alt_rampe-pos_z)/(20000+Alt_rampe+pos_z)</f>
        <v>1.22608663553068</v>
      </c>
      <c r="W740" s="417" t="n">
        <f aca="false">1/2*Rho*Sref*Cx*vit_xz^2</f>
        <v>58.0566162016013</v>
      </c>
      <c r="X740" s="401"/>
      <c r="Y740" s="422" t="str">
        <f aca="false">IF(AND(pos_z&lt;=0,K739&gt;0),"Impact balistique","") &amp; IF(AND(H741&lt;0,vit_z&gt;=0),"Apogée","") &amp; IF(AND(Poussee=0,Q739&gt;0),"Fin de propulsion","") &amp; IF(AND(L741&gt;L_rampe,pos_xz&lt;=L_rampe),"Sortie de rampe","")</f>
        <v/>
      </c>
      <c r="Z740" s="423" t="str">
        <f aca="false">IF(ABS(t-T_para)&lt;pas/2,"Para","")</f>
        <v/>
      </c>
      <c r="AA740" s="424" t="str">
        <f aca="false">IF(ABS(t-T_satellite)&lt;pas/2,"Satellite","")</f>
        <v/>
      </c>
      <c r="AB740" s="412"/>
      <c r="AC740" s="420" t="e">
        <f aca="false">IF(ABS(t-ROUND(t,0))&lt;0.001,t,NA())</f>
        <v>#N/A</v>
      </c>
      <c r="AD740" s="425" t="e">
        <f aca="false">IF(ABS(t-ROUND(t,0))&lt;0.001,pos_x,NA())</f>
        <v>#N/A</v>
      </c>
      <c r="AE740" s="426" t="e">
        <f aca="false">IF(t&lt;T_para, pos_z, NA())</f>
        <v>#N/A</v>
      </c>
      <c r="AF740" s="412"/>
      <c r="AG740" s="418" t="n">
        <f aca="false">IF(AND(L739&lt;L_rampe,Poussee&lt;Poids*SIN(M739)),0,(-W739+Poussee)/m-Poids*SIN(M739)/m)</f>
        <v>1.89144576129875</v>
      </c>
      <c r="AH740" s="417" t="n">
        <f aca="false">IF(AND(L739&lt;L_rampe,Poussee&lt;Poids*SIN(M739)), g*SIN(M739), (-W739+Poussee)/m)</f>
        <v>-7.86884894838529</v>
      </c>
    </row>
    <row r="741" customFormat="false" ht="12" hidden="false" customHeight="false" outlineLevel="0" collapsed="false">
      <c r="A741" s="416" t="n">
        <f aca="false">IF(B740+0.01&lt;=T_ini+ROUNDUP(Temps_fin_propu,0), 0.01, IF(K740&gt;0, 0.1, 0.0001))</f>
        <v>0.0001</v>
      </c>
      <c r="B741" s="417" t="n">
        <f aca="false">B740+pas</f>
        <v>36.3014000000003</v>
      </c>
      <c r="C741" s="401"/>
      <c r="D741" s="418" t="n">
        <f aca="false">IF(AND(L740&lt;L_rampe,Poussee&lt;Poids*SIN(M740)),0,(-W740+Poussee)/m*COS(M740)-U740/m*SIN(M740))</f>
        <v>-0.791116851957441</v>
      </c>
      <c r="E741" s="419" t="n">
        <f aca="false">IF(AND(L740&lt;L_rampe,Poussee&lt;Poids*SIN(M740)),0,(-W740+Poussee)/m*SIN(M740)+U740/m*COS(M740)-Poids/m)</f>
        <v>-1.98098676031645</v>
      </c>
      <c r="F741" s="417" t="n">
        <f aca="false">SQRT(acc_x^2+acc_z^2)</f>
        <v>2.13311378458818</v>
      </c>
      <c r="G741" s="418" t="n">
        <f aca="false">G740+acc_x*pas</f>
        <v>12.475910125446</v>
      </c>
      <c r="H741" s="419" t="n">
        <f aca="false">H740+acc_z*pas</f>
        <v>-123.464493763691</v>
      </c>
      <c r="I741" s="417" t="n">
        <f aca="false">SQRT(vit_x^2+vit_z^2)</f>
        <v>124.093229282595</v>
      </c>
      <c r="J741" s="418" t="n">
        <f aca="false">J740+0.5*(vit_x+G740)*pas*(K740&gt;=0)</f>
        <v>913.614336176273</v>
      </c>
      <c r="K741" s="419" t="n">
        <f aca="false">K740+0.5*(vit_z+H740)*pas</f>
        <v>-8.87890802832007</v>
      </c>
      <c r="L741" s="417" t="n">
        <f aca="false">SQRT(pos_x^2+pos_z^2)</f>
        <v>913.657479734385</v>
      </c>
      <c r="M741" s="418" t="n">
        <f aca="false">IF(AND(L740&gt;L_rampe,G741&gt;0),ATAN2(G741,H741),$M$4)</f>
        <v>-1.47008959765858</v>
      </c>
      <c r="N741" s="417" t="n">
        <f aca="false">DEGREES(Beta)</f>
        <v>-84.2299294519221</v>
      </c>
      <c r="O741" s="401"/>
      <c r="P741" s="420" t="n">
        <f aca="false">MATCH(t-pas/2-T_ini,CdP_t)</f>
        <v>23</v>
      </c>
      <c r="Q741" s="417" t="n">
        <f aca="false">(INDEX(CdP,2,i_P+1)-INDEX(CdP,2,i_P+0))/(INDEX(CdP,1,i_P+1)-INDEX(CdP,1,i_P+0))*(t-pas/2-T_ini-INDEX(CdP,1,i_P+0))+INDEX(CdP,2,i_P+0)</f>
        <v>0</v>
      </c>
      <c r="R741" s="418" t="n">
        <f aca="false">Poussee/(g*ISP)</f>
        <v>0</v>
      </c>
      <c r="S741" s="419" t="n">
        <f aca="false">S740-Débit*pas</f>
        <v>7.37799999999998</v>
      </c>
      <c r="T741" s="417" t="n">
        <f aca="false">m*g</f>
        <v>72.3781799999998</v>
      </c>
      <c r="U741" s="421" t="n">
        <f aca="false">IF(pos_xz&lt;L_rampe,Poids*COS(Beta),0)</f>
        <v>0</v>
      </c>
      <c r="V741" s="418" t="n">
        <f aca="false">Rho_moyen*(20000-Alt_rampe-pos_z)/(20000+Alt_rampe+pos_z)</f>
        <v>1.22608814931235</v>
      </c>
      <c r="W741" s="417" t="n">
        <f aca="false">1/2*Rho*Sref*Cx*vit_xz^2</f>
        <v>58.0568648598461</v>
      </c>
      <c r="X741" s="401"/>
      <c r="Y741" s="422" t="str">
        <f aca="false">IF(AND(pos_z&lt;=0,K740&gt;0),"Impact balistique","") &amp; IF(AND(H742&lt;0,vit_z&gt;=0),"Apogée","") &amp; IF(AND(Poussee=0,Q740&gt;0),"Fin de propulsion","") &amp; IF(AND(L742&gt;L_rampe,pos_xz&lt;=L_rampe),"Sortie de rampe","")</f>
        <v/>
      </c>
      <c r="Z741" s="423" t="str">
        <f aca="false">IF(ABS(t-T_para)&lt;pas/2,"Para","")</f>
        <v/>
      </c>
      <c r="AA741" s="424" t="str">
        <f aca="false">IF(ABS(t-T_satellite)&lt;pas/2,"Satellite","")</f>
        <v/>
      </c>
      <c r="AB741" s="412"/>
      <c r="AC741" s="420" t="e">
        <f aca="false">IF(ABS(t-ROUND(t,0))&lt;0.001,t,NA())</f>
        <v>#N/A</v>
      </c>
      <c r="AD741" s="425" t="e">
        <f aca="false">IF(ABS(t-ROUND(t,0))&lt;0.001,pos_x,NA())</f>
        <v>#N/A</v>
      </c>
      <c r="AE741" s="426" t="e">
        <f aca="false">IF(t&lt;T_para, pos_z, NA())</f>
        <v>#N/A</v>
      </c>
      <c r="AF741" s="412"/>
      <c r="AG741" s="418" t="n">
        <f aca="false">IF(AND(L740&lt;L_rampe,Poussee&lt;Poids*SIN(M740)),0,(-W740+Poussee)/m-Poids*SIN(M740)/m)</f>
        <v>1.8914128422243</v>
      </c>
      <c r="AH741" s="417" t="n">
        <f aca="false">IF(AND(L740&lt;L_rampe,Poussee&lt;Poids*SIN(M740)), g*SIN(M740), (-W740+Poussee)/m)</f>
        <v>-7.86888265134201</v>
      </c>
    </row>
    <row r="742" customFormat="false" ht="12" hidden="false" customHeight="false" outlineLevel="0" collapsed="false">
      <c r="A742" s="416" t="n">
        <f aca="false">IF(B741+0.01&lt;=T_ini+ROUNDUP(Temps_fin_propu,0), 0.01, IF(K741&gt;0, 0.1, 0.0001))</f>
        <v>0.0001</v>
      </c>
      <c r="B742" s="417" t="n">
        <f aca="false">B741+pas</f>
        <v>36.3015000000003</v>
      </c>
      <c r="C742" s="401"/>
      <c r="D742" s="418" t="n">
        <f aca="false">IF(AND(L741&lt;L_rampe,Poussee&lt;Poids*SIN(M741)),0,(-W741+Poussee)/m*COS(M741)-U741/m*SIN(M741))</f>
        <v>-0.791114017942503</v>
      </c>
      <c r="E742" s="419" t="n">
        <f aca="false">IF(AND(L741&lt;L_rampe,Poussee&lt;Poids*SIN(M741)),0,(-W741+Poussee)/m*SIN(M741)+U741/m*COS(M741)-Poids/m)</f>
        <v>-1.9809525996494</v>
      </c>
      <c r="F742" s="417" t="n">
        <f aca="false">SQRT(acc_x^2+acc_z^2)</f>
        <v>2.13308100911401</v>
      </c>
      <c r="G742" s="418" t="n">
        <f aca="false">G741+acc_x*pas</f>
        <v>12.4758310140442</v>
      </c>
      <c r="H742" s="419" t="n">
        <f aca="false">H741+acc_z*pas</f>
        <v>-123.464691858951</v>
      </c>
      <c r="I742" s="417" t="n">
        <f aca="false">SQRT(vit_x^2+vit_z^2)</f>
        <v>124.093418420627</v>
      </c>
      <c r="J742" s="418" t="n">
        <f aca="false">J741+0.5*(vit_x+G741)*pas*(K741&gt;=0)</f>
        <v>913.614336176273</v>
      </c>
      <c r="K742" s="419" t="n">
        <f aca="false">K741+0.5*(vit_z+H741)*pas</f>
        <v>-8.8912544876012</v>
      </c>
      <c r="L742" s="417" t="n">
        <f aca="false">SQRT(pos_x^2+pos_z^2)</f>
        <v>913.657599800481</v>
      </c>
      <c r="M742" s="418" t="n">
        <f aca="false">IF(AND(L741&gt;L_rampe,G742&gt;0),ATAN2(G742,H742),$M$4)</f>
        <v>-1.47009039243397</v>
      </c>
      <c r="N742" s="417" t="n">
        <f aca="false">DEGREES(Beta)</f>
        <v>-84.2299749891975</v>
      </c>
      <c r="O742" s="401"/>
      <c r="P742" s="420" t="n">
        <f aca="false">MATCH(t-pas/2-T_ini,CdP_t)</f>
        <v>23</v>
      </c>
      <c r="Q742" s="417" t="n">
        <f aca="false">(INDEX(CdP,2,i_P+1)-INDEX(CdP,2,i_P+0))/(INDEX(CdP,1,i_P+1)-INDEX(CdP,1,i_P+0))*(t-pas/2-T_ini-INDEX(CdP,1,i_P+0))+INDEX(CdP,2,i_P+0)</f>
        <v>0</v>
      </c>
      <c r="R742" s="418" t="n">
        <f aca="false">Poussee/(g*ISP)</f>
        <v>0</v>
      </c>
      <c r="S742" s="419" t="n">
        <f aca="false">S741-Débit*pas</f>
        <v>7.37799999999998</v>
      </c>
      <c r="T742" s="417" t="n">
        <f aca="false">m*g</f>
        <v>72.3781799999998</v>
      </c>
      <c r="U742" s="421" t="n">
        <f aca="false">IF(pos_xz&lt;L_rampe,Poids*COS(Beta),0)</f>
        <v>0</v>
      </c>
      <c r="V742" s="418" t="n">
        <f aca="false">Rho_moyen*(20000-Alt_rampe-pos_z)/(20000+Alt_rampe+pos_z)</f>
        <v>1.22608966309833</v>
      </c>
      <c r="W742" s="417" t="n">
        <f aca="false">1/2*Rho*Sref*Cx*vit_xz^2</f>
        <v>58.057113515921</v>
      </c>
      <c r="X742" s="401"/>
      <c r="Y742" s="422" t="str">
        <f aca="false">IF(AND(pos_z&lt;=0,K741&gt;0),"Impact balistique","") &amp; IF(AND(H743&lt;0,vit_z&gt;=0),"Apogée","") &amp; IF(AND(Poussee=0,Q741&gt;0),"Fin de propulsion","") &amp; IF(AND(L743&gt;L_rampe,pos_xz&lt;=L_rampe),"Sortie de rampe","")</f>
        <v/>
      </c>
      <c r="Z742" s="423" t="str">
        <f aca="false">IF(ABS(t-T_para)&lt;pas/2,"Para","")</f>
        <v/>
      </c>
      <c r="AA742" s="424" t="str">
        <f aca="false">IF(ABS(t-T_satellite)&lt;pas/2,"Satellite","")</f>
        <v/>
      </c>
      <c r="AB742" s="412"/>
      <c r="AC742" s="420" t="e">
        <f aca="false">IF(ABS(t-ROUND(t,0))&lt;0.001,t,NA())</f>
        <v>#N/A</v>
      </c>
      <c r="AD742" s="425" t="e">
        <f aca="false">IF(ABS(t-ROUND(t,0))&lt;0.001,pos_x,NA())</f>
        <v>#N/A</v>
      </c>
      <c r="AE742" s="426" t="e">
        <f aca="false">IF(t&lt;T_para, pos_z, NA())</f>
        <v>#N/A</v>
      </c>
      <c r="AF742" s="412"/>
      <c r="AG742" s="418" t="n">
        <f aca="false">IF(AND(L741&lt;L_rampe,Poussee&lt;Poids*SIN(M741)),0,(-W741+Poussee)/m-Poids*SIN(M741)/m)</f>
        <v>1.89137992343043</v>
      </c>
      <c r="AH742" s="417" t="n">
        <f aca="false">IF(AND(L741&lt;L_rampe,Poussee&lt;Poids*SIN(M741)), g*SIN(M741), (-W741+Poussee)/m)</f>
        <v>-7.86891635400464</v>
      </c>
    </row>
    <row r="743" customFormat="false" ht="12" hidden="false" customHeight="false" outlineLevel="0" collapsed="false">
      <c r="A743" s="416" t="n">
        <f aca="false">IF(B742+0.01&lt;=T_ini+ROUNDUP(Temps_fin_propu,0), 0.01, IF(K742&gt;0, 0.1, 0.0001))</f>
        <v>0.0001</v>
      </c>
      <c r="B743" s="417" t="n">
        <f aca="false">B742+pas</f>
        <v>36.3016000000003</v>
      </c>
      <c r="C743" s="401"/>
      <c r="D743" s="418" t="n">
        <f aca="false">IF(AND(L742&lt;L_rampe,Poussee&lt;Poids*SIN(M742)),0,(-W742+Poussee)/m*COS(M742)-U742/m*SIN(M742))</f>
        <v>-0.791111183902618</v>
      </c>
      <c r="E743" s="419" t="n">
        <f aca="false">IF(AND(L742&lt;L_rampe,Poussee&lt;Poids*SIN(M742)),0,(-W742+Poussee)/m*SIN(M742)+U742/m*COS(M742)-Poids/m)</f>
        <v>-1.98091843928042</v>
      </c>
      <c r="F743" s="417" t="n">
        <f aca="false">SQRT(acc_x^2+acc_z^2)</f>
        <v>2.13304823395464</v>
      </c>
      <c r="G743" s="418" t="n">
        <f aca="false">G742+acc_x*pas</f>
        <v>12.4757519029258</v>
      </c>
      <c r="H743" s="419" t="n">
        <f aca="false">H742+acc_z*pas</f>
        <v>-123.464889950795</v>
      </c>
      <c r="I743" s="417" t="n">
        <f aca="false">SQRT(vit_x^2+vit_z^2)</f>
        <v>124.093607555367</v>
      </c>
      <c r="J743" s="418" t="n">
        <f aca="false">J742+0.5*(vit_x+G742)*pas*(K742&gt;=0)</f>
        <v>913.614336176273</v>
      </c>
      <c r="K743" s="419" t="n">
        <f aca="false">K742+0.5*(vit_z+H742)*pas</f>
        <v>-8.90360096669169</v>
      </c>
      <c r="L743" s="417" t="n">
        <f aca="false">SQRT(pos_x^2+pos_z^2)</f>
        <v>913.657720033595</v>
      </c>
      <c r="M743" s="418" t="n">
        <f aca="false">IF(AND(L742&gt;L_rampe,G743&gt;0),ATAN2(G743,H743),$M$4)</f>
        <v>-1.4700911872019</v>
      </c>
      <c r="N743" s="417" t="n">
        <f aca="false">DEGREES(Beta)</f>
        <v>-84.2300205260454</v>
      </c>
      <c r="O743" s="401"/>
      <c r="P743" s="420" t="n">
        <f aca="false">MATCH(t-pas/2-T_ini,CdP_t)</f>
        <v>23</v>
      </c>
      <c r="Q743" s="417" t="n">
        <f aca="false">(INDEX(CdP,2,i_P+1)-INDEX(CdP,2,i_P+0))/(INDEX(CdP,1,i_P+1)-INDEX(CdP,1,i_P+0))*(t-pas/2-T_ini-INDEX(CdP,1,i_P+0))+INDEX(CdP,2,i_P+0)</f>
        <v>0</v>
      </c>
      <c r="R743" s="418" t="n">
        <f aca="false">Poussee/(g*ISP)</f>
        <v>0</v>
      </c>
      <c r="S743" s="419" t="n">
        <f aca="false">S742-Débit*pas</f>
        <v>7.37799999999998</v>
      </c>
      <c r="T743" s="417" t="n">
        <f aca="false">m*g</f>
        <v>72.3781799999998</v>
      </c>
      <c r="U743" s="421" t="n">
        <f aca="false">IF(pos_xz&lt;L_rampe,Poids*COS(Beta),0)</f>
        <v>0</v>
      </c>
      <c r="V743" s="418" t="n">
        <f aca="false">Rho_moyen*(20000-Alt_rampe-pos_z)/(20000+Alt_rampe+pos_z)</f>
        <v>1.2260911768886</v>
      </c>
      <c r="W743" s="417" t="n">
        <f aca="false">1/2*Rho*Sref*Cx*vit_xz^2</f>
        <v>58.0573621698261</v>
      </c>
      <c r="X743" s="401"/>
      <c r="Y743" s="422" t="str">
        <f aca="false">IF(AND(pos_z&lt;=0,K742&gt;0),"Impact balistique","") &amp; IF(AND(H744&lt;0,vit_z&gt;=0),"Apogée","") &amp; IF(AND(Poussee=0,Q742&gt;0),"Fin de propulsion","") &amp; IF(AND(L744&gt;L_rampe,pos_xz&lt;=L_rampe),"Sortie de rampe","")</f>
        <v/>
      </c>
      <c r="Z743" s="423" t="str">
        <f aca="false">IF(ABS(t-T_para)&lt;pas/2,"Para","")</f>
        <v/>
      </c>
      <c r="AA743" s="424" t="str">
        <f aca="false">IF(ABS(t-T_satellite)&lt;pas/2,"Satellite","")</f>
        <v/>
      </c>
      <c r="AB743" s="412"/>
      <c r="AC743" s="420" t="e">
        <f aca="false">IF(ABS(t-ROUND(t,0))&lt;0.001,t,NA())</f>
        <v>#N/A</v>
      </c>
      <c r="AD743" s="425" t="e">
        <f aca="false">IF(ABS(t-ROUND(t,0))&lt;0.001,pos_x,NA())</f>
        <v>#N/A</v>
      </c>
      <c r="AE743" s="426" t="e">
        <f aca="false">IF(t&lt;T_para, pos_z, NA())</f>
        <v>#N/A</v>
      </c>
      <c r="AF743" s="412"/>
      <c r="AG743" s="418" t="n">
        <f aca="false">IF(AND(L742&lt;L_rampe,Poussee&lt;Poids*SIN(M742)),0,(-W742+Poussee)/m-Poids*SIN(M742)/m)</f>
        <v>1.89134700491714</v>
      </c>
      <c r="AH743" s="417" t="n">
        <f aca="false">IF(AND(L742&lt;L_rampe,Poussee&lt;Poids*SIN(M742)), g*SIN(M742), (-W742+Poussee)/m)</f>
        <v>-7.86895005637316</v>
      </c>
    </row>
    <row r="744" customFormat="false" ht="12" hidden="false" customHeight="false" outlineLevel="0" collapsed="false">
      <c r="A744" s="416" t="n">
        <f aca="false">IF(B743+0.01&lt;=T_ini+ROUNDUP(Temps_fin_propu,0), 0.01, IF(K743&gt;0, 0.1, 0.0001))</f>
        <v>0.0001</v>
      </c>
      <c r="B744" s="417" t="n">
        <f aca="false">B743+pas</f>
        <v>36.3017000000003</v>
      </c>
      <c r="C744" s="401"/>
      <c r="D744" s="418" t="n">
        <f aca="false">IF(AND(L743&lt;L_rampe,Poussee&lt;Poids*SIN(M743)),0,(-W743+Poussee)/m*COS(M743)-U743/m*SIN(M743))</f>
        <v>-0.791108349837792</v>
      </c>
      <c r="E744" s="419" t="n">
        <f aca="false">IF(AND(L743&lt;L_rampe,Poussee&lt;Poids*SIN(M743)),0,(-W743+Poussee)/m*SIN(M743)+U743/m*COS(M743)-Poids/m)</f>
        <v>-1.98088427920952</v>
      </c>
      <c r="F744" s="417" t="n">
        <f aca="false">SQRT(acc_x^2+acc_z^2)</f>
        <v>2.13301545911006</v>
      </c>
      <c r="G744" s="418" t="n">
        <f aca="false">G743+acc_x*pas</f>
        <v>12.4756727920908</v>
      </c>
      <c r="H744" s="419" t="n">
        <f aca="false">H743+acc_z*pas</f>
        <v>-123.465088039223</v>
      </c>
      <c r="I744" s="417" t="n">
        <f aca="false">SQRT(vit_x^2+vit_z^2)</f>
        <v>124.093796686814</v>
      </c>
      <c r="J744" s="418" t="n">
        <f aca="false">J743+0.5*(vit_x+G743)*pas*(K743&gt;=0)</f>
        <v>913.614336176273</v>
      </c>
      <c r="K744" s="419" t="n">
        <f aca="false">K743+0.5*(vit_z+H743)*pas</f>
        <v>-8.91594746559119</v>
      </c>
      <c r="L744" s="417" t="n">
        <f aca="false">SQRT(pos_x^2+pos_z^2)</f>
        <v>913.657840433727</v>
      </c>
      <c r="M744" s="418" t="n">
        <f aca="false">IF(AND(L743&gt;L_rampe,G744&gt;0),ATAN2(G744,H744),$M$4)</f>
        <v>-1.47009198196236</v>
      </c>
      <c r="N744" s="417" t="n">
        <f aca="false">DEGREES(Beta)</f>
        <v>-84.2300660624657</v>
      </c>
      <c r="O744" s="401"/>
      <c r="P744" s="420" t="n">
        <f aca="false">MATCH(t-pas/2-T_ini,CdP_t)</f>
        <v>23</v>
      </c>
      <c r="Q744" s="417" t="n">
        <f aca="false">(INDEX(CdP,2,i_P+1)-INDEX(CdP,2,i_P+0))/(INDEX(CdP,1,i_P+1)-INDEX(CdP,1,i_P+0))*(t-pas/2-T_ini-INDEX(CdP,1,i_P+0))+INDEX(CdP,2,i_P+0)</f>
        <v>0</v>
      </c>
      <c r="R744" s="418" t="n">
        <f aca="false">Poussee/(g*ISP)</f>
        <v>0</v>
      </c>
      <c r="S744" s="419" t="n">
        <f aca="false">S743-Débit*pas</f>
        <v>7.37799999999998</v>
      </c>
      <c r="T744" s="417" t="n">
        <f aca="false">m*g</f>
        <v>72.3781799999998</v>
      </c>
      <c r="U744" s="421" t="n">
        <f aca="false">IF(pos_xz&lt;L_rampe,Poids*COS(Beta),0)</f>
        <v>0</v>
      </c>
      <c r="V744" s="418" t="n">
        <f aca="false">Rho_moyen*(20000-Alt_rampe-pos_z)/(20000+Alt_rampe+pos_z)</f>
        <v>1.22609269068317</v>
      </c>
      <c r="W744" s="417" t="n">
        <f aca="false">1/2*Rho*Sref*Cx*vit_xz^2</f>
        <v>58.0576108215612</v>
      </c>
      <c r="X744" s="401"/>
      <c r="Y744" s="422" t="str">
        <f aca="false">IF(AND(pos_z&lt;=0,K743&gt;0),"Impact balistique","") &amp; IF(AND(H745&lt;0,vit_z&gt;=0),"Apogée","") &amp; IF(AND(Poussee=0,Q743&gt;0),"Fin de propulsion","") &amp; IF(AND(L745&gt;L_rampe,pos_xz&lt;=L_rampe),"Sortie de rampe","")</f>
        <v/>
      </c>
      <c r="Z744" s="423" t="str">
        <f aca="false">IF(ABS(t-T_para)&lt;pas/2,"Para","")</f>
        <v/>
      </c>
      <c r="AA744" s="424" t="str">
        <f aca="false">IF(ABS(t-T_satellite)&lt;pas/2,"Satellite","")</f>
        <v/>
      </c>
      <c r="AB744" s="412"/>
      <c r="AC744" s="420" t="e">
        <f aca="false">IF(ABS(t-ROUND(t,0))&lt;0.001,t,NA())</f>
        <v>#N/A</v>
      </c>
      <c r="AD744" s="425" t="e">
        <f aca="false">IF(ABS(t-ROUND(t,0))&lt;0.001,pos_x,NA())</f>
        <v>#N/A</v>
      </c>
      <c r="AE744" s="426" t="e">
        <f aca="false">IF(t&lt;T_para, pos_z, NA())</f>
        <v>#N/A</v>
      </c>
      <c r="AF744" s="412"/>
      <c r="AG744" s="418" t="n">
        <f aca="false">IF(AND(L743&lt;L_rampe,Poussee&lt;Poids*SIN(M743)),0,(-W743+Poussee)/m-Poids*SIN(M743)/m)</f>
        <v>1.89131408668443</v>
      </c>
      <c r="AH744" s="417" t="n">
        <f aca="false">IF(AND(L743&lt;L_rampe,Poussee&lt;Poids*SIN(M743)), g*SIN(M743), (-W743+Poussee)/m)</f>
        <v>-7.86898375844757</v>
      </c>
    </row>
    <row r="745" customFormat="false" ht="12" hidden="false" customHeight="false" outlineLevel="0" collapsed="false">
      <c r="A745" s="416" t="n">
        <f aca="false">IF(B744+0.01&lt;=T_ini+ROUNDUP(Temps_fin_propu,0), 0.01, IF(K744&gt;0, 0.1, 0.0001))</f>
        <v>0.0001</v>
      </c>
      <c r="B745" s="417" t="n">
        <f aca="false">B744+pas</f>
        <v>36.3018000000003</v>
      </c>
      <c r="C745" s="401"/>
      <c r="D745" s="418" t="n">
        <f aca="false">IF(AND(L744&lt;L_rampe,Poussee&lt;Poids*SIN(M744)),0,(-W744+Poussee)/m*COS(M744)-U744/m*SIN(M744))</f>
        <v>-0.791105515748024</v>
      </c>
      <c r="E745" s="419" t="n">
        <f aca="false">IF(AND(L744&lt;L_rampe,Poussee&lt;Poids*SIN(M744)),0,(-W744+Poussee)/m*SIN(M744)+U744/m*COS(M744)-Poids/m)</f>
        <v>-1.98085011943671</v>
      </c>
      <c r="F745" s="417" t="n">
        <f aca="false">SQRT(acc_x^2+acc_z^2)</f>
        <v>2.13298268458029</v>
      </c>
      <c r="G745" s="418" t="n">
        <f aca="false">G744+acc_x*pas</f>
        <v>12.4755936815393</v>
      </c>
      <c r="H745" s="419" t="n">
        <f aca="false">H744+acc_z*pas</f>
        <v>-123.465286124235</v>
      </c>
      <c r="I745" s="417" t="n">
        <f aca="false">SQRT(vit_x^2+vit_z^2)</f>
        <v>124.093985814971</v>
      </c>
      <c r="J745" s="418" t="n">
        <f aca="false">J744+0.5*(vit_x+G744)*pas*(K744&gt;=0)</f>
        <v>913.614336176273</v>
      </c>
      <c r="K745" s="419" t="n">
        <f aca="false">K744+0.5*(vit_z+H744)*pas</f>
        <v>-8.92829398429936</v>
      </c>
      <c r="L745" s="417" t="n">
        <f aca="false">SQRT(pos_x^2+pos_z^2)</f>
        <v>913.657961000878</v>
      </c>
      <c r="M745" s="418" t="n">
        <f aca="false">IF(AND(L744&gt;L_rampe,G745&gt;0),ATAN2(G745,H745),$M$4)</f>
        <v>-1.47009277671536</v>
      </c>
      <c r="N745" s="417" t="n">
        <f aca="false">DEGREES(Beta)</f>
        <v>-84.2301115984584</v>
      </c>
      <c r="O745" s="401"/>
      <c r="P745" s="420" t="n">
        <f aca="false">MATCH(t-pas/2-T_ini,CdP_t)</f>
        <v>23</v>
      </c>
      <c r="Q745" s="417" t="n">
        <f aca="false">(INDEX(CdP,2,i_P+1)-INDEX(CdP,2,i_P+0))/(INDEX(CdP,1,i_P+1)-INDEX(CdP,1,i_P+0))*(t-pas/2-T_ini-INDEX(CdP,1,i_P+0))+INDEX(CdP,2,i_P+0)</f>
        <v>0</v>
      </c>
      <c r="R745" s="418" t="n">
        <f aca="false">Poussee/(g*ISP)</f>
        <v>0</v>
      </c>
      <c r="S745" s="419" t="n">
        <f aca="false">S744-Débit*pas</f>
        <v>7.37799999999998</v>
      </c>
      <c r="T745" s="417" t="n">
        <f aca="false">m*g</f>
        <v>72.3781799999998</v>
      </c>
      <c r="U745" s="421" t="n">
        <f aca="false">IF(pos_xz&lt;L_rampe,Poids*COS(Beta),0)</f>
        <v>0</v>
      </c>
      <c r="V745" s="418" t="n">
        <f aca="false">Rho_moyen*(20000-Alt_rampe-pos_z)/(20000+Alt_rampe+pos_z)</f>
        <v>1.22609420448204</v>
      </c>
      <c r="W745" s="417" t="n">
        <f aca="false">1/2*Rho*Sref*Cx*vit_xz^2</f>
        <v>58.0578594711264</v>
      </c>
      <c r="X745" s="401"/>
      <c r="Y745" s="422" t="str">
        <f aca="false">IF(AND(pos_z&lt;=0,K744&gt;0),"Impact balistique","") &amp; IF(AND(H746&lt;0,vit_z&gt;=0),"Apogée","") &amp; IF(AND(Poussee=0,Q744&gt;0),"Fin de propulsion","") &amp; IF(AND(L746&gt;L_rampe,pos_xz&lt;=L_rampe),"Sortie de rampe","")</f>
        <v/>
      </c>
      <c r="Z745" s="423" t="str">
        <f aca="false">IF(ABS(t-T_para)&lt;pas/2,"Para","")</f>
        <v/>
      </c>
      <c r="AA745" s="424" t="str">
        <f aca="false">IF(ABS(t-T_satellite)&lt;pas/2,"Satellite","")</f>
        <v/>
      </c>
      <c r="AB745" s="412"/>
      <c r="AC745" s="420" t="e">
        <f aca="false">IF(ABS(t-ROUND(t,0))&lt;0.001,t,NA())</f>
        <v>#N/A</v>
      </c>
      <c r="AD745" s="425" t="e">
        <f aca="false">IF(ABS(t-ROUND(t,0))&lt;0.001,pos_x,NA())</f>
        <v>#N/A</v>
      </c>
      <c r="AE745" s="426" t="e">
        <f aca="false">IF(t&lt;T_para, pos_z, NA())</f>
        <v>#N/A</v>
      </c>
      <c r="AF745" s="412"/>
      <c r="AG745" s="418" t="n">
        <f aca="false">IF(AND(L744&lt;L_rampe,Poussee&lt;Poids*SIN(M744)),0,(-W744+Poussee)/m-Poids*SIN(M744)/m)</f>
        <v>1.89128116873231</v>
      </c>
      <c r="AH745" s="417" t="n">
        <f aca="false">IF(AND(L744&lt;L_rampe,Poussee&lt;Poids*SIN(M744)), g*SIN(M744), (-W744+Poussee)/m)</f>
        <v>-7.86901746022788</v>
      </c>
    </row>
    <row r="746" customFormat="false" ht="12" hidden="false" customHeight="false" outlineLevel="0" collapsed="false">
      <c r="A746" s="416" t="n">
        <f aca="false">IF(B745+0.01&lt;=T_ini+ROUNDUP(Temps_fin_propu,0), 0.01, IF(K745&gt;0, 0.1, 0.0001))</f>
        <v>0.0001</v>
      </c>
      <c r="B746" s="417" t="n">
        <f aca="false">B745+pas</f>
        <v>36.3019000000003</v>
      </c>
      <c r="C746" s="401"/>
      <c r="D746" s="418" t="n">
        <f aca="false">IF(AND(L745&lt;L_rampe,Poussee&lt;Poids*SIN(M745)),0,(-W745+Poussee)/m*COS(M745)-U745/m*SIN(M745))</f>
        <v>-0.791102681633313</v>
      </c>
      <c r="E746" s="419" t="n">
        <f aca="false">IF(AND(L745&lt;L_rampe,Poussee&lt;Poids*SIN(M745)),0,(-W745+Poussee)/m*SIN(M745)+U745/m*COS(M745)-Poids/m)</f>
        <v>-1.98081595996196</v>
      </c>
      <c r="F746" s="417" t="n">
        <f aca="false">SQRT(acc_x^2+acc_z^2)</f>
        <v>2.13294991036532</v>
      </c>
      <c r="G746" s="418" t="n">
        <f aca="false">G745+acc_x*pas</f>
        <v>12.4755145712711</v>
      </c>
      <c r="H746" s="419" t="n">
        <f aca="false">H745+acc_z*pas</f>
        <v>-123.465484205831</v>
      </c>
      <c r="I746" s="417" t="n">
        <f aca="false">SQRT(vit_x^2+vit_z^2)</f>
        <v>124.094174939835</v>
      </c>
      <c r="J746" s="418" t="n">
        <f aca="false">J745+0.5*(vit_x+G745)*pas*(K745&gt;=0)</f>
        <v>913.614336176273</v>
      </c>
      <c r="K746" s="419" t="n">
        <f aca="false">K745+0.5*(vit_z+H745)*pas</f>
        <v>-8.94064052281587</v>
      </c>
      <c r="L746" s="417" t="n">
        <f aca="false">SQRT(pos_x^2+pos_z^2)</f>
        <v>913.658081735049</v>
      </c>
      <c r="M746" s="418" t="n">
        <f aca="false">IF(AND(L745&gt;L_rampe,G746&gt;0),ATAN2(G746,H746),$M$4)</f>
        <v>-1.4700935714609</v>
      </c>
      <c r="N746" s="417" t="n">
        <f aca="false">DEGREES(Beta)</f>
        <v>-84.2301571340236</v>
      </c>
      <c r="O746" s="401"/>
      <c r="P746" s="420" t="n">
        <f aca="false">MATCH(t-pas/2-T_ini,CdP_t)</f>
        <v>23</v>
      </c>
      <c r="Q746" s="417" t="n">
        <f aca="false">(INDEX(CdP,2,i_P+1)-INDEX(CdP,2,i_P+0))/(INDEX(CdP,1,i_P+1)-INDEX(CdP,1,i_P+0))*(t-pas/2-T_ini-INDEX(CdP,1,i_P+0))+INDEX(CdP,2,i_P+0)</f>
        <v>0</v>
      </c>
      <c r="R746" s="418" t="n">
        <f aca="false">Poussee/(g*ISP)</f>
        <v>0</v>
      </c>
      <c r="S746" s="419" t="n">
        <f aca="false">S745-Débit*pas</f>
        <v>7.37799999999998</v>
      </c>
      <c r="T746" s="417" t="n">
        <f aca="false">m*g</f>
        <v>72.3781799999998</v>
      </c>
      <c r="U746" s="421" t="n">
        <f aca="false">IF(pos_xz&lt;L_rampe,Poids*COS(Beta),0)</f>
        <v>0</v>
      </c>
      <c r="V746" s="418" t="n">
        <f aca="false">Rho_moyen*(20000-Alt_rampe-pos_z)/(20000+Alt_rampe+pos_z)</f>
        <v>1.22609571828521</v>
      </c>
      <c r="W746" s="417" t="n">
        <f aca="false">1/2*Rho*Sref*Cx*vit_xz^2</f>
        <v>58.0581081185217</v>
      </c>
      <c r="X746" s="401"/>
      <c r="Y746" s="422" t="str">
        <f aca="false">IF(AND(pos_z&lt;=0,K745&gt;0),"Impact balistique","") &amp; IF(AND(H747&lt;0,vit_z&gt;=0),"Apogée","") &amp; IF(AND(Poussee=0,Q745&gt;0),"Fin de propulsion","") &amp; IF(AND(L747&gt;L_rampe,pos_xz&lt;=L_rampe),"Sortie de rampe","")</f>
        <v/>
      </c>
      <c r="Z746" s="423" t="str">
        <f aca="false">IF(ABS(t-T_para)&lt;pas/2,"Para","")</f>
        <v/>
      </c>
      <c r="AA746" s="424" t="str">
        <f aca="false">IF(ABS(t-T_satellite)&lt;pas/2,"Satellite","")</f>
        <v/>
      </c>
      <c r="AB746" s="412"/>
      <c r="AC746" s="420" t="e">
        <f aca="false">IF(ABS(t-ROUND(t,0))&lt;0.001,t,NA())</f>
        <v>#N/A</v>
      </c>
      <c r="AD746" s="425" t="e">
        <f aca="false">IF(ABS(t-ROUND(t,0))&lt;0.001,pos_x,NA())</f>
        <v>#N/A</v>
      </c>
      <c r="AE746" s="426" t="e">
        <f aca="false">IF(t&lt;T_para, pos_z, NA())</f>
        <v>#N/A</v>
      </c>
      <c r="AF746" s="412"/>
      <c r="AG746" s="418" t="n">
        <f aca="false">IF(AND(L745&lt;L_rampe,Poussee&lt;Poids*SIN(M745)),0,(-W745+Poussee)/m-Poids*SIN(M745)/m)</f>
        <v>1.89124825106075</v>
      </c>
      <c r="AH746" s="417" t="n">
        <f aca="false">IF(AND(L745&lt;L_rampe,Poussee&lt;Poids*SIN(M745)), g*SIN(M745), (-W745+Poussee)/m)</f>
        <v>-7.86905116171409</v>
      </c>
    </row>
    <row r="747" customFormat="false" ht="12" hidden="false" customHeight="false" outlineLevel="0" collapsed="false">
      <c r="A747" s="416" t="n">
        <f aca="false">IF(B746+0.01&lt;=T_ini+ROUNDUP(Temps_fin_propu,0), 0.01, IF(K746&gt;0, 0.1, 0.0001))</f>
        <v>0.0001</v>
      </c>
      <c r="B747" s="417" t="n">
        <f aca="false">B746+pas</f>
        <v>36.3020000000003</v>
      </c>
      <c r="C747" s="401"/>
      <c r="D747" s="418" t="n">
        <f aca="false">IF(AND(L746&lt;L_rampe,Poussee&lt;Poids*SIN(M746)),0,(-W746+Poussee)/m*COS(M746)-U746/m*SIN(M746))</f>
        <v>-0.791099847493662</v>
      </c>
      <c r="E747" s="419" t="n">
        <f aca="false">IF(AND(L746&lt;L_rampe,Poussee&lt;Poids*SIN(M746)),0,(-W746+Poussee)/m*SIN(M746)+U746/m*COS(M746)-Poids/m)</f>
        <v>-1.98078180078529</v>
      </c>
      <c r="F747" s="417" t="n">
        <f aca="false">SQRT(acc_x^2+acc_z^2)</f>
        <v>2.13291713646515</v>
      </c>
      <c r="G747" s="418" t="n">
        <f aca="false">G746+acc_x*pas</f>
        <v>12.4754354612864</v>
      </c>
      <c r="H747" s="419" t="n">
        <f aca="false">H746+acc_z*pas</f>
        <v>-123.465682284011</v>
      </c>
      <c r="I747" s="417" t="n">
        <f aca="false">SQRT(vit_x^2+vit_z^2)</f>
        <v>124.094364061407</v>
      </c>
      <c r="J747" s="418" t="n">
        <f aca="false">J746+0.5*(vit_x+G746)*pas*(K746&gt;=0)</f>
        <v>913.614336176273</v>
      </c>
      <c r="K747" s="419" t="n">
        <f aca="false">K746+0.5*(vit_z+H746)*pas</f>
        <v>-8.95298708114036</v>
      </c>
      <c r="L747" s="417" t="n">
        <f aca="false">SQRT(pos_x^2+pos_z^2)</f>
        <v>913.658202636242</v>
      </c>
      <c r="M747" s="418" t="n">
        <f aca="false">IF(AND(L746&gt;L_rampe,G747&gt;0),ATAN2(G747,H747),$M$4)</f>
        <v>-1.47009436619898</v>
      </c>
      <c r="N747" s="417" t="n">
        <f aca="false">DEGREES(Beta)</f>
        <v>-84.2302026691613</v>
      </c>
      <c r="O747" s="401"/>
      <c r="P747" s="420" t="n">
        <f aca="false">MATCH(t-pas/2-T_ini,CdP_t)</f>
        <v>23</v>
      </c>
      <c r="Q747" s="417" t="n">
        <f aca="false">(INDEX(CdP,2,i_P+1)-INDEX(CdP,2,i_P+0))/(INDEX(CdP,1,i_P+1)-INDEX(CdP,1,i_P+0))*(t-pas/2-T_ini-INDEX(CdP,1,i_P+0))+INDEX(CdP,2,i_P+0)</f>
        <v>0</v>
      </c>
      <c r="R747" s="418" t="n">
        <f aca="false">Poussee/(g*ISP)</f>
        <v>0</v>
      </c>
      <c r="S747" s="419" t="n">
        <f aca="false">S746-Débit*pas</f>
        <v>7.37799999999998</v>
      </c>
      <c r="T747" s="417" t="n">
        <f aca="false">m*g</f>
        <v>72.3781799999998</v>
      </c>
      <c r="U747" s="421" t="n">
        <f aca="false">IF(pos_xz&lt;L_rampe,Poids*COS(Beta),0)</f>
        <v>0</v>
      </c>
      <c r="V747" s="418" t="n">
        <f aca="false">Rho_moyen*(20000-Alt_rampe-pos_z)/(20000+Alt_rampe+pos_z)</f>
        <v>1.22609723209268</v>
      </c>
      <c r="W747" s="417" t="n">
        <f aca="false">1/2*Rho*Sref*Cx*vit_xz^2</f>
        <v>58.0583567637472</v>
      </c>
      <c r="X747" s="401"/>
      <c r="Y747" s="422" t="str">
        <f aca="false">IF(AND(pos_z&lt;=0,K746&gt;0),"Impact balistique","") &amp; IF(AND(H748&lt;0,vit_z&gt;=0),"Apogée","") &amp; IF(AND(Poussee=0,Q746&gt;0),"Fin de propulsion","") &amp; IF(AND(L748&gt;L_rampe,pos_xz&lt;=L_rampe),"Sortie de rampe","")</f>
        <v/>
      </c>
      <c r="Z747" s="423" t="str">
        <f aca="false">IF(ABS(t-T_para)&lt;pas/2,"Para","")</f>
        <v/>
      </c>
      <c r="AA747" s="424" t="str">
        <f aca="false">IF(ABS(t-T_satellite)&lt;pas/2,"Satellite","")</f>
        <v/>
      </c>
      <c r="AB747" s="412"/>
      <c r="AC747" s="420" t="e">
        <f aca="false">IF(ABS(t-ROUND(t,0))&lt;0.001,t,NA())</f>
        <v>#N/A</v>
      </c>
      <c r="AD747" s="425" t="e">
        <f aca="false">IF(ABS(t-ROUND(t,0))&lt;0.001,pos_x,NA())</f>
        <v>#N/A</v>
      </c>
      <c r="AE747" s="426" t="e">
        <f aca="false">IF(t&lt;T_para, pos_z, NA())</f>
        <v>#N/A</v>
      </c>
      <c r="AF747" s="412"/>
      <c r="AG747" s="418" t="n">
        <f aca="false">IF(AND(L746&lt;L_rampe,Poussee&lt;Poids*SIN(M746)),0,(-W746+Poussee)/m-Poids*SIN(M746)/m)</f>
        <v>1.89121533366978</v>
      </c>
      <c r="AH747" s="417" t="n">
        <f aca="false">IF(AND(L746&lt;L_rampe,Poussee&lt;Poids*SIN(M746)), g*SIN(M746), (-W746+Poussee)/m)</f>
        <v>-7.86908486290619</v>
      </c>
    </row>
    <row r="748" customFormat="false" ht="12" hidden="false" customHeight="false" outlineLevel="0" collapsed="false">
      <c r="A748" s="416" t="n">
        <f aca="false">IF(B747+0.01&lt;=T_ini+ROUNDUP(Temps_fin_propu,0), 0.01, IF(K747&gt;0, 0.1, 0.0001))</f>
        <v>0.0001</v>
      </c>
      <c r="B748" s="417" t="n">
        <f aca="false">B747+pas</f>
        <v>36.3021000000003</v>
      </c>
      <c r="C748" s="401"/>
      <c r="D748" s="418" t="n">
        <f aca="false">IF(AND(L747&lt;L_rampe,Poussee&lt;Poids*SIN(M747)),0,(-W747+Poussee)/m*COS(M747)-U747/m*SIN(M747))</f>
        <v>-0.79109701332907</v>
      </c>
      <c r="E748" s="419" t="n">
        <f aca="false">IF(AND(L747&lt;L_rampe,Poussee&lt;Poids*SIN(M747)),0,(-W747+Poussee)/m*SIN(M747)+U747/m*COS(M747)-Poids/m)</f>
        <v>-1.9807476419067</v>
      </c>
      <c r="F748" s="417" t="n">
        <f aca="false">SQRT(acc_x^2+acc_z^2)</f>
        <v>2.13288436287979</v>
      </c>
      <c r="G748" s="418" t="n">
        <f aca="false">G747+acc_x*pas</f>
        <v>12.475356351585</v>
      </c>
      <c r="H748" s="419" t="n">
        <f aca="false">H747+acc_z*pas</f>
        <v>-123.465880358775</v>
      </c>
      <c r="I748" s="417" t="n">
        <f aca="false">SQRT(vit_x^2+vit_z^2)</f>
        <v>124.094553179688</v>
      </c>
      <c r="J748" s="418" t="n">
        <f aca="false">J747+0.5*(vit_x+G747)*pas*(K747&gt;=0)</f>
        <v>913.614336176273</v>
      </c>
      <c r="K748" s="419" t="n">
        <f aca="false">K747+0.5*(vit_z+H747)*pas</f>
        <v>-8.9653336592725</v>
      </c>
      <c r="L748" s="417" t="n">
        <f aca="false">SQRT(pos_x^2+pos_z^2)</f>
        <v>913.658323704455</v>
      </c>
      <c r="M748" s="418" t="n">
        <f aca="false">IF(AND(L747&gt;L_rampe,G748&gt;0),ATAN2(G748,H748),$M$4)</f>
        <v>-1.4700951609296</v>
      </c>
      <c r="N748" s="417" t="n">
        <f aca="false">DEGREES(Beta)</f>
        <v>-84.2302482038714</v>
      </c>
      <c r="O748" s="401"/>
      <c r="P748" s="420" t="n">
        <f aca="false">MATCH(t-pas/2-T_ini,CdP_t)</f>
        <v>23</v>
      </c>
      <c r="Q748" s="417" t="n">
        <f aca="false">(INDEX(CdP,2,i_P+1)-INDEX(CdP,2,i_P+0))/(INDEX(CdP,1,i_P+1)-INDEX(CdP,1,i_P+0))*(t-pas/2-T_ini-INDEX(CdP,1,i_P+0))+INDEX(CdP,2,i_P+0)</f>
        <v>0</v>
      </c>
      <c r="R748" s="418" t="n">
        <f aca="false">Poussee/(g*ISP)</f>
        <v>0</v>
      </c>
      <c r="S748" s="419" t="n">
        <f aca="false">S747-Débit*pas</f>
        <v>7.37799999999998</v>
      </c>
      <c r="T748" s="417" t="n">
        <f aca="false">m*g</f>
        <v>72.3781799999998</v>
      </c>
      <c r="U748" s="421" t="n">
        <f aca="false">IF(pos_xz&lt;L_rampe,Poids*COS(Beta),0)</f>
        <v>0</v>
      </c>
      <c r="V748" s="418" t="n">
        <f aca="false">Rho_moyen*(20000-Alt_rampe-pos_z)/(20000+Alt_rampe+pos_z)</f>
        <v>1.22609874590444</v>
      </c>
      <c r="W748" s="417" t="n">
        <f aca="false">1/2*Rho*Sref*Cx*vit_xz^2</f>
        <v>58.0586054068027</v>
      </c>
      <c r="X748" s="401"/>
      <c r="Y748" s="422" t="str">
        <f aca="false">IF(AND(pos_z&lt;=0,K747&gt;0),"Impact balistique","") &amp; IF(AND(H749&lt;0,vit_z&gt;=0),"Apogée","") &amp; IF(AND(Poussee=0,Q747&gt;0),"Fin de propulsion","") &amp; IF(AND(L749&gt;L_rampe,pos_xz&lt;=L_rampe),"Sortie de rampe","")</f>
        <v/>
      </c>
      <c r="Z748" s="423" t="str">
        <f aca="false">IF(ABS(t-T_para)&lt;pas/2,"Para","")</f>
        <v/>
      </c>
      <c r="AA748" s="424" t="str">
        <f aca="false">IF(ABS(t-T_satellite)&lt;pas/2,"Satellite","")</f>
        <v/>
      </c>
      <c r="AB748" s="412"/>
      <c r="AC748" s="420" t="e">
        <f aca="false">IF(ABS(t-ROUND(t,0))&lt;0.001,t,NA())</f>
        <v>#N/A</v>
      </c>
      <c r="AD748" s="425" t="e">
        <f aca="false">IF(ABS(t-ROUND(t,0))&lt;0.001,pos_x,NA())</f>
        <v>#N/A</v>
      </c>
      <c r="AE748" s="426" t="e">
        <f aca="false">IF(t&lt;T_para, pos_z, NA())</f>
        <v>#N/A</v>
      </c>
      <c r="AF748" s="412"/>
      <c r="AG748" s="418" t="n">
        <f aca="false">IF(AND(L747&lt;L_rampe,Poussee&lt;Poids*SIN(M747)),0,(-W747+Poussee)/m-Poids*SIN(M747)/m)</f>
        <v>1.89118241655939</v>
      </c>
      <c r="AH748" s="417" t="n">
        <f aca="false">IF(AND(L747&lt;L_rampe,Poussee&lt;Poids*SIN(M747)), g*SIN(M747), (-W747+Poussee)/m)</f>
        <v>-7.86911856380419</v>
      </c>
    </row>
    <row r="749" customFormat="false" ht="12" hidden="false" customHeight="false" outlineLevel="0" collapsed="false">
      <c r="A749" s="416" t="n">
        <f aca="false">IF(B748+0.01&lt;=T_ini+ROUNDUP(Temps_fin_propu,0), 0.01, IF(K748&gt;0, 0.1, 0.0001))</f>
        <v>0.0001</v>
      </c>
      <c r="B749" s="417" t="n">
        <f aca="false">B748+pas</f>
        <v>36.3022000000003</v>
      </c>
      <c r="C749" s="401"/>
      <c r="D749" s="418" t="n">
        <f aca="false">IF(AND(L748&lt;L_rampe,Poussee&lt;Poids*SIN(M748)),0,(-W748+Poussee)/m*COS(M748)-U748/m*SIN(M748))</f>
        <v>-0.791094179139538</v>
      </c>
      <c r="E749" s="419" t="n">
        <f aca="false">IF(AND(L748&lt;L_rampe,Poussee&lt;Poids*SIN(M748)),0,(-W748+Poussee)/m*SIN(M748)+U748/m*COS(M748)-Poids/m)</f>
        <v>-1.98071348332618</v>
      </c>
      <c r="F749" s="417" t="n">
        <f aca="false">SQRT(acc_x^2+acc_z^2)</f>
        <v>2.13285158960923</v>
      </c>
      <c r="G749" s="418" t="n">
        <f aca="false">G748+acc_x*pas</f>
        <v>12.4752772421671</v>
      </c>
      <c r="H749" s="419" t="n">
        <f aca="false">H748+acc_z*pas</f>
        <v>-123.466078430124</v>
      </c>
      <c r="I749" s="417" t="n">
        <f aca="false">SQRT(vit_x^2+vit_z^2)</f>
        <v>124.094742294677</v>
      </c>
      <c r="J749" s="418" t="n">
        <f aca="false">J748+0.5*(vit_x+G748)*pas*(K748&gt;=0)</f>
        <v>913.614336176273</v>
      </c>
      <c r="K749" s="419" t="n">
        <f aca="false">K748+0.5*(vit_z+H748)*pas</f>
        <v>-8.97768025721194</v>
      </c>
      <c r="L749" s="417" t="n">
        <f aca="false">SQRT(pos_x^2+pos_z^2)</f>
        <v>913.65844493969</v>
      </c>
      <c r="M749" s="418" t="n">
        <f aca="false">IF(AND(L748&gt;L_rampe,G749&gt;0),ATAN2(G749,H749),$M$4)</f>
        <v>-1.47009595565275</v>
      </c>
      <c r="N749" s="417" t="n">
        <f aca="false">DEGREES(Beta)</f>
        <v>-84.230293738154</v>
      </c>
      <c r="O749" s="401"/>
      <c r="P749" s="420" t="n">
        <f aca="false">MATCH(t-pas/2-T_ini,CdP_t)</f>
        <v>23</v>
      </c>
      <c r="Q749" s="417" t="n">
        <f aca="false">(INDEX(CdP,2,i_P+1)-INDEX(CdP,2,i_P+0))/(INDEX(CdP,1,i_P+1)-INDEX(CdP,1,i_P+0))*(t-pas/2-T_ini-INDEX(CdP,1,i_P+0))+INDEX(CdP,2,i_P+0)</f>
        <v>0</v>
      </c>
      <c r="R749" s="418" t="n">
        <f aca="false">Poussee/(g*ISP)</f>
        <v>0</v>
      </c>
      <c r="S749" s="419" t="n">
        <f aca="false">S748-Débit*pas</f>
        <v>7.37799999999998</v>
      </c>
      <c r="T749" s="417" t="n">
        <f aca="false">m*g</f>
        <v>72.3781799999998</v>
      </c>
      <c r="U749" s="421" t="n">
        <f aca="false">IF(pos_xz&lt;L_rampe,Poids*COS(Beta),0)</f>
        <v>0</v>
      </c>
      <c r="V749" s="418" t="n">
        <f aca="false">Rho_moyen*(20000-Alt_rampe-pos_z)/(20000+Alt_rampe+pos_z)</f>
        <v>1.22610025972051</v>
      </c>
      <c r="W749" s="417" t="n">
        <f aca="false">1/2*Rho*Sref*Cx*vit_xz^2</f>
        <v>58.0588540476884</v>
      </c>
      <c r="X749" s="401"/>
      <c r="Y749" s="422" t="str">
        <f aca="false">IF(AND(pos_z&lt;=0,K748&gt;0),"Impact balistique","") &amp; IF(AND(H750&lt;0,vit_z&gt;=0),"Apogée","") &amp; IF(AND(Poussee=0,Q748&gt;0),"Fin de propulsion","") &amp; IF(AND(L750&gt;L_rampe,pos_xz&lt;=L_rampe),"Sortie de rampe","")</f>
        <v/>
      </c>
      <c r="Z749" s="423" t="str">
        <f aca="false">IF(ABS(t-T_para)&lt;pas/2,"Para","")</f>
        <v/>
      </c>
      <c r="AA749" s="424" t="str">
        <f aca="false">IF(ABS(t-T_satellite)&lt;pas/2,"Satellite","")</f>
        <v/>
      </c>
      <c r="AB749" s="412"/>
      <c r="AC749" s="420" t="e">
        <f aca="false">IF(ABS(t-ROUND(t,0))&lt;0.001,t,NA())</f>
        <v>#N/A</v>
      </c>
      <c r="AD749" s="425" t="e">
        <f aca="false">IF(ABS(t-ROUND(t,0))&lt;0.001,pos_x,NA())</f>
        <v>#N/A</v>
      </c>
      <c r="AE749" s="426" t="e">
        <f aca="false">IF(t&lt;T_para, pos_z, NA())</f>
        <v>#N/A</v>
      </c>
      <c r="AF749" s="412"/>
      <c r="AG749" s="418" t="n">
        <f aca="false">IF(AND(L748&lt;L_rampe,Poussee&lt;Poids*SIN(M748)),0,(-W748+Poussee)/m-Poids*SIN(M748)/m)</f>
        <v>1.89114949972958</v>
      </c>
      <c r="AH749" s="417" t="n">
        <f aca="false">IF(AND(L748&lt;L_rampe,Poussee&lt;Poids*SIN(M748)), g*SIN(M748), (-W748+Poussee)/m)</f>
        <v>-7.86915226440809</v>
      </c>
    </row>
    <row r="750" customFormat="false" ht="12" hidden="false" customHeight="false" outlineLevel="0" collapsed="false">
      <c r="A750" s="416" t="n">
        <f aca="false">IF(B749+0.01&lt;=T_ini+ROUNDUP(Temps_fin_propu,0), 0.01, IF(K749&gt;0, 0.1, 0.0001))</f>
        <v>0.0001</v>
      </c>
      <c r="B750" s="417" t="n">
        <f aca="false">B749+pas</f>
        <v>36.3023000000003</v>
      </c>
      <c r="C750" s="401"/>
      <c r="D750" s="418" t="n">
        <f aca="false">IF(AND(L749&lt;L_rampe,Poussee&lt;Poids*SIN(M749)),0,(-W749+Poussee)/m*COS(M749)-U749/m*SIN(M749))</f>
        <v>-0.791091344925067</v>
      </c>
      <c r="E750" s="419" t="n">
        <f aca="false">IF(AND(L749&lt;L_rampe,Poussee&lt;Poids*SIN(M749)),0,(-W749+Poussee)/m*SIN(M749)+U749/m*COS(M749)-Poids/m)</f>
        <v>-1.98067932504374</v>
      </c>
      <c r="F750" s="417" t="n">
        <f aca="false">SQRT(acc_x^2+acc_z^2)</f>
        <v>2.13281881665346</v>
      </c>
      <c r="G750" s="418" t="n">
        <f aca="false">G749+acc_x*pas</f>
        <v>12.4751981330326</v>
      </c>
      <c r="H750" s="419" t="n">
        <f aca="false">H749+acc_z*pas</f>
        <v>-123.466276498056</v>
      </c>
      <c r="I750" s="417" t="n">
        <f aca="false">SQRT(vit_x^2+vit_z^2)</f>
        <v>124.094931406375</v>
      </c>
      <c r="J750" s="418" t="n">
        <f aca="false">J749+0.5*(vit_x+G749)*pas*(K749&gt;=0)</f>
        <v>913.614336176273</v>
      </c>
      <c r="K750" s="419" t="n">
        <f aca="false">K749+0.5*(vit_z+H749)*pas</f>
        <v>-8.99002687495835</v>
      </c>
      <c r="L750" s="417" t="n">
        <f aca="false">SQRT(pos_x^2+pos_z^2)</f>
        <v>913.658566341949</v>
      </c>
      <c r="M750" s="418" t="n">
        <f aca="false">IF(AND(L749&gt;L_rampe,G750&gt;0),ATAN2(G750,H750),$M$4)</f>
        <v>-1.47009675036844</v>
      </c>
      <c r="N750" s="417" t="n">
        <f aca="false">DEGREES(Beta)</f>
        <v>-84.2303392720091</v>
      </c>
      <c r="O750" s="401"/>
      <c r="P750" s="420" t="n">
        <f aca="false">MATCH(t-pas/2-T_ini,CdP_t)</f>
        <v>23</v>
      </c>
      <c r="Q750" s="417" t="n">
        <f aca="false">(INDEX(CdP,2,i_P+1)-INDEX(CdP,2,i_P+0))/(INDEX(CdP,1,i_P+1)-INDEX(CdP,1,i_P+0))*(t-pas/2-T_ini-INDEX(CdP,1,i_P+0))+INDEX(CdP,2,i_P+0)</f>
        <v>0</v>
      </c>
      <c r="R750" s="418" t="n">
        <f aca="false">Poussee/(g*ISP)</f>
        <v>0</v>
      </c>
      <c r="S750" s="419" t="n">
        <f aca="false">S749-Débit*pas</f>
        <v>7.37799999999998</v>
      </c>
      <c r="T750" s="417" t="n">
        <f aca="false">m*g</f>
        <v>72.3781799999998</v>
      </c>
      <c r="U750" s="421" t="n">
        <f aca="false">IF(pos_xz&lt;L_rampe,Poids*COS(Beta),0)</f>
        <v>0</v>
      </c>
      <c r="V750" s="418" t="n">
        <f aca="false">Rho_moyen*(20000-Alt_rampe-pos_z)/(20000+Alt_rampe+pos_z)</f>
        <v>1.22610177354087</v>
      </c>
      <c r="W750" s="417" t="n">
        <f aca="false">1/2*Rho*Sref*Cx*vit_xz^2</f>
        <v>58.0591026864042</v>
      </c>
      <c r="X750" s="401"/>
      <c r="Y750" s="422" t="str">
        <f aca="false">IF(AND(pos_z&lt;=0,K749&gt;0),"Impact balistique","") &amp; IF(AND(H751&lt;0,vit_z&gt;=0),"Apogée","") &amp; IF(AND(Poussee=0,Q749&gt;0),"Fin de propulsion","") &amp; IF(AND(L751&gt;L_rampe,pos_xz&lt;=L_rampe),"Sortie de rampe","")</f>
        <v/>
      </c>
      <c r="Z750" s="423" t="str">
        <f aca="false">IF(ABS(t-T_para)&lt;pas/2,"Para","")</f>
        <v/>
      </c>
      <c r="AA750" s="424" t="str">
        <f aca="false">IF(ABS(t-T_satellite)&lt;pas/2,"Satellite","")</f>
        <v/>
      </c>
      <c r="AB750" s="412"/>
      <c r="AC750" s="420" t="e">
        <f aca="false">IF(ABS(t-ROUND(t,0))&lt;0.001,t,NA())</f>
        <v>#N/A</v>
      </c>
      <c r="AD750" s="425" t="e">
        <f aca="false">IF(ABS(t-ROUND(t,0))&lt;0.001,pos_x,NA())</f>
        <v>#N/A</v>
      </c>
      <c r="AE750" s="426" t="e">
        <f aca="false">IF(t&lt;T_para, pos_z, NA())</f>
        <v>#N/A</v>
      </c>
      <c r="AF750" s="412"/>
      <c r="AG750" s="418" t="n">
        <f aca="false">IF(AND(L749&lt;L_rampe,Poussee&lt;Poids*SIN(M749)),0,(-W749+Poussee)/m-Poids*SIN(M749)/m)</f>
        <v>1.89111658318035</v>
      </c>
      <c r="AH750" s="417" t="n">
        <f aca="false">IF(AND(L749&lt;L_rampe,Poussee&lt;Poids*SIN(M749)), g*SIN(M749), (-W749+Poussee)/m)</f>
        <v>-7.86918596471788</v>
      </c>
    </row>
    <row r="751" customFormat="false" ht="12" hidden="false" customHeight="false" outlineLevel="0" collapsed="false">
      <c r="A751" s="416" t="n">
        <f aca="false">IF(B750+0.01&lt;=T_ini+ROUNDUP(Temps_fin_propu,0), 0.01, IF(K750&gt;0, 0.1, 0.0001))</f>
        <v>0.0001</v>
      </c>
      <c r="B751" s="417" t="n">
        <f aca="false">B750+pas</f>
        <v>36.3024000000003</v>
      </c>
      <c r="C751" s="401"/>
      <c r="D751" s="418" t="n">
        <f aca="false">IF(AND(L750&lt;L_rampe,Poussee&lt;Poids*SIN(M750)),0,(-W750+Poussee)/m*COS(M750)-U750/m*SIN(M750))</f>
        <v>-0.791088510685656</v>
      </c>
      <c r="E751" s="419" t="n">
        <f aca="false">IF(AND(L750&lt;L_rampe,Poussee&lt;Poids*SIN(M750)),0,(-W750+Poussee)/m*SIN(M750)+U750/m*COS(M750)-Poids/m)</f>
        <v>-1.98064516705937</v>
      </c>
      <c r="F751" s="417" t="n">
        <f aca="false">SQRT(acc_x^2+acc_z^2)</f>
        <v>2.1327860440125</v>
      </c>
      <c r="G751" s="418" t="n">
        <f aca="false">G750+acc_x*pas</f>
        <v>12.4751190241816</v>
      </c>
      <c r="H751" s="419" t="n">
        <f aca="false">H750+acc_z*pas</f>
        <v>-123.466474562573</v>
      </c>
      <c r="I751" s="417" t="n">
        <f aca="false">SQRT(vit_x^2+vit_z^2)</f>
        <v>124.095120514781</v>
      </c>
      <c r="J751" s="418" t="n">
        <f aca="false">J750+0.5*(vit_x+G750)*pas*(K750&gt;=0)</f>
        <v>913.614336176273</v>
      </c>
      <c r="K751" s="419" t="n">
        <f aca="false">K750+0.5*(vit_z+H750)*pas</f>
        <v>-9.00237351251138</v>
      </c>
      <c r="L751" s="417" t="n">
        <f aca="false">SQRT(pos_x^2+pos_z^2)</f>
        <v>913.65868791123</v>
      </c>
      <c r="M751" s="418" t="n">
        <f aca="false">IF(AND(L750&gt;L_rampe,G751&gt;0),ATAN2(G751,H751),$M$4)</f>
        <v>-1.47009754507667</v>
      </c>
      <c r="N751" s="417" t="n">
        <f aca="false">DEGREES(Beta)</f>
        <v>-84.2303848054366</v>
      </c>
      <c r="O751" s="401"/>
      <c r="P751" s="420" t="n">
        <f aca="false">MATCH(t-pas/2-T_ini,CdP_t)</f>
        <v>23</v>
      </c>
      <c r="Q751" s="417" t="n">
        <f aca="false">(INDEX(CdP,2,i_P+1)-INDEX(CdP,2,i_P+0))/(INDEX(CdP,1,i_P+1)-INDEX(CdP,1,i_P+0))*(t-pas/2-T_ini-INDEX(CdP,1,i_P+0))+INDEX(CdP,2,i_P+0)</f>
        <v>0</v>
      </c>
      <c r="R751" s="418" t="n">
        <f aca="false">Poussee/(g*ISP)</f>
        <v>0</v>
      </c>
      <c r="S751" s="419" t="n">
        <f aca="false">S750-Débit*pas</f>
        <v>7.37799999999998</v>
      </c>
      <c r="T751" s="417" t="n">
        <f aca="false">m*g</f>
        <v>72.3781799999998</v>
      </c>
      <c r="U751" s="421" t="n">
        <f aca="false">IF(pos_xz&lt;L_rampe,Poids*COS(Beta),0)</f>
        <v>0</v>
      </c>
      <c r="V751" s="418" t="n">
        <f aca="false">Rho_moyen*(20000-Alt_rampe-pos_z)/(20000+Alt_rampe+pos_z)</f>
        <v>1.22610328736553</v>
      </c>
      <c r="W751" s="417" t="n">
        <f aca="false">1/2*Rho*Sref*Cx*vit_xz^2</f>
        <v>58.0593513229501</v>
      </c>
      <c r="X751" s="401"/>
      <c r="Y751" s="422" t="str">
        <f aca="false">IF(AND(pos_z&lt;=0,K750&gt;0),"Impact balistique","") &amp; IF(AND(H752&lt;0,vit_z&gt;=0),"Apogée","") &amp; IF(AND(Poussee=0,Q750&gt;0),"Fin de propulsion","") &amp; IF(AND(L752&gt;L_rampe,pos_xz&lt;=L_rampe),"Sortie de rampe","")</f>
        <v/>
      </c>
      <c r="Z751" s="423" t="str">
        <f aca="false">IF(ABS(t-T_para)&lt;pas/2,"Para","")</f>
        <v/>
      </c>
      <c r="AA751" s="424" t="str">
        <f aca="false">IF(ABS(t-T_satellite)&lt;pas/2,"Satellite","")</f>
        <v/>
      </c>
      <c r="AB751" s="412"/>
      <c r="AC751" s="420" t="e">
        <f aca="false">IF(ABS(t-ROUND(t,0))&lt;0.001,t,NA())</f>
        <v>#N/A</v>
      </c>
      <c r="AD751" s="425" t="e">
        <f aca="false">IF(ABS(t-ROUND(t,0))&lt;0.001,pos_x,NA())</f>
        <v>#N/A</v>
      </c>
      <c r="AE751" s="426" t="e">
        <f aca="false">IF(t&lt;T_para, pos_z, NA())</f>
        <v>#N/A</v>
      </c>
      <c r="AF751" s="412"/>
      <c r="AG751" s="418" t="n">
        <f aca="false">IF(AND(L750&lt;L_rampe,Poussee&lt;Poids*SIN(M750)),0,(-W750+Poussee)/m-Poids*SIN(M750)/m)</f>
        <v>1.89108366691169</v>
      </c>
      <c r="AH751" s="417" t="n">
        <f aca="false">IF(AND(L750&lt;L_rampe,Poussee&lt;Poids*SIN(M750)), g*SIN(M750), (-W750+Poussee)/m)</f>
        <v>-7.86921966473358</v>
      </c>
    </row>
    <row r="752" customFormat="false" ht="12" hidden="false" customHeight="false" outlineLevel="0" collapsed="false">
      <c r="A752" s="416" t="n">
        <f aca="false">IF(B751+0.01&lt;=T_ini+ROUNDUP(Temps_fin_propu,0), 0.01, IF(K751&gt;0, 0.1, 0.0001))</f>
        <v>0.0001</v>
      </c>
      <c r="B752" s="417" t="n">
        <f aca="false">B751+pas</f>
        <v>36.3025000000003</v>
      </c>
      <c r="C752" s="401"/>
      <c r="D752" s="418" t="n">
        <f aca="false">IF(AND(L751&lt;L_rampe,Poussee&lt;Poids*SIN(M751)),0,(-W751+Poussee)/m*COS(M751)-U751/m*SIN(M751))</f>
        <v>-0.791085676421309</v>
      </c>
      <c r="E752" s="419" t="n">
        <f aca="false">IF(AND(L751&lt;L_rampe,Poussee&lt;Poids*SIN(M751)),0,(-W751+Poussee)/m*SIN(M751)+U751/m*COS(M751)-Poids/m)</f>
        <v>-1.98061100937308</v>
      </c>
      <c r="F752" s="417" t="n">
        <f aca="false">SQRT(acc_x^2+acc_z^2)</f>
        <v>2.13275327168635</v>
      </c>
      <c r="G752" s="418" t="n">
        <f aca="false">G751+acc_x*pas</f>
        <v>12.4750399156139</v>
      </c>
      <c r="H752" s="419" t="n">
        <f aca="false">H751+acc_z*pas</f>
        <v>-123.466672623674</v>
      </c>
      <c r="I752" s="417" t="n">
        <f aca="false">SQRT(vit_x^2+vit_z^2)</f>
        <v>124.095309619895</v>
      </c>
      <c r="J752" s="418" t="n">
        <f aca="false">J751+0.5*(vit_x+G751)*pas*(K751&gt;=0)</f>
        <v>913.614336176273</v>
      </c>
      <c r="K752" s="419" t="n">
        <f aca="false">K751+0.5*(vit_z+H751)*pas</f>
        <v>-9.0147201698707</v>
      </c>
      <c r="L752" s="417" t="n">
        <f aca="false">SQRT(pos_x^2+pos_z^2)</f>
        <v>913.658809647537</v>
      </c>
      <c r="M752" s="418" t="n">
        <f aca="false">IF(AND(L751&gt;L_rampe,G752&gt;0),ATAN2(G752,H752),$M$4)</f>
        <v>-1.47009833977744</v>
      </c>
      <c r="N752" s="417" t="n">
        <f aca="false">DEGREES(Beta)</f>
        <v>-84.2304303384367</v>
      </c>
      <c r="O752" s="401"/>
      <c r="P752" s="420" t="n">
        <f aca="false">MATCH(t-pas/2-T_ini,CdP_t)</f>
        <v>23</v>
      </c>
      <c r="Q752" s="417" t="n">
        <f aca="false">(INDEX(CdP,2,i_P+1)-INDEX(CdP,2,i_P+0))/(INDEX(CdP,1,i_P+1)-INDEX(CdP,1,i_P+0))*(t-pas/2-T_ini-INDEX(CdP,1,i_P+0))+INDEX(CdP,2,i_P+0)</f>
        <v>0</v>
      </c>
      <c r="R752" s="418" t="n">
        <f aca="false">Poussee/(g*ISP)</f>
        <v>0</v>
      </c>
      <c r="S752" s="419" t="n">
        <f aca="false">S751-Débit*pas</f>
        <v>7.37799999999998</v>
      </c>
      <c r="T752" s="417" t="n">
        <f aca="false">m*g</f>
        <v>72.3781799999998</v>
      </c>
      <c r="U752" s="421" t="n">
        <f aca="false">IF(pos_xz&lt;L_rampe,Poids*COS(Beta),0)</f>
        <v>0</v>
      </c>
      <c r="V752" s="418" t="n">
        <f aca="false">Rho_moyen*(20000-Alt_rampe-pos_z)/(20000+Alt_rampe+pos_z)</f>
        <v>1.22610480119449</v>
      </c>
      <c r="W752" s="417" t="n">
        <f aca="false">1/2*Rho*Sref*Cx*vit_xz^2</f>
        <v>58.0595999573261</v>
      </c>
      <c r="X752" s="401"/>
      <c r="Y752" s="422" t="str">
        <f aca="false">IF(AND(pos_z&lt;=0,K751&gt;0),"Impact balistique","") &amp; IF(AND(H753&lt;0,vit_z&gt;=0),"Apogée","") &amp; IF(AND(Poussee=0,Q751&gt;0),"Fin de propulsion","") &amp; IF(AND(L753&gt;L_rampe,pos_xz&lt;=L_rampe),"Sortie de rampe","")</f>
        <v/>
      </c>
      <c r="Z752" s="423" t="str">
        <f aca="false">IF(ABS(t-T_para)&lt;pas/2,"Para","")</f>
        <v/>
      </c>
      <c r="AA752" s="424" t="str">
        <f aca="false">IF(ABS(t-T_satellite)&lt;pas/2,"Satellite","")</f>
        <v/>
      </c>
      <c r="AB752" s="412"/>
      <c r="AC752" s="420" t="e">
        <f aca="false">IF(ABS(t-ROUND(t,0))&lt;0.001,t,NA())</f>
        <v>#N/A</v>
      </c>
      <c r="AD752" s="425" t="e">
        <f aca="false">IF(ABS(t-ROUND(t,0))&lt;0.001,pos_x,NA())</f>
        <v>#N/A</v>
      </c>
      <c r="AE752" s="426" t="e">
        <f aca="false">IF(t&lt;T_para, pos_z, NA())</f>
        <v>#N/A</v>
      </c>
      <c r="AF752" s="412"/>
      <c r="AG752" s="418" t="n">
        <f aca="false">IF(AND(L751&lt;L_rampe,Poussee&lt;Poids*SIN(M751)),0,(-W751+Poussee)/m-Poids*SIN(M751)/m)</f>
        <v>1.89105075092362</v>
      </c>
      <c r="AH752" s="417" t="n">
        <f aca="false">IF(AND(L751&lt;L_rampe,Poussee&lt;Poids*SIN(M751)), g*SIN(M751), (-W751+Poussee)/m)</f>
        <v>-7.86925336445517</v>
      </c>
    </row>
    <row r="753" customFormat="false" ht="12" hidden="false" customHeight="false" outlineLevel="0" collapsed="false">
      <c r="A753" s="416" t="n">
        <f aca="false">IF(B752+0.01&lt;=T_ini+ROUNDUP(Temps_fin_propu,0), 0.01, IF(K752&gt;0, 0.1, 0.0001))</f>
        <v>0.0001</v>
      </c>
      <c r="B753" s="417" t="n">
        <f aca="false">B752+pas</f>
        <v>36.3026000000003</v>
      </c>
      <c r="C753" s="401"/>
      <c r="D753" s="418" t="n">
        <f aca="false">IF(AND(L752&lt;L_rampe,Poussee&lt;Poids*SIN(M752)),0,(-W752+Poussee)/m*COS(M752)-U752/m*SIN(M752))</f>
        <v>-0.791082842132026</v>
      </c>
      <c r="E753" s="419" t="n">
        <f aca="false">IF(AND(L752&lt;L_rampe,Poussee&lt;Poids*SIN(M752)),0,(-W752+Poussee)/m*SIN(M752)+U752/m*COS(M752)-Poids/m)</f>
        <v>-1.98057685198487</v>
      </c>
      <c r="F753" s="417" t="n">
        <f aca="false">SQRT(acc_x^2+acc_z^2)</f>
        <v>2.132720499675</v>
      </c>
      <c r="G753" s="418" t="n">
        <f aca="false">G752+acc_x*pas</f>
        <v>12.4749608073297</v>
      </c>
      <c r="H753" s="419" t="n">
        <f aca="false">H752+acc_z*pas</f>
        <v>-123.466870681359</v>
      </c>
      <c r="I753" s="417" t="n">
        <f aca="false">SQRT(vit_x^2+vit_z^2)</f>
        <v>124.095498721718</v>
      </c>
      <c r="J753" s="418" t="n">
        <f aca="false">J752+0.5*(vit_x+G752)*pas*(K752&gt;=0)</f>
        <v>913.614336176273</v>
      </c>
      <c r="K753" s="419" t="n">
        <f aca="false">K752+0.5*(vit_z+H752)*pas</f>
        <v>-9.02706684703595</v>
      </c>
      <c r="L753" s="417" t="n">
        <f aca="false">SQRT(pos_x^2+pos_z^2)</f>
        <v>913.658931550868</v>
      </c>
      <c r="M753" s="418" t="n">
        <f aca="false">IF(AND(L752&gt;L_rampe,G753&gt;0),ATAN2(G753,H753),$M$4)</f>
        <v>-1.47009913447075</v>
      </c>
      <c r="N753" s="417" t="n">
        <f aca="false">DEGREES(Beta)</f>
        <v>-84.2304758710092</v>
      </c>
      <c r="O753" s="401"/>
      <c r="P753" s="420" t="n">
        <f aca="false">MATCH(t-pas/2-T_ini,CdP_t)</f>
        <v>23</v>
      </c>
      <c r="Q753" s="417" t="n">
        <f aca="false">(INDEX(CdP,2,i_P+1)-INDEX(CdP,2,i_P+0))/(INDEX(CdP,1,i_P+1)-INDEX(CdP,1,i_P+0))*(t-pas/2-T_ini-INDEX(CdP,1,i_P+0))+INDEX(CdP,2,i_P+0)</f>
        <v>0</v>
      </c>
      <c r="R753" s="418" t="n">
        <f aca="false">Poussee/(g*ISP)</f>
        <v>0</v>
      </c>
      <c r="S753" s="419" t="n">
        <f aca="false">S752-Débit*pas</f>
        <v>7.37799999999998</v>
      </c>
      <c r="T753" s="417" t="n">
        <f aca="false">m*g</f>
        <v>72.3781799999998</v>
      </c>
      <c r="U753" s="421" t="n">
        <f aca="false">IF(pos_xz&lt;L_rampe,Poids*COS(Beta),0)</f>
        <v>0</v>
      </c>
      <c r="V753" s="418" t="n">
        <f aca="false">Rho_moyen*(20000-Alt_rampe-pos_z)/(20000+Alt_rampe+pos_z)</f>
        <v>1.22610631502775</v>
      </c>
      <c r="W753" s="417" t="n">
        <f aca="false">1/2*Rho*Sref*Cx*vit_xz^2</f>
        <v>58.0598485895323</v>
      </c>
      <c r="X753" s="401"/>
      <c r="Y753" s="422" t="str">
        <f aca="false">IF(AND(pos_z&lt;=0,K752&gt;0),"Impact balistique","") &amp; IF(AND(H754&lt;0,vit_z&gt;=0),"Apogée","") &amp; IF(AND(Poussee=0,Q752&gt;0),"Fin de propulsion","") &amp; IF(AND(L754&gt;L_rampe,pos_xz&lt;=L_rampe),"Sortie de rampe","")</f>
        <v/>
      </c>
      <c r="Z753" s="423" t="str">
        <f aca="false">IF(ABS(t-T_para)&lt;pas/2,"Para","")</f>
        <v/>
      </c>
      <c r="AA753" s="424" t="str">
        <f aca="false">IF(ABS(t-T_satellite)&lt;pas/2,"Satellite","")</f>
        <v/>
      </c>
      <c r="AB753" s="412"/>
      <c r="AC753" s="420" t="e">
        <f aca="false">IF(ABS(t-ROUND(t,0))&lt;0.001,t,NA())</f>
        <v>#N/A</v>
      </c>
      <c r="AD753" s="425" t="e">
        <f aca="false">IF(ABS(t-ROUND(t,0))&lt;0.001,pos_x,NA())</f>
        <v>#N/A</v>
      </c>
      <c r="AE753" s="426" t="e">
        <f aca="false">IF(t&lt;T_para, pos_z, NA())</f>
        <v>#N/A</v>
      </c>
      <c r="AF753" s="412"/>
      <c r="AG753" s="418" t="n">
        <f aca="false">IF(AND(L752&lt;L_rampe,Poussee&lt;Poids*SIN(M752)),0,(-W752+Poussee)/m-Poids*SIN(M752)/m)</f>
        <v>1.89101783521612</v>
      </c>
      <c r="AH753" s="417" t="n">
        <f aca="false">IF(AND(L752&lt;L_rampe,Poussee&lt;Poids*SIN(M752)), g*SIN(M752), (-W752+Poussee)/m)</f>
        <v>-7.86928706388266</v>
      </c>
    </row>
    <row r="754" customFormat="false" ht="12" hidden="false" customHeight="false" outlineLevel="0" collapsed="false">
      <c r="A754" s="416" t="n">
        <f aca="false">IF(B753+0.01&lt;=T_ini+ROUNDUP(Temps_fin_propu,0), 0.01, IF(K753&gt;0, 0.1, 0.0001))</f>
        <v>0.0001</v>
      </c>
      <c r="B754" s="417" t="n">
        <f aca="false">B753+pas</f>
        <v>36.3027000000003</v>
      </c>
      <c r="C754" s="401"/>
      <c r="D754" s="418" t="n">
        <f aca="false">IF(AND(L753&lt;L_rampe,Poussee&lt;Poids*SIN(M753)),0,(-W753+Poussee)/m*COS(M753)-U753/m*SIN(M753))</f>
        <v>-0.791080007817806</v>
      </c>
      <c r="E754" s="419" t="n">
        <f aca="false">IF(AND(L753&lt;L_rampe,Poussee&lt;Poids*SIN(M753)),0,(-W753+Poussee)/m*SIN(M753)+U753/m*COS(M753)-Poids/m)</f>
        <v>-1.98054269489472</v>
      </c>
      <c r="F754" s="417" t="n">
        <f aca="false">SQRT(acc_x^2+acc_z^2)</f>
        <v>2.13268772797845</v>
      </c>
      <c r="G754" s="418" t="n">
        <f aca="false">G753+acc_x*pas</f>
        <v>12.4748816993289</v>
      </c>
      <c r="H754" s="419" t="n">
        <f aca="false">H753+acc_z*pas</f>
        <v>-123.467068735629</v>
      </c>
      <c r="I754" s="417" t="n">
        <f aca="false">SQRT(vit_x^2+vit_z^2)</f>
        <v>124.095687820249</v>
      </c>
      <c r="J754" s="418" t="n">
        <f aca="false">J753+0.5*(vit_x+G753)*pas*(K753&gt;=0)</f>
        <v>913.614336176273</v>
      </c>
      <c r="K754" s="419" t="n">
        <f aca="false">K753+0.5*(vit_z+H753)*pas</f>
        <v>-9.0394135440068</v>
      </c>
      <c r="L754" s="417" t="n">
        <f aca="false">SQRT(pos_x^2+pos_z^2)</f>
        <v>913.659053621225</v>
      </c>
      <c r="M754" s="418" t="n">
        <f aca="false">IF(AND(L753&gt;L_rampe,G754&gt;0),ATAN2(G754,H754),$M$4)</f>
        <v>-1.47009992915659</v>
      </c>
      <c r="N754" s="417" t="n">
        <f aca="false">DEGREES(Beta)</f>
        <v>-84.2305214031542</v>
      </c>
      <c r="O754" s="401"/>
      <c r="P754" s="420" t="n">
        <f aca="false">MATCH(t-pas/2-T_ini,CdP_t)</f>
        <v>23</v>
      </c>
      <c r="Q754" s="417" t="n">
        <f aca="false">(INDEX(CdP,2,i_P+1)-INDEX(CdP,2,i_P+0))/(INDEX(CdP,1,i_P+1)-INDEX(CdP,1,i_P+0))*(t-pas/2-T_ini-INDEX(CdP,1,i_P+0))+INDEX(CdP,2,i_P+0)</f>
        <v>0</v>
      </c>
      <c r="R754" s="418" t="n">
        <f aca="false">Poussee/(g*ISP)</f>
        <v>0</v>
      </c>
      <c r="S754" s="419" t="n">
        <f aca="false">S753-Débit*pas</f>
        <v>7.37799999999998</v>
      </c>
      <c r="T754" s="417" t="n">
        <f aca="false">m*g</f>
        <v>72.3781799999998</v>
      </c>
      <c r="U754" s="421" t="n">
        <f aca="false">IF(pos_xz&lt;L_rampe,Poids*COS(Beta),0)</f>
        <v>0</v>
      </c>
      <c r="V754" s="418" t="n">
        <f aca="false">Rho_moyen*(20000-Alt_rampe-pos_z)/(20000+Alt_rampe+pos_z)</f>
        <v>1.2261078288653</v>
      </c>
      <c r="W754" s="417" t="n">
        <f aca="false">1/2*Rho*Sref*Cx*vit_xz^2</f>
        <v>58.0600972195685</v>
      </c>
      <c r="X754" s="401"/>
      <c r="Y754" s="422" t="str">
        <f aca="false">IF(AND(pos_z&lt;=0,K753&gt;0),"Impact balistique","") &amp; IF(AND(H755&lt;0,vit_z&gt;=0),"Apogée","") &amp; IF(AND(Poussee=0,Q753&gt;0),"Fin de propulsion","") &amp; IF(AND(L755&gt;L_rampe,pos_xz&lt;=L_rampe),"Sortie de rampe","")</f>
        <v/>
      </c>
      <c r="Z754" s="423" t="str">
        <f aca="false">IF(ABS(t-T_para)&lt;pas/2,"Para","")</f>
        <v/>
      </c>
      <c r="AA754" s="424" t="str">
        <f aca="false">IF(ABS(t-T_satellite)&lt;pas/2,"Satellite","")</f>
        <v/>
      </c>
      <c r="AB754" s="412"/>
      <c r="AC754" s="420" t="e">
        <f aca="false">IF(ABS(t-ROUND(t,0))&lt;0.001,t,NA())</f>
        <v>#N/A</v>
      </c>
      <c r="AD754" s="425" t="e">
        <f aca="false">IF(ABS(t-ROUND(t,0))&lt;0.001,pos_x,NA())</f>
        <v>#N/A</v>
      </c>
      <c r="AE754" s="426" t="e">
        <f aca="false">IF(t&lt;T_para, pos_z, NA())</f>
        <v>#N/A</v>
      </c>
      <c r="AF754" s="412"/>
      <c r="AG754" s="418" t="n">
        <f aca="false">IF(AND(L753&lt;L_rampe,Poussee&lt;Poids*SIN(M753)),0,(-W753+Poussee)/m-Poids*SIN(M753)/m)</f>
        <v>1.8909849197892</v>
      </c>
      <c r="AH754" s="417" t="n">
        <f aca="false">IF(AND(L753&lt;L_rampe,Poussee&lt;Poids*SIN(M753)), g*SIN(M753), (-W753+Poussee)/m)</f>
        <v>-7.86932076301604</v>
      </c>
    </row>
    <row r="755" customFormat="false" ht="12" hidden="false" customHeight="false" outlineLevel="0" collapsed="false">
      <c r="A755" s="416" t="n">
        <f aca="false">IF(B754+0.01&lt;=T_ini+ROUNDUP(Temps_fin_propu,0), 0.01, IF(K754&gt;0, 0.1, 0.0001))</f>
        <v>0.0001</v>
      </c>
      <c r="B755" s="417" t="n">
        <f aca="false">B754+pas</f>
        <v>36.3028000000003</v>
      </c>
      <c r="C755" s="401"/>
      <c r="D755" s="418" t="n">
        <f aca="false">IF(AND(L754&lt;L_rampe,Poussee&lt;Poids*SIN(M754)),0,(-W754+Poussee)/m*COS(M754)-U754/m*SIN(M754))</f>
        <v>-0.79107717347865</v>
      </c>
      <c r="E755" s="419" t="n">
        <f aca="false">IF(AND(L754&lt;L_rampe,Poussee&lt;Poids*SIN(M754)),0,(-W754+Poussee)/m*SIN(M754)+U754/m*COS(M754)-Poids/m)</f>
        <v>-1.98050853810266</v>
      </c>
      <c r="F755" s="417" t="n">
        <f aca="false">SQRT(acc_x^2+acc_z^2)</f>
        <v>2.1326549565967</v>
      </c>
      <c r="G755" s="418" t="n">
        <f aca="false">G754+acc_x*pas</f>
        <v>12.4748025916116</v>
      </c>
      <c r="H755" s="419" t="n">
        <f aca="false">H754+acc_z*pas</f>
        <v>-123.467266786482</v>
      </c>
      <c r="I755" s="417" t="n">
        <f aca="false">SQRT(vit_x^2+vit_z^2)</f>
        <v>124.095876915489</v>
      </c>
      <c r="J755" s="418" t="n">
        <f aca="false">J754+0.5*(vit_x+G754)*pas*(K754&gt;=0)</f>
        <v>913.614336176273</v>
      </c>
      <c r="K755" s="419" t="n">
        <f aca="false">K754+0.5*(vit_z+H754)*pas</f>
        <v>-9.0517602607829</v>
      </c>
      <c r="L755" s="417" t="n">
        <f aca="false">SQRT(pos_x^2+pos_z^2)</f>
        <v>913.659175858608</v>
      </c>
      <c r="M755" s="418" t="n">
        <f aca="false">IF(AND(L754&gt;L_rampe,G755&gt;0),ATAN2(G755,H755),$M$4)</f>
        <v>-1.47010072383498</v>
      </c>
      <c r="N755" s="417" t="n">
        <f aca="false">DEGREES(Beta)</f>
        <v>-84.2305669348717</v>
      </c>
      <c r="O755" s="401"/>
      <c r="P755" s="420" t="n">
        <f aca="false">MATCH(t-pas/2-T_ini,CdP_t)</f>
        <v>23</v>
      </c>
      <c r="Q755" s="417" t="n">
        <f aca="false">(INDEX(CdP,2,i_P+1)-INDEX(CdP,2,i_P+0))/(INDEX(CdP,1,i_P+1)-INDEX(CdP,1,i_P+0))*(t-pas/2-T_ini-INDEX(CdP,1,i_P+0))+INDEX(CdP,2,i_P+0)</f>
        <v>0</v>
      </c>
      <c r="R755" s="418" t="n">
        <f aca="false">Poussee/(g*ISP)</f>
        <v>0</v>
      </c>
      <c r="S755" s="419" t="n">
        <f aca="false">S754-Débit*pas</f>
        <v>7.37799999999998</v>
      </c>
      <c r="T755" s="417" t="n">
        <f aca="false">m*g</f>
        <v>72.3781799999998</v>
      </c>
      <c r="U755" s="421" t="n">
        <f aca="false">IF(pos_xz&lt;L_rampe,Poids*COS(Beta),0)</f>
        <v>0</v>
      </c>
      <c r="V755" s="418" t="n">
        <f aca="false">Rho_moyen*(20000-Alt_rampe-pos_z)/(20000+Alt_rampe+pos_z)</f>
        <v>1.22610934270716</v>
      </c>
      <c r="W755" s="417" t="n">
        <f aca="false">1/2*Rho*Sref*Cx*vit_xz^2</f>
        <v>58.0603458474349</v>
      </c>
      <c r="X755" s="401"/>
      <c r="Y755" s="422" t="str">
        <f aca="false">IF(AND(pos_z&lt;=0,K754&gt;0),"Impact balistique","") &amp; IF(AND(H756&lt;0,vit_z&gt;=0),"Apogée","") &amp; IF(AND(Poussee=0,Q754&gt;0),"Fin de propulsion","") &amp; IF(AND(L756&gt;L_rampe,pos_xz&lt;=L_rampe),"Sortie de rampe","")</f>
        <v/>
      </c>
      <c r="Z755" s="423" t="str">
        <f aca="false">IF(ABS(t-T_para)&lt;pas/2,"Para","")</f>
        <v/>
      </c>
      <c r="AA755" s="424" t="str">
        <f aca="false">IF(ABS(t-T_satellite)&lt;pas/2,"Satellite","")</f>
        <v/>
      </c>
      <c r="AB755" s="412"/>
      <c r="AC755" s="420" t="e">
        <f aca="false">IF(ABS(t-ROUND(t,0))&lt;0.001,t,NA())</f>
        <v>#N/A</v>
      </c>
      <c r="AD755" s="425" t="e">
        <f aca="false">IF(ABS(t-ROUND(t,0))&lt;0.001,pos_x,NA())</f>
        <v>#N/A</v>
      </c>
      <c r="AE755" s="426" t="e">
        <f aca="false">IF(t&lt;T_para, pos_z, NA())</f>
        <v>#N/A</v>
      </c>
      <c r="AF755" s="412"/>
      <c r="AG755" s="418" t="n">
        <f aca="false">IF(AND(L754&lt;L_rampe,Poussee&lt;Poids*SIN(M754)),0,(-W754+Poussee)/m-Poids*SIN(M754)/m)</f>
        <v>1.89095200464286</v>
      </c>
      <c r="AH755" s="417" t="n">
        <f aca="false">IF(AND(L754&lt;L_rampe,Poussee&lt;Poids*SIN(M754)), g*SIN(M754), (-W754+Poussee)/m)</f>
        <v>-7.86935446185533</v>
      </c>
    </row>
    <row r="756" customFormat="false" ht="12" hidden="false" customHeight="false" outlineLevel="0" collapsed="false">
      <c r="A756" s="416" t="n">
        <f aca="false">IF(B755+0.01&lt;=T_ini+ROUNDUP(Temps_fin_propu,0), 0.01, IF(K755&gt;0, 0.1, 0.0001))</f>
        <v>0.0001</v>
      </c>
      <c r="B756" s="417" t="n">
        <f aca="false">B755+pas</f>
        <v>36.3029000000003</v>
      </c>
      <c r="C756" s="401"/>
      <c r="D756" s="418" t="n">
        <f aca="false">IF(AND(L755&lt;L_rampe,Poussee&lt;Poids*SIN(M755)),0,(-W755+Poussee)/m*COS(M755)-U755/m*SIN(M755))</f>
        <v>-0.791074339114558</v>
      </c>
      <c r="E756" s="419" t="n">
        <f aca="false">IF(AND(L755&lt;L_rampe,Poussee&lt;Poids*SIN(M755)),0,(-W755+Poussee)/m*SIN(M755)+U755/m*COS(M755)-Poids/m)</f>
        <v>-1.98047438160866</v>
      </c>
      <c r="F756" s="417" t="n">
        <f aca="false">SQRT(acc_x^2+acc_z^2)</f>
        <v>2.13262218552976</v>
      </c>
      <c r="G756" s="418" t="n">
        <f aca="false">G755+acc_x*pas</f>
        <v>12.4747234841777</v>
      </c>
      <c r="H756" s="419" t="n">
        <f aca="false">H755+acc_z*pas</f>
        <v>-123.467464833921</v>
      </c>
      <c r="I756" s="417" t="n">
        <f aca="false">SQRT(vit_x^2+vit_z^2)</f>
        <v>124.096066007437</v>
      </c>
      <c r="J756" s="418" t="n">
        <f aca="false">J755+0.5*(vit_x+G755)*pas*(K755&gt;=0)</f>
        <v>913.614336176273</v>
      </c>
      <c r="K756" s="419" t="n">
        <f aca="false">K755+0.5*(vit_z+H755)*pas</f>
        <v>-9.06410699736392</v>
      </c>
      <c r="L756" s="417" t="n">
        <f aca="false">SQRT(pos_x^2+pos_z^2)</f>
        <v>913.659298263019</v>
      </c>
      <c r="M756" s="418" t="n">
        <f aca="false">IF(AND(L755&gt;L_rampe,G756&gt;0),ATAN2(G756,H756),$M$4)</f>
        <v>-1.4701015185059</v>
      </c>
      <c r="N756" s="417" t="n">
        <f aca="false">DEGREES(Beta)</f>
        <v>-84.2306124661617</v>
      </c>
      <c r="O756" s="401"/>
      <c r="P756" s="420" t="n">
        <f aca="false">MATCH(t-pas/2-T_ini,CdP_t)</f>
        <v>23</v>
      </c>
      <c r="Q756" s="417" t="n">
        <f aca="false">(INDEX(CdP,2,i_P+1)-INDEX(CdP,2,i_P+0))/(INDEX(CdP,1,i_P+1)-INDEX(CdP,1,i_P+0))*(t-pas/2-T_ini-INDEX(CdP,1,i_P+0))+INDEX(CdP,2,i_P+0)</f>
        <v>0</v>
      </c>
      <c r="R756" s="418" t="n">
        <f aca="false">Poussee/(g*ISP)</f>
        <v>0</v>
      </c>
      <c r="S756" s="419" t="n">
        <f aca="false">S755-Débit*pas</f>
        <v>7.37799999999998</v>
      </c>
      <c r="T756" s="417" t="n">
        <f aca="false">m*g</f>
        <v>72.3781799999998</v>
      </c>
      <c r="U756" s="421" t="n">
        <f aca="false">IF(pos_xz&lt;L_rampe,Poids*COS(Beta),0)</f>
        <v>0</v>
      </c>
      <c r="V756" s="418" t="n">
        <f aca="false">Rho_moyen*(20000-Alt_rampe-pos_z)/(20000+Alt_rampe+pos_z)</f>
        <v>1.22611085655331</v>
      </c>
      <c r="W756" s="417" t="n">
        <f aca="false">1/2*Rho*Sref*Cx*vit_xz^2</f>
        <v>58.0605944731314</v>
      </c>
      <c r="X756" s="401"/>
      <c r="Y756" s="422" t="str">
        <f aca="false">IF(AND(pos_z&lt;=0,K755&gt;0),"Impact balistique","") &amp; IF(AND(H757&lt;0,vit_z&gt;=0),"Apogée","") &amp; IF(AND(Poussee=0,Q755&gt;0),"Fin de propulsion","") &amp; IF(AND(L757&gt;L_rampe,pos_xz&lt;=L_rampe),"Sortie de rampe","")</f>
        <v/>
      </c>
      <c r="Z756" s="423" t="str">
        <f aca="false">IF(ABS(t-T_para)&lt;pas/2,"Para","")</f>
        <v/>
      </c>
      <c r="AA756" s="424" t="str">
        <f aca="false">IF(ABS(t-T_satellite)&lt;pas/2,"Satellite","")</f>
        <v/>
      </c>
      <c r="AB756" s="412"/>
      <c r="AC756" s="420" t="e">
        <f aca="false">IF(ABS(t-ROUND(t,0))&lt;0.001,t,NA())</f>
        <v>#N/A</v>
      </c>
      <c r="AD756" s="425" t="e">
        <f aca="false">IF(ABS(t-ROUND(t,0))&lt;0.001,pos_x,NA())</f>
        <v>#N/A</v>
      </c>
      <c r="AE756" s="426" t="e">
        <f aca="false">IF(t&lt;T_para, pos_z, NA())</f>
        <v>#N/A</v>
      </c>
      <c r="AF756" s="412"/>
      <c r="AG756" s="418" t="n">
        <f aca="false">IF(AND(L755&lt;L_rampe,Poussee&lt;Poids*SIN(M755)),0,(-W755+Poussee)/m-Poids*SIN(M755)/m)</f>
        <v>1.8909190897771</v>
      </c>
      <c r="AH756" s="417" t="n">
        <f aca="false">IF(AND(L755&lt;L_rampe,Poussee&lt;Poids*SIN(M755)), g*SIN(M755), (-W755+Poussee)/m)</f>
        <v>-7.86938816040052</v>
      </c>
    </row>
    <row r="757" customFormat="false" ht="12" hidden="false" customHeight="false" outlineLevel="0" collapsed="false">
      <c r="A757" s="416" t="n">
        <f aca="false">IF(B756+0.01&lt;=T_ini+ROUNDUP(Temps_fin_propu,0), 0.01, IF(K756&gt;0, 0.1, 0.0001))</f>
        <v>0.0001</v>
      </c>
      <c r="B757" s="417" t="n">
        <f aca="false">B756+pas</f>
        <v>36.3030000000003</v>
      </c>
      <c r="C757" s="401"/>
      <c r="D757" s="418" t="n">
        <f aca="false">IF(AND(L756&lt;L_rampe,Poussee&lt;Poids*SIN(M756)),0,(-W756+Poussee)/m*COS(M756)-U756/m*SIN(M756))</f>
        <v>-0.791071504725534</v>
      </c>
      <c r="E757" s="419" t="n">
        <f aca="false">IF(AND(L756&lt;L_rampe,Poussee&lt;Poids*SIN(M756)),0,(-W756+Poussee)/m*SIN(M756)+U756/m*COS(M756)-Poids/m)</f>
        <v>-1.98044022541274</v>
      </c>
      <c r="F757" s="417" t="n">
        <f aca="false">SQRT(acc_x^2+acc_z^2)</f>
        <v>2.13258941477763</v>
      </c>
      <c r="G757" s="418" t="n">
        <f aca="false">G756+acc_x*pas</f>
        <v>12.4746443770272</v>
      </c>
      <c r="H757" s="419" t="n">
        <f aca="false">H756+acc_z*pas</f>
        <v>-123.467662877943</v>
      </c>
      <c r="I757" s="417" t="n">
        <f aca="false">SQRT(vit_x^2+vit_z^2)</f>
        <v>124.096255096093</v>
      </c>
      <c r="J757" s="418" t="n">
        <f aca="false">J756+0.5*(vit_x+G756)*pas*(K756&gt;=0)</f>
        <v>913.614336176273</v>
      </c>
      <c r="K757" s="419" t="n">
        <f aca="false">K756+0.5*(vit_z+H756)*pas</f>
        <v>-9.07645375374952</v>
      </c>
      <c r="L757" s="417" t="n">
        <f aca="false">SQRT(pos_x^2+pos_z^2)</f>
        <v>913.659420834457</v>
      </c>
      <c r="M757" s="418" t="n">
        <f aca="false">IF(AND(L756&gt;L_rampe,G757&gt;0),ATAN2(G757,H757),$M$4)</f>
        <v>-1.47010231316937</v>
      </c>
      <c r="N757" s="417" t="n">
        <f aca="false">DEGREES(Beta)</f>
        <v>-84.2306579970243</v>
      </c>
      <c r="O757" s="401"/>
      <c r="P757" s="420" t="n">
        <f aca="false">MATCH(t-pas/2-T_ini,CdP_t)</f>
        <v>23</v>
      </c>
      <c r="Q757" s="417" t="n">
        <f aca="false">(INDEX(CdP,2,i_P+1)-INDEX(CdP,2,i_P+0))/(INDEX(CdP,1,i_P+1)-INDEX(CdP,1,i_P+0))*(t-pas/2-T_ini-INDEX(CdP,1,i_P+0))+INDEX(CdP,2,i_P+0)</f>
        <v>0</v>
      </c>
      <c r="R757" s="418" t="n">
        <f aca="false">Poussee/(g*ISP)</f>
        <v>0</v>
      </c>
      <c r="S757" s="419" t="n">
        <f aca="false">S756-Débit*pas</f>
        <v>7.37799999999998</v>
      </c>
      <c r="T757" s="417" t="n">
        <f aca="false">m*g</f>
        <v>72.3781799999998</v>
      </c>
      <c r="U757" s="421" t="n">
        <f aca="false">IF(pos_xz&lt;L_rampe,Poids*COS(Beta),0)</f>
        <v>0</v>
      </c>
      <c r="V757" s="418" t="n">
        <f aca="false">Rho_moyen*(20000-Alt_rampe-pos_z)/(20000+Alt_rampe+pos_z)</f>
        <v>1.22611237040376</v>
      </c>
      <c r="W757" s="417" t="n">
        <f aca="false">1/2*Rho*Sref*Cx*vit_xz^2</f>
        <v>58.0608430966581</v>
      </c>
      <c r="X757" s="401"/>
      <c r="Y757" s="422" t="str">
        <f aca="false">IF(AND(pos_z&lt;=0,K756&gt;0),"Impact balistique","") &amp; IF(AND(H758&lt;0,vit_z&gt;=0),"Apogée","") &amp; IF(AND(Poussee=0,Q756&gt;0),"Fin de propulsion","") &amp; IF(AND(L758&gt;L_rampe,pos_xz&lt;=L_rampe),"Sortie de rampe","")</f>
        <v/>
      </c>
      <c r="Z757" s="423" t="str">
        <f aca="false">IF(ABS(t-T_para)&lt;pas/2,"Para","")</f>
        <v/>
      </c>
      <c r="AA757" s="424" t="str">
        <f aca="false">IF(ABS(t-T_satellite)&lt;pas/2,"Satellite","")</f>
        <v/>
      </c>
      <c r="AB757" s="412"/>
      <c r="AC757" s="420" t="e">
        <f aca="false">IF(ABS(t-ROUND(t,0))&lt;0.001,t,NA())</f>
        <v>#N/A</v>
      </c>
      <c r="AD757" s="425" t="e">
        <f aca="false">IF(ABS(t-ROUND(t,0))&lt;0.001,pos_x,NA())</f>
        <v>#N/A</v>
      </c>
      <c r="AE757" s="426" t="e">
        <f aca="false">IF(t&lt;T_para, pos_z, NA())</f>
        <v>#N/A</v>
      </c>
      <c r="AF757" s="412"/>
      <c r="AG757" s="418" t="n">
        <f aca="false">IF(AND(L756&lt;L_rampe,Poussee&lt;Poids*SIN(M756)),0,(-W756+Poussee)/m-Poids*SIN(M756)/m)</f>
        <v>1.89088617519191</v>
      </c>
      <c r="AH757" s="417" t="n">
        <f aca="false">IF(AND(L756&lt;L_rampe,Poussee&lt;Poids*SIN(M756)), g*SIN(M756), (-W756+Poussee)/m)</f>
        <v>-7.8694218586516</v>
      </c>
    </row>
    <row r="758" customFormat="false" ht="12" hidden="false" customHeight="false" outlineLevel="0" collapsed="false">
      <c r="A758" s="416" t="n">
        <f aca="false">IF(B757+0.01&lt;=T_ini+ROUNDUP(Temps_fin_propu,0), 0.01, IF(K757&gt;0, 0.1, 0.0001))</f>
        <v>0.0001</v>
      </c>
      <c r="B758" s="417" t="n">
        <f aca="false">B757+pas</f>
        <v>36.3031000000003</v>
      </c>
      <c r="C758" s="401"/>
      <c r="D758" s="418" t="n">
        <f aca="false">IF(AND(L757&lt;L_rampe,Poussee&lt;Poids*SIN(M757)),0,(-W757+Poussee)/m*COS(M757)-U757/m*SIN(M757))</f>
        <v>-0.791068670311576</v>
      </c>
      <c r="E758" s="419" t="n">
        <f aca="false">IF(AND(L757&lt;L_rampe,Poussee&lt;Poids*SIN(M757)),0,(-W757+Poussee)/m*SIN(M757)+U757/m*COS(M757)-Poids/m)</f>
        <v>-1.98040606951489</v>
      </c>
      <c r="F758" s="417" t="n">
        <f aca="false">SQRT(acc_x^2+acc_z^2)</f>
        <v>2.13255664434029</v>
      </c>
      <c r="G758" s="418" t="n">
        <f aca="false">G757+acc_x*pas</f>
        <v>12.4745652701602</v>
      </c>
      <c r="H758" s="419" t="n">
        <f aca="false">H757+acc_z*pas</f>
        <v>-123.46786091855</v>
      </c>
      <c r="I758" s="417" t="n">
        <f aca="false">SQRT(vit_x^2+vit_z^2)</f>
        <v>124.096444181459</v>
      </c>
      <c r="J758" s="418" t="n">
        <f aca="false">J757+0.5*(vit_x+G757)*pas*(K757&gt;=0)</f>
        <v>913.614336176273</v>
      </c>
      <c r="K758" s="419" t="n">
        <f aca="false">K757+0.5*(vit_z+H757)*pas</f>
        <v>-9.08880052993934</v>
      </c>
      <c r="L758" s="417" t="n">
        <f aca="false">SQRT(pos_x^2+pos_z^2)</f>
        <v>913.659543572925</v>
      </c>
      <c r="M758" s="418" t="n">
        <f aca="false">IF(AND(L757&gt;L_rampe,G758&gt;0),ATAN2(G758,H758),$M$4)</f>
        <v>-1.47010310782537</v>
      </c>
      <c r="N758" s="417" t="n">
        <f aca="false">DEGREES(Beta)</f>
        <v>-84.2307035274593</v>
      </c>
      <c r="O758" s="401"/>
      <c r="P758" s="420" t="n">
        <f aca="false">MATCH(t-pas/2-T_ini,CdP_t)</f>
        <v>23</v>
      </c>
      <c r="Q758" s="417" t="n">
        <f aca="false">(INDEX(CdP,2,i_P+1)-INDEX(CdP,2,i_P+0))/(INDEX(CdP,1,i_P+1)-INDEX(CdP,1,i_P+0))*(t-pas/2-T_ini-INDEX(CdP,1,i_P+0))+INDEX(CdP,2,i_P+0)</f>
        <v>0</v>
      </c>
      <c r="R758" s="418" t="n">
        <f aca="false">Poussee/(g*ISP)</f>
        <v>0</v>
      </c>
      <c r="S758" s="419" t="n">
        <f aca="false">S757-Débit*pas</f>
        <v>7.37799999999998</v>
      </c>
      <c r="T758" s="417" t="n">
        <f aca="false">m*g</f>
        <v>72.3781799999998</v>
      </c>
      <c r="U758" s="421" t="n">
        <f aca="false">IF(pos_xz&lt;L_rampe,Poids*COS(Beta),0)</f>
        <v>0</v>
      </c>
      <c r="V758" s="418" t="n">
        <f aca="false">Rho_moyen*(20000-Alt_rampe-pos_z)/(20000+Alt_rampe+pos_z)</f>
        <v>1.22611388425851</v>
      </c>
      <c r="W758" s="417" t="n">
        <f aca="false">1/2*Rho*Sref*Cx*vit_xz^2</f>
        <v>58.0610917180148</v>
      </c>
      <c r="X758" s="401"/>
      <c r="Y758" s="422" t="str">
        <f aca="false">IF(AND(pos_z&lt;=0,K757&gt;0),"Impact balistique","") &amp; IF(AND(H759&lt;0,vit_z&gt;=0),"Apogée","") &amp; IF(AND(Poussee=0,Q757&gt;0),"Fin de propulsion","") &amp; IF(AND(L759&gt;L_rampe,pos_xz&lt;=L_rampe),"Sortie de rampe","")</f>
        <v/>
      </c>
      <c r="Z758" s="423" t="str">
        <f aca="false">IF(ABS(t-T_para)&lt;pas/2,"Para","")</f>
        <v/>
      </c>
      <c r="AA758" s="424" t="str">
        <f aca="false">IF(ABS(t-T_satellite)&lt;pas/2,"Satellite","")</f>
        <v/>
      </c>
      <c r="AB758" s="412"/>
      <c r="AC758" s="420" t="e">
        <f aca="false">IF(ABS(t-ROUND(t,0))&lt;0.001,t,NA())</f>
        <v>#N/A</v>
      </c>
      <c r="AD758" s="425" t="e">
        <f aca="false">IF(ABS(t-ROUND(t,0))&lt;0.001,pos_x,NA())</f>
        <v>#N/A</v>
      </c>
      <c r="AE758" s="426" t="e">
        <f aca="false">IF(t&lt;T_para, pos_z, NA())</f>
        <v>#N/A</v>
      </c>
      <c r="AF758" s="412"/>
      <c r="AG758" s="418" t="n">
        <f aca="false">IF(AND(L757&lt;L_rampe,Poussee&lt;Poids*SIN(M757)),0,(-W757+Poussee)/m-Poids*SIN(M757)/m)</f>
        <v>1.89085326088731</v>
      </c>
      <c r="AH758" s="417" t="n">
        <f aca="false">IF(AND(L757&lt;L_rampe,Poussee&lt;Poids*SIN(M757)), g*SIN(M757), (-W757+Poussee)/m)</f>
        <v>-7.86945555660859</v>
      </c>
    </row>
    <row r="759" customFormat="false" ht="12" hidden="false" customHeight="false" outlineLevel="0" collapsed="false">
      <c r="A759" s="416" t="n">
        <f aca="false">IF(B758+0.01&lt;=T_ini+ROUNDUP(Temps_fin_propu,0), 0.01, IF(K758&gt;0, 0.1, 0.0001))</f>
        <v>0.0001</v>
      </c>
      <c r="B759" s="417" t="n">
        <f aca="false">B758+pas</f>
        <v>36.3032000000003</v>
      </c>
      <c r="C759" s="401"/>
      <c r="D759" s="418" t="n">
        <f aca="false">IF(AND(L758&lt;L_rampe,Poussee&lt;Poids*SIN(M758)),0,(-W758+Poussee)/m*COS(M758)-U758/m*SIN(M758))</f>
        <v>-0.791065835872684</v>
      </c>
      <c r="E759" s="419" t="n">
        <f aca="false">IF(AND(L758&lt;L_rampe,Poussee&lt;Poids*SIN(M758)),0,(-W758+Poussee)/m*SIN(M758)+U758/m*COS(M758)-Poids/m)</f>
        <v>-1.98037191391512</v>
      </c>
      <c r="F759" s="417" t="n">
        <f aca="false">SQRT(acc_x^2+acc_z^2)</f>
        <v>2.13252387421777</v>
      </c>
      <c r="G759" s="418" t="n">
        <f aca="false">G758+acc_x*pas</f>
        <v>12.4744861635766</v>
      </c>
      <c r="H759" s="419" t="n">
        <f aca="false">H758+acc_z*pas</f>
        <v>-123.468058955741</v>
      </c>
      <c r="I759" s="417" t="n">
        <f aca="false">SQRT(vit_x^2+vit_z^2)</f>
        <v>124.096633263533</v>
      </c>
      <c r="J759" s="418" t="n">
        <f aca="false">J758+0.5*(vit_x+G758)*pas*(K758&gt;=0)</f>
        <v>913.614336176273</v>
      </c>
      <c r="K759" s="419" t="n">
        <f aca="false">K758+0.5*(vit_z+H758)*pas</f>
        <v>-9.10114732593305</v>
      </c>
      <c r="L759" s="417" t="n">
        <f aca="false">SQRT(pos_x^2+pos_z^2)</f>
        <v>913.659666478422</v>
      </c>
      <c r="M759" s="418" t="n">
        <f aca="false">IF(AND(L758&gt;L_rampe,G759&gt;0),ATAN2(G759,H759),$M$4)</f>
        <v>-1.47010390247391</v>
      </c>
      <c r="N759" s="417" t="n">
        <f aca="false">DEGREES(Beta)</f>
        <v>-84.2307490574669</v>
      </c>
      <c r="O759" s="401"/>
      <c r="P759" s="420" t="n">
        <f aca="false">MATCH(t-pas/2-T_ini,CdP_t)</f>
        <v>23</v>
      </c>
      <c r="Q759" s="417" t="n">
        <f aca="false">(INDEX(CdP,2,i_P+1)-INDEX(CdP,2,i_P+0))/(INDEX(CdP,1,i_P+1)-INDEX(CdP,1,i_P+0))*(t-pas/2-T_ini-INDEX(CdP,1,i_P+0))+INDEX(CdP,2,i_P+0)</f>
        <v>0</v>
      </c>
      <c r="R759" s="418" t="n">
        <f aca="false">Poussee/(g*ISP)</f>
        <v>0</v>
      </c>
      <c r="S759" s="419" t="n">
        <f aca="false">S758-Débit*pas</f>
        <v>7.37799999999998</v>
      </c>
      <c r="T759" s="417" t="n">
        <f aca="false">m*g</f>
        <v>72.3781799999998</v>
      </c>
      <c r="U759" s="421" t="n">
        <f aca="false">IF(pos_xz&lt;L_rampe,Poids*COS(Beta),0)</f>
        <v>0</v>
      </c>
      <c r="V759" s="418" t="n">
        <f aca="false">Rho_moyen*(20000-Alt_rampe-pos_z)/(20000+Alt_rampe+pos_z)</f>
        <v>1.22611539811756</v>
      </c>
      <c r="W759" s="417" t="n">
        <f aca="false">1/2*Rho*Sref*Cx*vit_xz^2</f>
        <v>58.0613403372017</v>
      </c>
      <c r="X759" s="401"/>
      <c r="Y759" s="422" t="str">
        <f aca="false">IF(AND(pos_z&lt;=0,K758&gt;0),"Impact balistique","") &amp; IF(AND(H760&lt;0,vit_z&gt;=0),"Apogée","") &amp; IF(AND(Poussee=0,Q758&gt;0),"Fin de propulsion","") &amp; IF(AND(L760&gt;L_rampe,pos_xz&lt;=L_rampe),"Sortie de rampe","")</f>
        <v/>
      </c>
      <c r="Z759" s="423" t="str">
        <f aca="false">IF(ABS(t-T_para)&lt;pas/2,"Para","")</f>
        <v/>
      </c>
      <c r="AA759" s="424" t="str">
        <f aca="false">IF(ABS(t-T_satellite)&lt;pas/2,"Satellite","")</f>
        <v/>
      </c>
      <c r="AB759" s="412"/>
      <c r="AC759" s="420" t="e">
        <f aca="false">IF(ABS(t-ROUND(t,0))&lt;0.001,t,NA())</f>
        <v>#N/A</v>
      </c>
      <c r="AD759" s="425" t="e">
        <f aca="false">IF(ABS(t-ROUND(t,0))&lt;0.001,pos_x,NA())</f>
        <v>#N/A</v>
      </c>
      <c r="AE759" s="426" t="e">
        <f aca="false">IF(t&lt;T_para, pos_z, NA())</f>
        <v>#N/A</v>
      </c>
      <c r="AF759" s="412"/>
      <c r="AG759" s="418" t="n">
        <f aca="false">IF(AND(L758&lt;L_rampe,Poussee&lt;Poids*SIN(M758)),0,(-W758+Poussee)/m-Poids*SIN(M758)/m)</f>
        <v>1.89082034686329</v>
      </c>
      <c r="AH759" s="417" t="n">
        <f aca="false">IF(AND(L758&lt;L_rampe,Poussee&lt;Poids*SIN(M758)), g*SIN(M758), (-W758+Poussee)/m)</f>
        <v>-7.86948925427148</v>
      </c>
    </row>
    <row r="760" customFormat="false" ht="12" hidden="false" customHeight="false" outlineLevel="0" collapsed="false">
      <c r="A760" s="416" t="n">
        <f aca="false">IF(B759+0.01&lt;=T_ini+ROUNDUP(Temps_fin_propu,0), 0.01, IF(K759&gt;0, 0.1, 0.0001))</f>
        <v>0.0001</v>
      </c>
      <c r="B760" s="417" t="n">
        <f aca="false">B759+pas</f>
        <v>36.3033000000003</v>
      </c>
      <c r="C760" s="401"/>
      <c r="D760" s="418" t="n">
        <f aca="false">IF(AND(L759&lt;L_rampe,Poussee&lt;Poids*SIN(M759)),0,(-W759+Poussee)/m*COS(M759)-U759/m*SIN(M759))</f>
        <v>-0.79106300140886</v>
      </c>
      <c r="E760" s="419" t="n">
        <f aca="false">IF(AND(L759&lt;L_rampe,Poussee&lt;Poids*SIN(M759)),0,(-W759+Poussee)/m*SIN(M759)+U759/m*COS(M759)-Poids/m)</f>
        <v>-1.98033775861341</v>
      </c>
      <c r="F760" s="417" t="n">
        <f aca="false">SQRT(acc_x^2+acc_z^2)</f>
        <v>2.13249110441005</v>
      </c>
      <c r="G760" s="418" t="n">
        <f aca="false">G759+acc_x*pas</f>
        <v>12.4744070572764</v>
      </c>
      <c r="H760" s="419" t="n">
        <f aca="false">H759+acc_z*pas</f>
        <v>-123.468256989517</v>
      </c>
      <c r="I760" s="417" t="n">
        <f aca="false">SQRT(vit_x^2+vit_z^2)</f>
        <v>124.096822342315</v>
      </c>
      <c r="J760" s="418" t="n">
        <f aca="false">J759+0.5*(vit_x+G759)*pas*(K759&gt;=0)</f>
        <v>913.614336176273</v>
      </c>
      <c r="K760" s="419" t="n">
        <f aca="false">K759+0.5*(vit_z+H759)*pas</f>
        <v>-9.11349414173032</v>
      </c>
      <c r="L760" s="417" t="n">
        <f aca="false">SQRT(pos_x^2+pos_z^2)</f>
        <v>913.659789550949</v>
      </c>
      <c r="M760" s="418" t="n">
        <f aca="false">IF(AND(L759&gt;L_rampe,G760&gt;0),ATAN2(G760,H760),$M$4)</f>
        <v>-1.47010469711499</v>
      </c>
      <c r="N760" s="417" t="n">
        <f aca="false">DEGREES(Beta)</f>
        <v>-84.230794587047</v>
      </c>
      <c r="O760" s="401"/>
      <c r="P760" s="420" t="n">
        <f aca="false">MATCH(t-pas/2-T_ini,CdP_t)</f>
        <v>23</v>
      </c>
      <c r="Q760" s="417" t="n">
        <f aca="false">(INDEX(CdP,2,i_P+1)-INDEX(CdP,2,i_P+0))/(INDEX(CdP,1,i_P+1)-INDEX(CdP,1,i_P+0))*(t-pas/2-T_ini-INDEX(CdP,1,i_P+0))+INDEX(CdP,2,i_P+0)</f>
        <v>0</v>
      </c>
      <c r="R760" s="418" t="n">
        <f aca="false">Poussee/(g*ISP)</f>
        <v>0</v>
      </c>
      <c r="S760" s="419" t="n">
        <f aca="false">S759-Débit*pas</f>
        <v>7.37799999999998</v>
      </c>
      <c r="T760" s="417" t="n">
        <f aca="false">m*g</f>
        <v>72.3781799999998</v>
      </c>
      <c r="U760" s="421" t="n">
        <f aca="false">IF(pos_xz&lt;L_rampe,Poids*COS(Beta),0)</f>
        <v>0</v>
      </c>
      <c r="V760" s="418" t="n">
        <f aca="false">Rho_moyen*(20000-Alt_rampe-pos_z)/(20000+Alt_rampe+pos_z)</f>
        <v>1.2261169119809</v>
      </c>
      <c r="W760" s="417" t="n">
        <f aca="false">1/2*Rho*Sref*Cx*vit_xz^2</f>
        <v>58.0615889542188</v>
      </c>
      <c r="X760" s="401"/>
      <c r="Y760" s="422" t="str">
        <f aca="false">IF(AND(pos_z&lt;=0,K759&gt;0),"Impact balistique","") &amp; IF(AND(H761&lt;0,vit_z&gt;=0),"Apogée","") &amp; IF(AND(Poussee=0,Q759&gt;0),"Fin de propulsion","") &amp; IF(AND(L761&gt;L_rampe,pos_xz&lt;=L_rampe),"Sortie de rampe","")</f>
        <v/>
      </c>
      <c r="Z760" s="423" t="str">
        <f aca="false">IF(ABS(t-T_para)&lt;pas/2,"Para","")</f>
        <v/>
      </c>
      <c r="AA760" s="424" t="str">
        <f aca="false">IF(ABS(t-T_satellite)&lt;pas/2,"Satellite","")</f>
        <v/>
      </c>
      <c r="AB760" s="412"/>
      <c r="AC760" s="420" t="e">
        <f aca="false">IF(ABS(t-ROUND(t,0))&lt;0.001,t,NA())</f>
        <v>#N/A</v>
      </c>
      <c r="AD760" s="425" t="e">
        <f aca="false">IF(ABS(t-ROUND(t,0))&lt;0.001,pos_x,NA())</f>
        <v>#N/A</v>
      </c>
      <c r="AE760" s="426" t="e">
        <f aca="false">IF(t&lt;T_para, pos_z, NA())</f>
        <v>#N/A</v>
      </c>
      <c r="AF760" s="412"/>
      <c r="AG760" s="418" t="n">
        <f aca="false">IF(AND(L759&lt;L_rampe,Poussee&lt;Poids*SIN(M759)),0,(-W759+Poussee)/m-Poids*SIN(M759)/m)</f>
        <v>1.89078743311985</v>
      </c>
      <c r="AH760" s="417" t="n">
        <f aca="false">IF(AND(L759&lt;L_rampe,Poussee&lt;Poids*SIN(M759)), g*SIN(M759), (-W759+Poussee)/m)</f>
        <v>-7.86952295164026</v>
      </c>
    </row>
    <row r="761" customFormat="false" ht="12" hidden="false" customHeight="false" outlineLevel="0" collapsed="false">
      <c r="A761" s="416" t="n">
        <f aca="false">IF(B760+0.01&lt;=T_ini+ROUNDUP(Temps_fin_propu,0), 0.01, IF(K760&gt;0, 0.1, 0.0001))</f>
        <v>0.0001</v>
      </c>
      <c r="B761" s="417" t="n">
        <f aca="false">B760+pas</f>
        <v>36.3034000000003</v>
      </c>
      <c r="C761" s="401"/>
      <c r="D761" s="418" t="n">
        <f aca="false">IF(AND(L760&lt;L_rampe,Poussee&lt;Poids*SIN(M760)),0,(-W760+Poussee)/m*COS(M760)-U760/m*SIN(M760))</f>
        <v>-0.791060166920105</v>
      </c>
      <c r="E761" s="419" t="n">
        <f aca="false">IF(AND(L760&lt;L_rampe,Poussee&lt;Poids*SIN(M760)),0,(-W760+Poussee)/m*SIN(M760)+U760/m*COS(M760)-Poids/m)</f>
        <v>-1.98030360360978</v>
      </c>
      <c r="F761" s="417" t="n">
        <f aca="false">SQRT(acc_x^2+acc_z^2)</f>
        <v>2.13245833491713</v>
      </c>
      <c r="G761" s="418" t="n">
        <f aca="false">G760+acc_x*pas</f>
        <v>12.4743279512597</v>
      </c>
      <c r="H761" s="419" t="n">
        <f aca="false">H760+acc_z*pas</f>
        <v>-123.468455019878</v>
      </c>
      <c r="I761" s="417" t="n">
        <f aca="false">SQRT(vit_x^2+vit_z^2)</f>
        <v>124.097011417806</v>
      </c>
      <c r="J761" s="418" t="n">
        <f aca="false">J760+0.5*(vit_x+G760)*pas*(K760&gt;=0)</f>
        <v>913.614336176273</v>
      </c>
      <c r="K761" s="419" t="n">
        <f aca="false">K760+0.5*(vit_z+H760)*pas</f>
        <v>-9.12584097733079</v>
      </c>
      <c r="L761" s="417" t="n">
        <f aca="false">SQRT(pos_x^2+pos_z^2)</f>
        <v>913.659912790506</v>
      </c>
      <c r="M761" s="418" t="n">
        <f aca="false">IF(AND(L760&gt;L_rampe,G761&gt;0),ATAN2(G761,H761),$M$4)</f>
        <v>-1.47010549174861</v>
      </c>
      <c r="N761" s="417" t="n">
        <f aca="false">DEGREES(Beta)</f>
        <v>-84.2308401161997</v>
      </c>
      <c r="O761" s="401"/>
      <c r="P761" s="420" t="n">
        <f aca="false">MATCH(t-pas/2-T_ini,CdP_t)</f>
        <v>23</v>
      </c>
      <c r="Q761" s="417" t="n">
        <f aca="false">(INDEX(CdP,2,i_P+1)-INDEX(CdP,2,i_P+0))/(INDEX(CdP,1,i_P+1)-INDEX(CdP,1,i_P+0))*(t-pas/2-T_ini-INDEX(CdP,1,i_P+0))+INDEX(CdP,2,i_P+0)</f>
        <v>0</v>
      </c>
      <c r="R761" s="418" t="n">
        <f aca="false">Poussee/(g*ISP)</f>
        <v>0</v>
      </c>
      <c r="S761" s="419" t="n">
        <f aca="false">S760-Débit*pas</f>
        <v>7.37799999999998</v>
      </c>
      <c r="T761" s="417" t="n">
        <f aca="false">m*g</f>
        <v>72.3781799999998</v>
      </c>
      <c r="U761" s="421" t="n">
        <f aca="false">IF(pos_xz&lt;L_rampe,Poids*COS(Beta),0)</f>
        <v>0</v>
      </c>
      <c r="V761" s="418" t="n">
        <f aca="false">Rho_moyen*(20000-Alt_rampe-pos_z)/(20000+Alt_rampe+pos_z)</f>
        <v>1.22611842584855</v>
      </c>
      <c r="W761" s="417" t="n">
        <f aca="false">1/2*Rho*Sref*Cx*vit_xz^2</f>
        <v>58.061837569066</v>
      </c>
      <c r="X761" s="401"/>
      <c r="Y761" s="422" t="str">
        <f aca="false">IF(AND(pos_z&lt;=0,K760&gt;0),"Impact balistique","") &amp; IF(AND(H762&lt;0,vit_z&gt;=0),"Apogée","") &amp; IF(AND(Poussee=0,Q760&gt;0),"Fin de propulsion","") &amp; IF(AND(L762&gt;L_rampe,pos_xz&lt;=L_rampe),"Sortie de rampe","")</f>
        <v/>
      </c>
      <c r="Z761" s="423" t="str">
        <f aca="false">IF(ABS(t-T_para)&lt;pas/2,"Para","")</f>
        <v/>
      </c>
      <c r="AA761" s="424" t="str">
        <f aca="false">IF(ABS(t-T_satellite)&lt;pas/2,"Satellite","")</f>
        <v/>
      </c>
      <c r="AB761" s="412"/>
      <c r="AC761" s="420" t="e">
        <f aca="false">IF(ABS(t-ROUND(t,0))&lt;0.001,t,NA())</f>
        <v>#N/A</v>
      </c>
      <c r="AD761" s="425" t="e">
        <f aca="false">IF(ABS(t-ROUND(t,0))&lt;0.001,pos_x,NA())</f>
        <v>#N/A</v>
      </c>
      <c r="AE761" s="426" t="e">
        <f aca="false">IF(t&lt;T_para, pos_z, NA())</f>
        <v>#N/A</v>
      </c>
      <c r="AF761" s="412"/>
      <c r="AG761" s="418" t="n">
        <f aca="false">IF(AND(L760&lt;L_rampe,Poussee&lt;Poids*SIN(M760)),0,(-W760+Poussee)/m-Poids*SIN(M760)/m)</f>
        <v>1.89075451965698</v>
      </c>
      <c r="AH761" s="417" t="n">
        <f aca="false">IF(AND(L760&lt;L_rampe,Poussee&lt;Poids*SIN(M760)), g*SIN(M760), (-W760+Poussee)/m)</f>
        <v>-7.86955664871495</v>
      </c>
    </row>
    <row r="762" customFormat="false" ht="12" hidden="false" customHeight="false" outlineLevel="0" collapsed="false">
      <c r="A762" s="416" t="n">
        <f aca="false">IF(B761+0.01&lt;=T_ini+ROUNDUP(Temps_fin_propu,0), 0.01, IF(K761&gt;0, 0.1, 0.0001))</f>
        <v>0.0001</v>
      </c>
      <c r="B762" s="417" t="n">
        <f aca="false">B761+pas</f>
        <v>36.3035000000003</v>
      </c>
      <c r="C762" s="401"/>
      <c r="D762" s="418" t="n">
        <f aca="false">IF(AND(L761&lt;L_rampe,Poussee&lt;Poids*SIN(M761)),0,(-W761+Poussee)/m*COS(M761)-U761/m*SIN(M761))</f>
        <v>-0.791057332406419</v>
      </c>
      <c r="E762" s="419" t="n">
        <f aca="false">IF(AND(L761&lt;L_rampe,Poussee&lt;Poids*SIN(M761)),0,(-W761+Poussee)/m*SIN(M761)+U761/m*COS(M761)-Poids/m)</f>
        <v>-1.98026944890422</v>
      </c>
      <c r="F762" s="417" t="n">
        <f aca="false">SQRT(acc_x^2+acc_z^2)</f>
        <v>2.13242556573902</v>
      </c>
      <c r="G762" s="418" t="n">
        <f aca="false">G761+acc_x*pas</f>
        <v>12.4742488455265</v>
      </c>
      <c r="H762" s="419" t="n">
        <f aca="false">H761+acc_z*pas</f>
        <v>-123.468653046823</v>
      </c>
      <c r="I762" s="417" t="n">
        <f aca="false">SQRT(vit_x^2+vit_z^2)</f>
        <v>124.097200490006</v>
      </c>
      <c r="J762" s="418" t="n">
        <f aca="false">J761+0.5*(vit_x+G761)*pas*(K761&gt;=0)</f>
        <v>913.614336176273</v>
      </c>
      <c r="K762" s="419" t="n">
        <f aca="false">K761+0.5*(vit_z+H761)*pas</f>
        <v>-9.13818783273412</v>
      </c>
      <c r="L762" s="417" t="n">
        <f aca="false">SQRT(pos_x^2+pos_z^2)</f>
        <v>913.660036197096</v>
      </c>
      <c r="M762" s="418" t="n">
        <f aca="false">IF(AND(L761&gt;L_rampe,G762&gt;0),ATAN2(G762,H762),$M$4)</f>
        <v>-1.47010628637477</v>
      </c>
      <c r="N762" s="417" t="n">
        <f aca="false">DEGREES(Beta)</f>
        <v>-84.2308856449249</v>
      </c>
      <c r="O762" s="401"/>
      <c r="P762" s="420" t="n">
        <f aca="false">MATCH(t-pas/2-T_ini,CdP_t)</f>
        <v>23</v>
      </c>
      <c r="Q762" s="417" t="n">
        <f aca="false">(INDEX(CdP,2,i_P+1)-INDEX(CdP,2,i_P+0))/(INDEX(CdP,1,i_P+1)-INDEX(CdP,1,i_P+0))*(t-pas/2-T_ini-INDEX(CdP,1,i_P+0))+INDEX(CdP,2,i_P+0)</f>
        <v>0</v>
      </c>
      <c r="R762" s="418" t="n">
        <f aca="false">Poussee/(g*ISP)</f>
        <v>0</v>
      </c>
      <c r="S762" s="419" t="n">
        <f aca="false">S761-Débit*pas</f>
        <v>7.37799999999998</v>
      </c>
      <c r="T762" s="417" t="n">
        <f aca="false">m*g</f>
        <v>72.3781799999998</v>
      </c>
      <c r="U762" s="421" t="n">
        <f aca="false">IF(pos_xz&lt;L_rampe,Poids*COS(Beta),0)</f>
        <v>0</v>
      </c>
      <c r="V762" s="418" t="n">
        <f aca="false">Rho_moyen*(20000-Alt_rampe-pos_z)/(20000+Alt_rampe+pos_z)</f>
        <v>1.22611993972049</v>
      </c>
      <c r="W762" s="417" t="n">
        <f aca="false">1/2*Rho*Sref*Cx*vit_xz^2</f>
        <v>58.0620861817433</v>
      </c>
      <c r="X762" s="401"/>
      <c r="Y762" s="422" t="str">
        <f aca="false">IF(AND(pos_z&lt;=0,K761&gt;0),"Impact balistique","") &amp; IF(AND(H763&lt;0,vit_z&gt;=0),"Apogée","") &amp; IF(AND(Poussee=0,Q761&gt;0),"Fin de propulsion","") &amp; IF(AND(L763&gt;L_rampe,pos_xz&lt;=L_rampe),"Sortie de rampe","")</f>
        <v/>
      </c>
      <c r="Z762" s="423" t="str">
        <f aca="false">IF(ABS(t-T_para)&lt;pas/2,"Para","")</f>
        <v/>
      </c>
      <c r="AA762" s="424" t="str">
        <f aca="false">IF(ABS(t-T_satellite)&lt;pas/2,"Satellite","")</f>
        <v/>
      </c>
      <c r="AB762" s="412"/>
      <c r="AC762" s="420" t="e">
        <f aca="false">IF(ABS(t-ROUND(t,0))&lt;0.001,t,NA())</f>
        <v>#N/A</v>
      </c>
      <c r="AD762" s="425" t="e">
        <f aca="false">IF(ABS(t-ROUND(t,0))&lt;0.001,pos_x,NA())</f>
        <v>#N/A</v>
      </c>
      <c r="AE762" s="426" t="e">
        <f aca="false">IF(t&lt;T_para, pos_z, NA())</f>
        <v>#N/A</v>
      </c>
      <c r="AF762" s="412"/>
      <c r="AG762" s="418" t="n">
        <f aca="false">IF(AND(L761&lt;L_rampe,Poussee&lt;Poids*SIN(M761)),0,(-W761+Poussee)/m-Poids*SIN(M761)/m)</f>
        <v>1.89072160647469</v>
      </c>
      <c r="AH762" s="417" t="n">
        <f aca="false">IF(AND(L761&lt;L_rampe,Poussee&lt;Poids*SIN(M761)), g*SIN(M761), (-W761+Poussee)/m)</f>
        <v>-7.86959034549554</v>
      </c>
    </row>
    <row r="763" customFormat="false" ht="12" hidden="false" customHeight="false" outlineLevel="0" collapsed="false">
      <c r="A763" s="416" t="n">
        <f aca="false">IF(B762+0.01&lt;=T_ini+ROUNDUP(Temps_fin_propu,0), 0.01, IF(K762&gt;0, 0.1, 0.0001))</f>
        <v>0.0001</v>
      </c>
      <c r="B763" s="417" t="n">
        <f aca="false">B762+pas</f>
        <v>36.3036000000003</v>
      </c>
      <c r="C763" s="401"/>
      <c r="D763" s="418" t="n">
        <f aca="false">IF(AND(L762&lt;L_rampe,Poussee&lt;Poids*SIN(M762)),0,(-W762+Poussee)/m*COS(M762)-U762/m*SIN(M762))</f>
        <v>-0.791054497867804</v>
      </c>
      <c r="E763" s="419" t="n">
        <f aca="false">IF(AND(L762&lt;L_rampe,Poussee&lt;Poids*SIN(M762)),0,(-W762+Poussee)/m*SIN(M762)+U762/m*COS(M762)-Poids/m)</f>
        <v>-1.98023529449673</v>
      </c>
      <c r="F763" s="417" t="n">
        <f aca="false">SQRT(acc_x^2+acc_z^2)</f>
        <v>2.13239279687572</v>
      </c>
      <c r="G763" s="418" t="n">
        <f aca="false">G762+acc_x*pas</f>
        <v>12.4741697400767</v>
      </c>
      <c r="H763" s="419" t="n">
        <f aca="false">H762+acc_z*pas</f>
        <v>-123.468851070352</v>
      </c>
      <c r="I763" s="417" t="n">
        <f aca="false">SQRT(vit_x^2+vit_z^2)</f>
        <v>124.097389558915</v>
      </c>
      <c r="J763" s="418" t="n">
        <f aca="false">J762+0.5*(vit_x+G762)*pas*(K762&gt;=0)</f>
        <v>913.614336176273</v>
      </c>
      <c r="K763" s="419" t="n">
        <f aca="false">K762+0.5*(vit_z+H762)*pas</f>
        <v>-9.15053470793998</v>
      </c>
      <c r="L763" s="417" t="n">
        <f aca="false">SQRT(pos_x^2+pos_z^2)</f>
        <v>913.660159770718</v>
      </c>
      <c r="M763" s="418" t="n">
        <f aca="false">IF(AND(L762&gt;L_rampe,G763&gt;0),ATAN2(G763,H763),$M$4)</f>
        <v>-1.47010708099347</v>
      </c>
      <c r="N763" s="417" t="n">
        <f aca="false">DEGREES(Beta)</f>
        <v>-84.2309311732226</v>
      </c>
      <c r="O763" s="401"/>
      <c r="P763" s="420" t="n">
        <f aca="false">MATCH(t-pas/2-T_ini,CdP_t)</f>
        <v>23</v>
      </c>
      <c r="Q763" s="417" t="n">
        <f aca="false">(INDEX(CdP,2,i_P+1)-INDEX(CdP,2,i_P+0))/(INDEX(CdP,1,i_P+1)-INDEX(CdP,1,i_P+0))*(t-pas/2-T_ini-INDEX(CdP,1,i_P+0))+INDEX(CdP,2,i_P+0)</f>
        <v>0</v>
      </c>
      <c r="R763" s="418" t="n">
        <f aca="false">Poussee/(g*ISP)</f>
        <v>0</v>
      </c>
      <c r="S763" s="419" t="n">
        <f aca="false">S762-Débit*pas</f>
        <v>7.37799999999998</v>
      </c>
      <c r="T763" s="417" t="n">
        <f aca="false">m*g</f>
        <v>72.3781799999998</v>
      </c>
      <c r="U763" s="421" t="n">
        <f aca="false">IF(pos_xz&lt;L_rampe,Poids*COS(Beta),0)</f>
        <v>0</v>
      </c>
      <c r="V763" s="418" t="n">
        <f aca="false">Rho_moyen*(20000-Alt_rampe-pos_z)/(20000+Alt_rampe+pos_z)</f>
        <v>1.22612145359673</v>
      </c>
      <c r="W763" s="417" t="n">
        <f aca="false">1/2*Rho*Sref*Cx*vit_xz^2</f>
        <v>58.0623347922508</v>
      </c>
      <c r="X763" s="401"/>
      <c r="Y763" s="422" t="str">
        <f aca="false">IF(AND(pos_z&lt;=0,K762&gt;0),"Impact balistique","") &amp; IF(AND(H764&lt;0,vit_z&gt;=0),"Apogée","") &amp; IF(AND(Poussee=0,Q762&gt;0),"Fin de propulsion","") &amp; IF(AND(L764&gt;L_rampe,pos_xz&lt;=L_rampe),"Sortie de rampe","")</f>
        <v/>
      </c>
      <c r="Z763" s="423" t="str">
        <f aca="false">IF(ABS(t-T_para)&lt;pas/2,"Para","")</f>
        <v/>
      </c>
      <c r="AA763" s="424" t="str">
        <f aca="false">IF(ABS(t-T_satellite)&lt;pas/2,"Satellite","")</f>
        <v/>
      </c>
      <c r="AB763" s="412"/>
      <c r="AC763" s="420" t="e">
        <f aca="false">IF(ABS(t-ROUND(t,0))&lt;0.001,t,NA())</f>
        <v>#N/A</v>
      </c>
      <c r="AD763" s="425" t="e">
        <f aca="false">IF(ABS(t-ROUND(t,0))&lt;0.001,pos_x,NA())</f>
        <v>#N/A</v>
      </c>
      <c r="AE763" s="426" t="e">
        <f aca="false">IF(t&lt;T_para, pos_z, NA())</f>
        <v>#N/A</v>
      </c>
      <c r="AF763" s="412"/>
      <c r="AG763" s="418" t="n">
        <f aca="false">IF(AND(L762&lt;L_rampe,Poussee&lt;Poids*SIN(M762)),0,(-W762+Poussee)/m-Poids*SIN(M762)/m)</f>
        <v>1.89068869357298</v>
      </c>
      <c r="AH763" s="417" t="n">
        <f aca="false">IF(AND(L762&lt;L_rampe,Poussee&lt;Poids*SIN(M762)), g*SIN(M762), (-W762+Poussee)/m)</f>
        <v>-7.86962404198203</v>
      </c>
    </row>
    <row r="764" customFormat="false" ht="12" hidden="false" customHeight="false" outlineLevel="0" collapsed="false">
      <c r="A764" s="416" t="n">
        <f aca="false">IF(B763+0.01&lt;=T_ini+ROUNDUP(Temps_fin_propu,0), 0.01, IF(K763&gt;0, 0.1, 0.0001))</f>
        <v>0.0001</v>
      </c>
      <c r="B764" s="417" t="n">
        <f aca="false">B763+pas</f>
        <v>36.3037000000003</v>
      </c>
      <c r="C764" s="401"/>
      <c r="D764" s="418" t="n">
        <f aca="false">IF(AND(L763&lt;L_rampe,Poussee&lt;Poids*SIN(M763)),0,(-W763+Poussee)/m*COS(M763)-U763/m*SIN(M763))</f>
        <v>-0.791051663304258</v>
      </c>
      <c r="E764" s="419" t="n">
        <f aca="false">IF(AND(L763&lt;L_rampe,Poussee&lt;Poids*SIN(M763)),0,(-W763+Poussee)/m*SIN(M763)+U763/m*COS(M763)-Poids/m)</f>
        <v>-1.98020114038731</v>
      </c>
      <c r="F764" s="417" t="n">
        <f aca="false">SQRT(acc_x^2+acc_z^2)</f>
        <v>2.13236002832722</v>
      </c>
      <c r="G764" s="418" t="n">
        <f aca="false">G763+acc_x*pas</f>
        <v>12.4740906349104</v>
      </c>
      <c r="H764" s="419" t="n">
        <f aca="false">H763+acc_z*pas</f>
        <v>-123.469049090466</v>
      </c>
      <c r="I764" s="417" t="n">
        <f aca="false">SQRT(vit_x^2+vit_z^2)</f>
        <v>124.097578624532</v>
      </c>
      <c r="J764" s="418" t="n">
        <f aca="false">J763+0.5*(vit_x+G763)*pas*(K763&gt;=0)</f>
        <v>913.614336176273</v>
      </c>
      <c r="K764" s="419" t="n">
        <f aca="false">K763+0.5*(vit_z+H763)*pas</f>
        <v>-9.16288160294802</v>
      </c>
      <c r="L764" s="417" t="n">
        <f aca="false">SQRT(pos_x^2+pos_z^2)</f>
        <v>913.660283511373</v>
      </c>
      <c r="M764" s="418" t="n">
        <f aca="false">IF(AND(L763&gt;L_rampe,G764&gt;0),ATAN2(G764,H764),$M$4)</f>
        <v>-1.4701078756047</v>
      </c>
      <c r="N764" s="417" t="n">
        <f aca="false">DEGREES(Beta)</f>
        <v>-84.2309767010929</v>
      </c>
      <c r="O764" s="401"/>
      <c r="P764" s="420" t="n">
        <f aca="false">MATCH(t-pas/2-T_ini,CdP_t)</f>
        <v>23</v>
      </c>
      <c r="Q764" s="417" t="n">
        <f aca="false">(INDEX(CdP,2,i_P+1)-INDEX(CdP,2,i_P+0))/(INDEX(CdP,1,i_P+1)-INDEX(CdP,1,i_P+0))*(t-pas/2-T_ini-INDEX(CdP,1,i_P+0))+INDEX(CdP,2,i_P+0)</f>
        <v>0</v>
      </c>
      <c r="R764" s="418" t="n">
        <f aca="false">Poussee/(g*ISP)</f>
        <v>0</v>
      </c>
      <c r="S764" s="419" t="n">
        <f aca="false">S763-Débit*pas</f>
        <v>7.37799999999998</v>
      </c>
      <c r="T764" s="417" t="n">
        <f aca="false">m*g</f>
        <v>72.3781799999998</v>
      </c>
      <c r="U764" s="421" t="n">
        <f aca="false">IF(pos_xz&lt;L_rampe,Poids*COS(Beta),0)</f>
        <v>0</v>
      </c>
      <c r="V764" s="418" t="n">
        <f aca="false">Rho_moyen*(20000-Alt_rampe-pos_z)/(20000+Alt_rampe+pos_z)</f>
        <v>1.22612296747726</v>
      </c>
      <c r="W764" s="417" t="n">
        <f aca="false">1/2*Rho*Sref*Cx*vit_xz^2</f>
        <v>58.0625834005884</v>
      </c>
      <c r="X764" s="401"/>
      <c r="Y764" s="422" t="str">
        <f aca="false">IF(AND(pos_z&lt;=0,K763&gt;0),"Impact balistique","") &amp; IF(AND(H765&lt;0,vit_z&gt;=0),"Apogée","") &amp; IF(AND(Poussee=0,Q763&gt;0),"Fin de propulsion","") &amp; IF(AND(L765&gt;L_rampe,pos_xz&lt;=L_rampe),"Sortie de rampe","")</f>
        <v/>
      </c>
      <c r="Z764" s="423" t="str">
        <f aca="false">IF(ABS(t-T_para)&lt;pas/2,"Para","")</f>
        <v/>
      </c>
      <c r="AA764" s="424" t="str">
        <f aca="false">IF(ABS(t-T_satellite)&lt;pas/2,"Satellite","")</f>
        <v/>
      </c>
      <c r="AB764" s="412"/>
      <c r="AC764" s="420" t="e">
        <f aca="false">IF(ABS(t-ROUND(t,0))&lt;0.001,t,NA())</f>
        <v>#N/A</v>
      </c>
      <c r="AD764" s="425" t="e">
        <f aca="false">IF(ABS(t-ROUND(t,0))&lt;0.001,pos_x,NA())</f>
        <v>#N/A</v>
      </c>
      <c r="AE764" s="426" t="e">
        <f aca="false">IF(t&lt;T_para, pos_z, NA())</f>
        <v>#N/A</v>
      </c>
      <c r="AF764" s="412"/>
      <c r="AG764" s="418" t="n">
        <f aca="false">IF(AND(L763&lt;L_rampe,Poussee&lt;Poids*SIN(M763)),0,(-W763+Poussee)/m-Poids*SIN(M763)/m)</f>
        <v>1.89065578095185</v>
      </c>
      <c r="AH764" s="417" t="n">
        <f aca="false">IF(AND(L763&lt;L_rampe,Poussee&lt;Poids*SIN(M763)), g*SIN(M763), (-W763+Poussee)/m)</f>
        <v>-7.86965773817442</v>
      </c>
    </row>
    <row r="765" customFormat="false" ht="12" hidden="false" customHeight="false" outlineLevel="0" collapsed="false">
      <c r="A765" s="416" t="n">
        <f aca="false">IF(B764+0.01&lt;=T_ini+ROUNDUP(Temps_fin_propu,0), 0.01, IF(K764&gt;0, 0.1, 0.0001))</f>
        <v>0.0001</v>
      </c>
      <c r="B765" s="417" t="n">
        <f aca="false">B764+pas</f>
        <v>36.3038000000003</v>
      </c>
      <c r="C765" s="401"/>
      <c r="D765" s="418" t="n">
        <f aca="false">IF(AND(L764&lt;L_rampe,Poussee&lt;Poids*SIN(M764)),0,(-W764+Poussee)/m*COS(M764)-U764/m*SIN(M764))</f>
        <v>-0.791048828715785</v>
      </c>
      <c r="E765" s="419" t="n">
        <f aca="false">IF(AND(L764&lt;L_rampe,Poussee&lt;Poids*SIN(M764)),0,(-W764+Poussee)/m*SIN(M764)+U764/m*COS(M764)-Poids/m)</f>
        <v>-1.98016698657597</v>
      </c>
      <c r="F765" s="417" t="n">
        <f aca="false">SQRT(acc_x^2+acc_z^2)</f>
        <v>2.13232726009353</v>
      </c>
      <c r="G765" s="418" t="n">
        <f aca="false">G764+acc_x*pas</f>
        <v>12.4740115300275</v>
      </c>
      <c r="H765" s="419" t="n">
        <f aca="false">H764+acc_z*pas</f>
        <v>-123.469247107165</v>
      </c>
      <c r="I765" s="417" t="n">
        <f aca="false">SQRT(vit_x^2+vit_z^2)</f>
        <v>124.097767686858</v>
      </c>
      <c r="J765" s="418" t="n">
        <f aca="false">J764+0.5*(vit_x+G764)*pas*(K764&gt;=0)</f>
        <v>913.614336176273</v>
      </c>
      <c r="K765" s="419" t="n">
        <f aca="false">K764+0.5*(vit_z+H764)*pas</f>
        <v>-9.1752285177579</v>
      </c>
      <c r="L765" s="417" t="n">
        <f aca="false">SQRT(pos_x^2+pos_z^2)</f>
        <v>913.660407419061</v>
      </c>
      <c r="M765" s="418" t="n">
        <f aca="false">IF(AND(L764&gt;L_rampe,G765&gt;0),ATAN2(G765,H765),$M$4)</f>
        <v>-1.47010867020848</v>
      </c>
      <c r="N765" s="417" t="n">
        <f aca="false">DEGREES(Beta)</f>
        <v>-84.2310222285358</v>
      </c>
      <c r="O765" s="401"/>
      <c r="P765" s="420" t="n">
        <f aca="false">MATCH(t-pas/2-T_ini,CdP_t)</f>
        <v>23</v>
      </c>
      <c r="Q765" s="417" t="n">
        <f aca="false">(INDEX(CdP,2,i_P+1)-INDEX(CdP,2,i_P+0))/(INDEX(CdP,1,i_P+1)-INDEX(CdP,1,i_P+0))*(t-pas/2-T_ini-INDEX(CdP,1,i_P+0))+INDEX(CdP,2,i_P+0)</f>
        <v>0</v>
      </c>
      <c r="R765" s="418" t="n">
        <f aca="false">Poussee/(g*ISP)</f>
        <v>0</v>
      </c>
      <c r="S765" s="419" t="n">
        <f aca="false">S764-Débit*pas</f>
        <v>7.37799999999998</v>
      </c>
      <c r="T765" s="417" t="n">
        <f aca="false">m*g</f>
        <v>72.3781799999998</v>
      </c>
      <c r="U765" s="421" t="n">
        <f aca="false">IF(pos_xz&lt;L_rampe,Poids*COS(Beta),0)</f>
        <v>0</v>
      </c>
      <c r="V765" s="418" t="n">
        <f aca="false">Rho_moyen*(20000-Alt_rampe-pos_z)/(20000+Alt_rampe+pos_z)</f>
        <v>1.2261244813621</v>
      </c>
      <c r="W765" s="417" t="n">
        <f aca="false">1/2*Rho*Sref*Cx*vit_xz^2</f>
        <v>58.0628320067561</v>
      </c>
      <c r="X765" s="401"/>
      <c r="Y765" s="422" t="str">
        <f aca="false">IF(AND(pos_z&lt;=0,K764&gt;0),"Impact balistique","") &amp; IF(AND(H766&lt;0,vit_z&gt;=0),"Apogée","") &amp; IF(AND(Poussee=0,Q764&gt;0),"Fin de propulsion","") &amp; IF(AND(L766&gt;L_rampe,pos_xz&lt;=L_rampe),"Sortie de rampe","")</f>
        <v/>
      </c>
      <c r="Z765" s="423" t="str">
        <f aca="false">IF(ABS(t-T_para)&lt;pas/2,"Para","")</f>
        <v/>
      </c>
      <c r="AA765" s="424" t="str">
        <f aca="false">IF(ABS(t-T_satellite)&lt;pas/2,"Satellite","")</f>
        <v/>
      </c>
      <c r="AB765" s="412"/>
      <c r="AC765" s="420" t="e">
        <f aca="false">IF(ABS(t-ROUND(t,0))&lt;0.001,t,NA())</f>
        <v>#N/A</v>
      </c>
      <c r="AD765" s="425" t="e">
        <f aca="false">IF(ABS(t-ROUND(t,0))&lt;0.001,pos_x,NA())</f>
        <v>#N/A</v>
      </c>
      <c r="AE765" s="426" t="e">
        <f aca="false">IF(t&lt;T_para, pos_z, NA())</f>
        <v>#N/A</v>
      </c>
      <c r="AF765" s="412"/>
      <c r="AG765" s="418" t="n">
        <f aca="false">IF(AND(L764&lt;L_rampe,Poussee&lt;Poids*SIN(M764)),0,(-W764+Poussee)/m-Poids*SIN(M764)/m)</f>
        <v>1.89062286861129</v>
      </c>
      <c r="AH765" s="417" t="n">
        <f aca="false">IF(AND(L764&lt;L_rampe,Poussee&lt;Poids*SIN(M764)), g*SIN(M764), (-W764+Poussee)/m)</f>
        <v>-7.86969143407272</v>
      </c>
    </row>
    <row r="766" customFormat="false" ht="12" hidden="false" customHeight="false" outlineLevel="0" collapsed="false">
      <c r="A766" s="416" t="n">
        <f aca="false">IF(B765+0.01&lt;=T_ini+ROUNDUP(Temps_fin_propu,0), 0.01, IF(K765&gt;0, 0.1, 0.0001))</f>
        <v>0.0001</v>
      </c>
      <c r="B766" s="417" t="n">
        <f aca="false">B765+pas</f>
        <v>36.3039000000003</v>
      </c>
      <c r="C766" s="401"/>
      <c r="D766" s="418" t="n">
        <f aca="false">IF(AND(L765&lt;L_rampe,Poussee&lt;Poids*SIN(M765)),0,(-W765+Poussee)/m*COS(M765)-U765/m*SIN(M765))</f>
        <v>-0.791045994102382</v>
      </c>
      <c r="E766" s="419" t="n">
        <f aca="false">IF(AND(L765&lt;L_rampe,Poussee&lt;Poids*SIN(M765)),0,(-W765+Poussee)/m*SIN(M765)+U765/m*COS(M765)-Poids/m)</f>
        <v>-1.98013283306269</v>
      </c>
      <c r="F766" s="417" t="n">
        <f aca="false">SQRT(acc_x^2+acc_z^2)</f>
        <v>2.13229449217464</v>
      </c>
      <c r="G766" s="418" t="n">
        <f aca="false">G765+acc_x*pas</f>
        <v>12.4739324254281</v>
      </c>
      <c r="H766" s="419" t="n">
        <f aca="false">H765+acc_z*pas</f>
        <v>-123.469445120448</v>
      </c>
      <c r="I766" s="417" t="n">
        <f aca="false">SQRT(vit_x^2+vit_z^2)</f>
        <v>124.097956745893</v>
      </c>
      <c r="J766" s="418" t="n">
        <f aca="false">J765+0.5*(vit_x+G765)*pas*(K765&gt;=0)</f>
        <v>913.614336176273</v>
      </c>
      <c r="K766" s="419" t="n">
        <f aca="false">K765+0.5*(vit_z+H765)*pas</f>
        <v>-9.18757545236928</v>
      </c>
      <c r="L766" s="417" t="n">
        <f aca="false">SQRT(pos_x^2+pos_z^2)</f>
        <v>913.660531493785</v>
      </c>
      <c r="M766" s="418" t="n">
        <f aca="false">IF(AND(L765&gt;L_rampe,G766&gt;0),ATAN2(G766,H766),$M$4)</f>
        <v>-1.4701094648048</v>
      </c>
      <c r="N766" s="417" t="n">
        <f aca="false">DEGREES(Beta)</f>
        <v>-84.2310677555513</v>
      </c>
      <c r="O766" s="401"/>
      <c r="P766" s="420" t="n">
        <f aca="false">MATCH(t-pas/2-T_ini,CdP_t)</f>
        <v>23</v>
      </c>
      <c r="Q766" s="417" t="n">
        <f aca="false">(INDEX(CdP,2,i_P+1)-INDEX(CdP,2,i_P+0))/(INDEX(CdP,1,i_P+1)-INDEX(CdP,1,i_P+0))*(t-pas/2-T_ini-INDEX(CdP,1,i_P+0))+INDEX(CdP,2,i_P+0)</f>
        <v>0</v>
      </c>
      <c r="R766" s="418" t="n">
        <f aca="false">Poussee/(g*ISP)</f>
        <v>0</v>
      </c>
      <c r="S766" s="419" t="n">
        <f aca="false">S765-Débit*pas</f>
        <v>7.37799999999998</v>
      </c>
      <c r="T766" s="417" t="n">
        <f aca="false">m*g</f>
        <v>72.3781799999998</v>
      </c>
      <c r="U766" s="421" t="n">
        <f aca="false">IF(pos_xz&lt;L_rampe,Poids*COS(Beta),0)</f>
        <v>0</v>
      </c>
      <c r="V766" s="418" t="n">
        <f aca="false">Rho_moyen*(20000-Alt_rampe-pos_z)/(20000+Alt_rampe+pos_z)</f>
        <v>1.22612599525123</v>
      </c>
      <c r="W766" s="417" t="n">
        <f aca="false">1/2*Rho*Sref*Cx*vit_xz^2</f>
        <v>58.0630806107541</v>
      </c>
      <c r="X766" s="401"/>
      <c r="Y766" s="422" t="str">
        <f aca="false">IF(AND(pos_z&lt;=0,K765&gt;0),"Impact balistique","") &amp; IF(AND(H767&lt;0,vit_z&gt;=0),"Apogée","") &amp; IF(AND(Poussee=0,Q765&gt;0),"Fin de propulsion","") &amp; IF(AND(L767&gt;L_rampe,pos_xz&lt;=L_rampe),"Sortie de rampe","")</f>
        <v/>
      </c>
      <c r="Z766" s="423" t="str">
        <f aca="false">IF(ABS(t-T_para)&lt;pas/2,"Para","")</f>
        <v/>
      </c>
      <c r="AA766" s="424" t="str">
        <f aca="false">IF(ABS(t-T_satellite)&lt;pas/2,"Satellite","")</f>
        <v/>
      </c>
      <c r="AB766" s="412"/>
      <c r="AC766" s="420" t="e">
        <f aca="false">IF(ABS(t-ROUND(t,0))&lt;0.001,t,NA())</f>
        <v>#N/A</v>
      </c>
      <c r="AD766" s="425" t="e">
        <f aca="false">IF(ABS(t-ROUND(t,0))&lt;0.001,pos_x,NA())</f>
        <v>#N/A</v>
      </c>
      <c r="AE766" s="426" t="e">
        <f aca="false">IF(t&lt;T_para, pos_z, NA())</f>
        <v>#N/A</v>
      </c>
      <c r="AF766" s="412"/>
      <c r="AG766" s="418" t="n">
        <f aca="false">IF(AND(L765&lt;L_rampe,Poussee&lt;Poids*SIN(M765)),0,(-W765+Poussee)/m-Poids*SIN(M765)/m)</f>
        <v>1.89058995655132</v>
      </c>
      <c r="AH766" s="417" t="n">
        <f aca="false">IF(AND(L765&lt;L_rampe,Poussee&lt;Poids*SIN(M765)), g*SIN(M765), (-W765+Poussee)/m)</f>
        <v>-7.86972512967691</v>
      </c>
    </row>
    <row r="767" customFormat="false" ht="12" hidden="false" customHeight="false" outlineLevel="0" collapsed="false">
      <c r="A767" s="416" t="n">
        <f aca="false">IF(B766+0.01&lt;=T_ini+ROUNDUP(Temps_fin_propu,0), 0.01, IF(K766&gt;0, 0.1, 0.0001))</f>
        <v>0.0001</v>
      </c>
      <c r="B767" s="417" t="n">
        <f aca="false">B766+pas</f>
        <v>36.3040000000003</v>
      </c>
      <c r="C767" s="401"/>
      <c r="D767" s="418" t="n">
        <f aca="false">IF(AND(L766&lt;L_rampe,Poussee&lt;Poids*SIN(M766)),0,(-W766+Poussee)/m*COS(M766)-U766/m*SIN(M766))</f>
        <v>-0.791043159464053</v>
      </c>
      <c r="E767" s="419" t="n">
        <f aca="false">IF(AND(L766&lt;L_rampe,Poussee&lt;Poids*SIN(M766)),0,(-W766+Poussee)/m*SIN(M766)+U766/m*COS(M766)-Poids/m)</f>
        <v>-1.98009867984748</v>
      </c>
      <c r="F767" s="417" t="n">
        <f aca="false">SQRT(acc_x^2+acc_z^2)</f>
        <v>2.13226172457056</v>
      </c>
      <c r="G767" s="418" t="n">
        <f aca="false">G766+acc_x*pas</f>
        <v>12.4738533211121</v>
      </c>
      <c r="H767" s="419" t="n">
        <f aca="false">H766+acc_z*pas</f>
        <v>-123.469643130316</v>
      </c>
      <c r="I767" s="417" t="n">
        <f aca="false">SQRT(vit_x^2+vit_z^2)</f>
        <v>124.098145801636</v>
      </c>
      <c r="J767" s="418" t="n">
        <f aca="false">J766+0.5*(vit_x+G766)*pas*(K766&gt;=0)</f>
        <v>913.614336176273</v>
      </c>
      <c r="K767" s="419" t="n">
        <f aca="false">K766+0.5*(vit_z+H766)*pas</f>
        <v>-9.19992240678182</v>
      </c>
      <c r="L767" s="417" t="n">
        <f aca="false">SQRT(pos_x^2+pos_z^2)</f>
        <v>913.660655735543</v>
      </c>
      <c r="M767" s="418" t="n">
        <f aca="false">IF(AND(L766&gt;L_rampe,G767&gt;0),ATAN2(G767,H767),$M$4)</f>
        <v>-1.47011025939366</v>
      </c>
      <c r="N767" s="417" t="n">
        <f aca="false">DEGREES(Beta)</f>
        <v>-84.2311132821393</v>
      </c>
      <c r="O767" s="401"/>
      <c r="P767" s="420" t="n">
        <f aca="false">MATCH(t-pas/2-T_ini,CdP_t)</f>
        <v>23</v>
      </c>
      <c r="Q767" s="417" t="n">
        <f aca="false">(INDEX(CdP,2,i_P+1)-INDEX(CdP,2,i_P+0))/(INDEX(CdP,1,i_P+1)-INDEX(CdP,1,i_P+0))*(t-pas/2-T_ini-INDEX(CdP,1,i_P+0))+INDEX(CdP,2,i_P+0)</f>
        <v>0</v>
      </c>
      <c r="R767" s="418" t="n">
        <f aca="false">Poussee/(g*ISP)</f>
        <v>0</v>
      </c>
      <c r="S767" s="419" t="n">
        <f aca="false">S766-Débit*pas</f>
        <v>7.37799999999998</v>
      </c>
      <c r="T767" s="417" t="n">
        <f aca="false">m*g</f>
        <v>72.3781799999998</v>
      </c>
      <c r="U767" s="421" t="n">
        <f aca="false">IF(pos_xz&lt;L_rampe,Poids*COS(Beta),0)</f>
        <v>0</v>
      </c>
      <c r="V767" s="418" t="n">
        <f aca="false">Rho_moyen*(20000-Alt_rampe-pos_z)/(20000+Alt_rampe+pos_z)</f>
        <v>1.22612750914466</v>
      </c>
      <c r="W767" s="417" t="n">
        <f aca="false">1/2*Rho*Sref*Cx*vit_xz^2</f>
        <v>58.0633292125821</v>
      </c>
      <c r="X767" s="401"/>
      <c r="Y767" s="422" t="str">
        <f aca="false">IF(AND(pos_z&lt;=0,K766&gt;0),"Impact balistique","") &amp; IF(AND(H768&lt;0,vit_z&gt;=0),"Apogée","") &amp; IF(AND(Poussee=0,Q766&gt;0),"Fin de propulsion","") &amp; IF(AND(L768&gt;L_rampe,pos_xz&lt;=L_rampe),"Sortie de rampe","")</f>
        <v/>
      </c>
      <c r="Z767" s="423" t="str">
        <f aca="false">IF(ABS(t-T_para)&lt;pas/2,"Para","")</f>
        <v/>
      </c>
      <c r="AA767" s="424" t="str">
        <f aca="false">IF(ABS(t-T_satellite)&lt;pas/2,"Satellite","")</f>
        <v/>
      </c>
      <c r="AB767" s="412"/>
      <c r="AC767" s="420" t="e">
        <f aca="false">IF(ABS(t-ROUND(t,0))&lt;0.001,t,NA())</f>
        <v>#N/A</v>
      </c>
      <c r="AD767" s="425" t="e">
        <f aca="false">IF(ABS(t-ROUND(t,0))&lt;0.001,pos_x,NA())</f>
        <v>#N/A</v>
      </c>
      <c r="AE767" s="426" t="e">
        <f aca="false">IF(t&lt;T_para, pos_z, NA())</f>
        <v>#N/A</v>
      </c>
      <c r="AF767" s="412"/>
      <c r="AG767" s="418" t="n">
        <f aca="false">IF(AND(L766&lt;L_rampe,Poussee&lt;Poids*SIN(M766)),0,(-W766+Poussee)/m-Poids*SIN(M766)/m)</f>
        <v>1.89055704477192</v>
      </c>
      <c r="AH767" s="417" t="n">
        <f aca="false">IF(AND(L766&lt;L_rampe,Poussee&lt;Poids*SIN(M766)), g*SIN(M766), (-W766+Poussee)/m)</f>
        <v>-7.86975882498701</v>
      </c>
    </row>
    <row r="768" customFormat="false" ht="12" hidden="false" customHeight="false" outlineLevel="0" collapsed="false">
      <c r="A768" s="416" t="n">
        <f aca="false">IF(B767+0.01&lt;=T_ini+ROUNDUP(Temps_fin_propu,0), 0.01, IF(K767&gt;0, 0.1, 0.0001))</f>
        <v>0.0001</v>
      </c>
      <c r="B768" s="417" t="n">
        <f aca="false">B767+pas</f>
        <v>36.3041000000003</v>
      </c>
      <c r="C768" s="401"/>
      <c r="D768" s="418" t="n">
        <f aca="false">IF(AND(L767&lt;L_rampe,Poussee&lt;Poids*SIN(M767)),0,(-W767+Poussee)/m*COS(M767)-U767/m*SIN(M767))</f>
        <v>-0.791040324800797</v>
      </c>
      <c r="E768" s="419" t="n">
        <f aca="false">IF(AND(L767&lt;L_rampe,Poussee&lt;Poids*SIN(M767)),0,(-W767+Poussee)/m*SIN(M767)+U767/m*COS(M767)-Poids/m)</f>
        <v>-1.98006452693035</v>
      </c>
      <c r="F768" s="417" t="n">
        <f aca="false">SQRT(acc_x^2+acc_z^2)</f>
        <v>2.13222895728129</v>
      </c>
      <c r="G768" s="418" t="n">
        <f aca="false">G767+acc_x*pas</f>
        <v>12.4737742170797</v>
      </c>
      <c r="H768" s="419" t="n">
        <f aca="false">H767+acc_z*pas</f>
        <v>-123.469841136769</v>
      </c>
      <c r="I768" s="417" t="n">
        <f aca="false">SQRT(vit_x^2+vit_z^2)</f>
        <v>124.098334854089</v>
      </c>
      <c r="J768" s="418" t="n">
        <f aca="false">J767+0.5*(vit_x+G767)*pas*(K767&gt;=0)</f>
        <v>913.614336176273</v>
      </c>
      <c r="K768" s="419" t="n">
        <f aca="false">K767+0.5*(vit_z+H767)*pas</f>
        <v>-9.21226938099518</v>
      </c>
      <c r="L768" s="417" t="n">
        <f aca="false">SQRT(pos_x^2+pos_z^2)</f>
        <v>913.660780144338</v>
      </c>
      <c r="M768" s="418" t="n">
        <f aca="false">IF(AND(L767&gt;L_rampe,G768&gt;0),ATAN2(G768,H768),$M$4)</f>
        <v>-1.47011105397506</v>
      </c>
      <c r="N768" s="417" t="n">
        <f aca="false">DEGREES(Beta)</f>
        <v>-84.2311588082998</v>
      </c>
      <c r="O768" s="401"/>
      <c r="P768" s="420" t="n">
        <f aca="false">MATCH(t-pas/2-T_ini,CdP_t)</f>
        <v>23</v>
      </c>
      <c r="Q768" s="417" t="n">
        <f aca="false">(INDEX(CdP,2,i_P+1)-INDEX(CdP,2,i_P+0))/(INDEX(CdP,1,i_P+1)-INDEX(CdP,1,i_P+0))*(t-pas/2-T_ini-INDEX(CdP,1,i_P+0))+INDEX(CdP,2,i_P+0)</f>
        <v>0</v>
      </c>
      <c r="R768" s="418" t="n">
        <f aca="false">Poussee/(g*ISP)</f>
        <v>0</v>
      </c>
      <c r="S768" s="419" t="n">
        <f aca="false">S767-Débit*pas</f>
        <v>7.37799999999998</v>
      </c>
      <c r="T768" s="417" t="n">
        <f aca="false">m*g</f>
        <v>72.3781799999998</v>
      </c>
      <c r="U768" s="421" t="n">
        <f aca="false">IF(pos_xz&lt;L_rampe,Poids*COS(Beta),0)</f>
        <v>0</v>
      </c>
      <c r="V768" s="418" t="n">
        <f aca="false">Rho_moyen*(20000-Alt_rampe-pos_z)/(20000+Alt_rampe+pos_z)</f>
        <v>1.22612902304239</v>
      </c>
      <c r="W768" s="417" t="n">
        <f aca="false">1/2*Rho*Sref*Cx*vit_xz^2</f>
        <v>58.0635778122403</v>
      </c>
      <c r="X768" s="401"/>
      <c r="Y768" s="422" t="str">
        <f aca="false">IF(AND(pos_z&lt;=0,K767&gt;0),"Impact balistique","") &amp; IF(AND(H769&lt;0,vit_z&gt;=0),"Apogée","") &amp; IF(AND(Poussee=0,Q767&gt;0),"Fin de propulsion","") &amp; IF(AND(L769&gt;L_rampe,pos_xz&lt;=L_rampe),"Sortie de rampe","")</f>
        <v/>
      </c>
      <c r="Z768" s="423" t="str">
        <f aca="false">IF(ABS(t-T_para)&lt;pas/2,"Para","")</f>
        <v/>
      </c>
      <c r="AA768" s="424" t="str">
        <f aca="false">IF(ABS(t-T_satellite)&lt;pas/2,"Satellite","")</f>
        <v/>
      </c>
      <c r="AB768" s="412"/>
      <c r="AC768" s="420" t="e">
        <f aca="false">IF(ABS(t-ROUND(t,0))&lt;0.001,t,NA())</f>
        <v>#N/A</v>
      </c>
      <c r="AD768" s="425" t="e">
        <f aca="false">IF(ABS(t-ROUND(t,0))&lt;0.001,pos_x,NA())</f>
        <v>#N/A</v>
      </c>
      <c r="AE768" s="426" t="e">
        <f aca="false">IF(t&lt;T_para, pos_z, NA())</f>
        <v>#N/A</v>
      </c>
      <c r="AF768" s="412"/>
      <c r="AG768" s="418" t="n">
        <f aca="false">IF(AND(L767&lt;L_rampe,Poussee&lt;Poids*SIN(M767)),0,(-W767+Poussee)/m-Poids*SIN(M767)/m)</f>
        <v>1.89052413327311</v>
      </c>
      <c r="AH768" s="417" t="n">
        <f aca="false">IF(AND(L767&lt;L_rampe,Poussee&lt;Poids*SIN(M767)), g*SIN(M767), (-W767+Poussee)/m)</f>
        <v>-7.86979252000301</v>
      </c>
    </row>
    <row r="769" customFormat="false" ht="12" hidden="false" customHeight="false" outlineLevel="0" collapsed="false">
      <c r="A769" s="416" t="n">
        <f aca="false">IF(B768+0.01&lt;=T_ini+ROUNDUP(Temps_fin_propu,0), 0.01, IF(K768&gt;0, 0.1, 0.0001))</f>
        <v>0.0001</v>
      </c>
      <c r="B769" s="417" t="n">
        <f aca="false">B768+pas</f>
        <v>36.3042000000003</v>
      </c>
      <c r="C769" s="401"/>
      <c r="D769" s="418" t="n">
        <f aca="false">IF(AND(L768&lt;L_rampe,Poussee&lt;Poids*SIN(M768)),0,(-W768+Poussee)/m*COS(M768)-U768/m*SIN(M768))</f>
        <v>-0.791037490112615</v>
      </c>
      <c r="E769" s="419" t="n">
        <f aca="false">IF(AND(L768&lt;L_rampe,Poussee&lt;Poids*SIN(M768)),0,(-W768+Poussee)/m*SIN(M768)+U768/m*COS(M768)-Poids/m)</f>
        <v>-1.98003037431128</v>
      </c>
      <c r="F769" s="417" t="n">
        <f aca="false">SQRT(acc_x^2+acc_z^2)</f>
        <v>2.13219619030683</v>
      </c>
      <c r="G769" s="418" t="n">
        <f aca="false">G768+acc_x*pas</f>
        <v>12.4736951133307</v>
      </c>
      <c r="H769" s="419" t="n">
        <f aca="false">H768+acc_z*pas</f>
        <v>-123.470039139806</v>
      </c>
      <c r="I769" s="417" t="n">
        <f aca="false">SQRT(vit_x^2+vit_z^2)</f>
        <v>124.09852390325</v>
      </c>
      <c r="J769" s="418" t="n">
        <f aca="false">J768+0.5*(vit_x+G768)*pas*(K768&gt;=0)</f>
        <v>913.614336176273</v>
      </c>
      <c r="K769" s="419" t="n">
        <f aca="false">K768+0.5*(vit_z+H768)*pas</f>
        <v>-9.224616375009</v>
      </c>
      <c r="L769" s="417" t="n">
        <f aca="false">SQRT(pos_x^2+pos_z^2)</f>
        <v>913.660904720169</v>
      </c>
      <c r="M769" s="418" t="n">
        <f aca="false">IF(AND(L768&gt;L_rampe,G769&gt;0),ATAN2(G769,H769),$M$4)</f>
        <v>-1.47011184854899</v>
      </c>
      <c r="N769" s="417" t="n">
        <f aca="false">DEGREES(Beta)</f>
        <v>-84.231204334033</v>
      </c>
      <c r="O769" s="401"/>
      <c r="P769" s="420" t="n">
        <f aca="false">MATCH(t-pas/2-T_ini,CdP_t)</f>
        <v>23</v>
      </c>
      <c r="Q769" s="417" t="n">
        <f aca="false">(INDEX(CdP,2,i_P+1)-INDEX(CdP,2,i_P+0))/(INDEX(CdP,1,i_P+1)-INDEX(CdP,1,i_P+0))*(t-pas/2-T_ini-INDEX(CdP,1,i_P+0))+INDEX(CdP,2,i_P+0)</f>
        <v>0</v>
      </c>
      <c r="R769" s="418" t="n">
        <f aca="false">Poussee/(g*ISP)</f>
        <v>0</v>
      </c>
      <c r="S769" s="419" t="n">
        <f aca="false">S768-Débit*pas</f>
        <v>7.37799999999998</v>
      </c>
      <c r="T769" s="417" t="n">
        <f aca="false">m*g</f>
        <v>72.3781799999998</v>
      </c>
      <c r="U769" s="421" t="n">
        <f aca="false">IF(pos_xz&lt;L_rampe,Poids*COS(Beta),0)</f>
        <v>0</v>
      </c>
      <c r="V769" s="418" t="n">
        <f aca="false">Rho_moyen*(20000-Alt_rampe-pos_z)/(20000+Alt_rampe+pos_z)</f>
        <v>1.22613053694442</v>
      </c>
      <c r="W769" s="417" t="n">
        <f aca="false">1/2*Rho*Sref*Cx*vit_xz^2</f>
        <v>58.0638264097287</v>
      </c>
      <c r="X769" s="401"/>
      <c r="Y769" s="422" t="str">
        <f aca="false">IF(AND(pos_z&lt;=0,K768&gt;0),"Impact balistique","") &amp; IF(AND(H770&lt;0,vit_z&gt;=0),"Apogée","") &amp; IF(AND(Poussee=0,Q768&gt;0),"Fin de propulsion","") &amp; IF(AND(L770&gt;L_rampe,pos_xz&lt;=L_rampe),"Sortie de rampe","")</f>
        <v/>
      </c>
      <c r="Z769" s="423" t="str">
        <f aca="false">IF(ABS(t-T_para)&lt;pas/2,"Para","")</f>
        <v/>
      </c>
      <c r="AA769" s="424" t="str">
        <f aca="false">IF(ABS(t-T_satellite)&lt;pas/2,"Satellite","")</f>
        <v/>
      </c>
      <c r="AB769" s="412"/>
      <c r="AC769" s="420" t="e">
        <f aca="false">IF(ABS(t-ROUND(t,0))&lt;0.001,t,NA())</f>
        <v>#N/A</v>
      </c>
      <c r="AD769" s="425" t="e">
        <f aca="false">IF(ABS(t-ROUND(t,0))&lt;0.001,pos_x,NA())</f>
        <v>#N/A</v>
      </c>
      <c r="AE769" s="426" t="e">
        <f aca="false">IF(t&lt;T_para, pos_z, NA())</f>
        <v>#N/A</v>
      </c>
      <c r="AF769" s="412"/>
      <c r="AG769" s="418" t="n">
        <f aca="false">IF(AND(L768&lt;L_rampe,Poussee&lt;Poids*SIN(M768)),0,(-W768+Poussee)/m-Poids*SIN(M768)/m)</f>
        <v>1.89049122205487</v>
      </c>
      <c r="AH769" s="417" t="n">
        <f aca="false">IF(AND(L768&lt;L_rampe,Poussee&lt;Poids*SIN(M768)), g*SIN(M768), (-W768+Poussee)/m)</f>
        <v>-7.86982621472492</v>
      </c>
    </row>
    <row r="770" customFormat="false" ht="12" hidden="false" customHeight="false" outlineLevel="0" collapsed="false">
      <c r="A770" s="416" t="n">
        <f aca="false">IF(B769+0.01&lt;=T_ini+ROUNDUP(Temps_fin_propu,0), 0.01, IF(K769&gt;0, 0.1, 0.0001))</f>
        <v>0.0001</v>
      </c>
      <c r="B770" s="417" t="n">
        <f aca="false">B769+pas</f>
        <v>36.3043000000003</v>
      </c>
      <c r="C770" s="401"/>
      <c r="D770" s="418" t="n">
        <f aca="false">IF(AND(L769&lt;L_rampe,Poussee&lt;Poids*SIN(M769)),0,(-W769+Poussee)/m*COS(M769)-U769/m*SIN(M769))</f>
        <v>-0.791034655399508</v>
      </c>
      <c r="E770" s="419" t="n">
        <f aca="false">IF(AND(L769&lt;L_rampe,Poussee&lt;Poids*SIN(M769)),0,(-W769+Poussee)/m*SIN(M769)+U769/m*COS(M769)-Poids/m)</f>
        <v>-1.97999622199029</v>
      </c>
      <c r="F770" s="417" t="n">
        <f aca="false">SQRT(acc_x^2+acc_z^2)</f>
        <v>2.13216342364717</v>
      </c>
      <c r="G770" s="418" t="n">
        <f aca="false">G769+acc_x*pas</f>
        <v>12.4736160098651</v>
      </c>
      <c r="H770" s="419" t="n">
        <f aca="false">H769+acc_z*pas</f>
        <v>-123.470237139428</v>
      </c>
      <c r="I770" s="417" t="n">
        <f aca="false">SQRT(vit_x^2+vit_z^2)</f>
        <v>124.098712949121</v>
      </c>
      <c r="J770" s="418" t="n">
        <f aca="false">J769+0.5*(vit_x+G769)*pas*(K769&gt;=0)</f>
        <v>913.614336176273</v>
      </c>
      <c r="K770" s="419" t="n">
        <f aca="false">K769+0.5*(vit_z+H769)*pas</f>
        <v>-9.23696338882297</v>
      </c>
      <c r="L770" s="417" t="n">
        <f aca="false">SQRT(pos_x^2+pos_z^2)</f>
        <v>913.661029463038</v>
      </c>
      <c r="M770" s="418" t="n">
        <f aca="false">IF(AND(L769&gt;L_rampe,G770&gt;0),ATAN2(G770,H770),$M$4)</f>
        <v>-1.47011264311547</v>
      </c>
      <c r="N770" s="417" t="n">
        <f aca="false">DEGREES(Beta)</f>
        <v>-84.2312498593388</v>
      </c>
      <c r="O770" s="401"/>
      <c r="P770" s="420" t="n">
        <f aca="false">MATCH(t-pas/2-T_ini,CdP_t)</f>
        <v>23</v>
      </c>
      <c r="Q770" s="417" t="n">
        <f aca="false">(INDEX(CdP,2,i_P+1)-INDEX(CdP,2,i_P+0))/(INDEX(CdP,1,i_P+1)-INDEX(CdP,1,i_P+0))*(t-pas/2-T_ini-INDEX(CdP,1,i_P+0))+INDEX(CdP,2,i_P+0)</f>
        <v>0</v>
      </c>
      <c r="R770" s="418" t="n">
        <f aca="false">Poussee/(g*ISP)</f>
        <v>0</v>
      </c>
      <c r="S770" s="419" t="n">
        <f aca="false">S769-Débit*pas</f>
        <v>7.37799999999998</v>
      </c>
      <c r="T770" s="417" t="n">
        <f aca="false">m*g</f>
        <v>72.3781799999998</v>
      </c>
      <c r="U770" s="421" t="n">
        <f aca="false">IF(pos_xz&lt;L_rampe,Poids*COS(Beta),0)</f>
        <v>0</v>
      </c>
      <c r="V770" s="418" t="n">
        <f aca="false">Rho_moyen*(20000-Alt_rampe-pos_z)/(20000+Alt_rampe+pos_z)</f>
        <v>1.22613205085074</v>
      </c>
      <c r="W770" s="417" t="n">
        <f aca="false">1/2*Rho*Sref*Cx*vit_xz^2</f>
        <v>58.0640750050473</v>
      </c>
      <c r="X770" s="401"/>
      <c r="Y770" s="422" t="str">
        <f aca="false">IF(AND(pos_z&lt;=0,K769&gt;0),"Impact balistique","") &amp; IF(AND(H771&lt;0,vit_z&gt;=0),"Apogée","") &amp; IF(AND(Poussee=0,Q769&gt;0),"Fin de propulsion","") &amp; IF(AND(L771&gt;L_rampe,pos_xz&lt;=L_rampe),"Sortie de rampe","")</f>
        <v/>
      </c>
      <c r="Z770" s="423" t="str">
        <f aca="false">IF(ABS(t-T_para)&lt;pas/2,"Para","")</f>
        <v/>
      </c>
      <c r="AA770" s="424" t="str">
        <f aca="false">IF(ABS(t-T_satellite)&lt;pas/2,"Satellite","")</f>
        <v/>
      </c>
      <c r="AB770" s="412"/>
      <c r="AC770" s="420" t="e">
        <f aca="false">IF(ABS(t-ROUND(t,0))&lt;0.001,t,NA())</f>
        <v>#N/A</v>
      </c>
      <c r="AD770" s="425" t="e">
        <f aca="false">IF(ABS(t-ROUND(t,0))&lt;0.001,pos_x,NA())</f>
        <v>#N/A</v>
      </c>
      <c r="AE770" s="426" t="e">
        <f aca="false">IF(t&lt;T_para, pos_z, NA())</f>
        <v>#N/A</v>
      </c>
      <c r="AF770" s="412"/>
      <c r="AG770" s="418" t="n">
        <f aca="false">IF(AND(L769&lt;L_rampe,Poussee&lt;Poids*SIN(M769)),0,(-W769+Poussee)/m-Poids*SIN(M769)/m)</f>
        <v>1.89045831111721</v>
      </c>
      <c r="AH770" s="417" t="n">
        <f aca="false">IF(AND(L769&lt;L_rampe,Poussee&lt;Poids*SIN(M769)), g*SIN(M769), (-W769+Poussee)/m)</f>
        <v>-7.86985990915273</v>
      </c>
    </row>
    <row r="771" customFormat="false" ht="12" hidden="false" customHeight="false" outlineLevel="0" collapsed="false">
      <c r="A771" s="416" t="n">
        <f aca="false">IF(B770+0.01&lt;=T_ini+ROUNDUP(Temps_fin_propu,0), 0.01, IF(K770&gt;0, 0.1, 0.0001))</f>
        <v>0.0001</v>
      </c>
      <c r="B771" s="417" t="n">
        <f aca="false">B770+pas</f>
        <v>36.3044000000004</v>
      </c>
      <c r="C771" s="401"/>
      <c r="D771" s="418" t="n">
        <f aca="false">IF(AND(L770&lt;L_rampe,Poussee&lt;Poids*SIN(M770)),0,(-W770+Poussee)/m*COS(M770)-U770/m*SIN(M770))</f>
        <v>-0.791031820661477</v>
      </c>
      <c r="E771" s="419" t="n">
        <f aca="false">IF(AND(L770&lt;L_rampe,Poussee&lt;Poids*SIN(M770)),0,(-W770+Poussee)/m*SIN(M770)+U770/m*COS(M770)-Poids/m)</f>
        <v>-1.97996206996736</v>
      </c>
      <c r="F771" s="417" t="n">
        <f aca="false">SQRT(acc_x^2+acc_z^2)</f>
        <v>2.13213065730232</v>
      </c>
      <c r="G771" s="418" t="n">
        <f aca="false">G770+acc_x*pas</f>
        <v>12.4735369066831</v>
      </c>
      <c r="H771" s="419" t="n">
        <f aca="false">H770+acc_z*pas</f>
        <v>-123.470435135635</v>
      </c>
      <c r="I771" s="417" t="n">
        <f aca="false">SQRT(vit_x^2+vit_z^2)</f>
        <v>124.0989019917</v>
      </c>
      <c r="J771" s="418" t="n">
        <f aca="false">J770+0.5*(vit_x+G770)*pas*(K770&gt;=0)</f>
        <v>913.614336176273</v>
      </c>
      <c r="K771" s="419" t="n">
        <f aca="false">K770+0.5*(vit_z+H770)*pas</f>
        <v>-9.24931042243672</v>
      </c>
      <c r="L771" s="417" t="n">
        <f aca="false">SQRT(pos_x^2+pos_z^2)</f>
        <v>913.661154372945</v>
      </c>
      <c r="M771" s="418" t="n">
        <f aca="false">IF(AND(L770&gt;L_rampe,G771&gt;0),ATAN2(G771,H771),$M$4)</f>
        <v>-1.47011343767449</v>
      </c>
      <c r="N771" s="417" t="n">
        <f aca="false">DEGREES(Beta)</f>
        <v>-84.2312953842171</v>
      </c>
      <c r="O771" s="401"/>
      <c r="P771" s="420" t="n">
        <f aca="false">MATCH(t-pas/2-T_ini,CdP_t)</f>
        <v>23</v>
      </c>
      <c r="Q771" s="417" t="n">
        <f aca="false">(INDEX(CdP,2,i_P+1)-INDEX(CdP,2,i_P+0))/(INDEX(CdP,1,i_P+1)-INDEX(CdP,1,i_P+0))*(t-pas/2-T_ini-INDEX(CdP,1,i_P+0))+INDEX(CdP,2,i_P+0)</f>
        <v>0</v>
      </c>
      <c r="R771" s="418" t="n">
        <f aca="false">Poussee/(g*ISP)</f>
        <v>0</v>
      </c>
      <c r="S771" s="419" t="n">
        <f aca="false">S770-Débit*pas</f>
        <v>7.37799999999998</v>
      </c>
      <c r="T771" s="417" t="n">
        <f aca="false">m*g</f>
        <v>72.3781799999998</v>
      </c>
      <c r="U771" s="421" t="n">
        <f aca="false">IF(pos_xz&lt;L_rampe,Poids*COS(Beta),0)</f>
        <v>0</v>
      </c>
      <c r="V771" s="418" t="n">
        <f aca="false">Rho_moyen*(20000-Alt_rampe-pos_z)/(20000+Alt_rampe+pos_z)</f>
        <v>1.22613356476137</v>
      </c>
      <c r="W771" s="417" t="n">
        <f aca="false">1/2*Rho*Sref*Cx*vit_xz^2</f>
        <v>58.0643235981959</v>
      </c>
      <c r="X771" s="401"/>
      <c r="Y771" s="422" t="str">
        <f aca="false">IF(AND(pos_z&lt;=0,K770&gt;0),"Impact balistique","") &amp; IF(AND(H772&lt;0,vit_z&gt;=0),"Apogée","") &amp; IF(AND(Poussee=0,Q770&gt;0),"Fin de propulsion","") &amp; IF(AND(L772&gt;L_rampe,pos_xz&lt;=L_rampe),"Sortie de rampe","")</f>
        <v/>
      </c>
      <c r="Z771" s="423" t="str">
        <f aca="false">IF(ABS(t-T_para)&lt;pas/2,"Para","")</f>
        <v/>
      </c>
      <c r="AA771" s="424" t="str">
        <f aca="false">IF(ABS(t-T_satellite)&lt;pas/2,"Satellite","")</f>
        <v/>
      </c>
      <c r="AB771" s="412"/>
      <c r="AC771" s="420" t="e">
        <f aca="false">IF(ABS(t-ROUND(t,0))&lt;0.001,t,NA())</f>
        <v>#N/A</v>
      </c>
      <c r="AD771" s="425" t="e">
        <f aca="false">IF(ABS(t-ROUND(t,0))&lt;0.001,pos_x,NA())</f>
        <v>#N/A</v>
      </c>
      <c r="AE771" s="426" t="e">
        <f aca="false">IF(t&lt;T_para, pos_z, NA())</f>
        <v>#N/A</v>
      </c>
      <c r="AF771" s="412"/>
      <c r="AG771" s="418" t="n">
        <f aca="false">IF(AND(L770&lt;L_rampe,Poussee&lt;Poids*SIN(M770)),0,(-W770+Poussee)/m-Poids*SIN(M770)/m)</f>
        <v>1.89042540046012</v>
      </c>
      <c r="AH771" s="417" t="n">
        <f aca="false">IF(AND(L770&lt;L_rampe,Poussee&lt;Poids*SIN(M770)), g*SIN(M770), (-W770+Poussee)/m)</f>
        <v>-7.86989360328644</v>
      </c>
    </row>
    <row r="772" customFormat="false" ht="12" hidden="false" customHeight="false" outlineLevel="0" collapsed="false">
      <c r="A772" s="416" t="n">
        <f aca="false">IF(B771+0.01&lt;=T_ini+ROUNDUP(Temps_fin_propu,0), 0.01, IF(K771&gt;0, 0.1, 0.0001))</f>
        <v>0.0001</v>
      </c>
      <c r="B772" s="417" t="n">
        <f aca="false">B771+pas</f>
        <v>36.3045000000004</v>
      </c>
      <c r="C772" s="401"/>
      <c r="D772" s="418" t="n">
        <f aca="false">IF(AND(L771&lt;L_rampe,Poussee&lt;Poids*SIN(M771)),0,(-W771+Poussee)/m*COS(M771)-U771/m*SIN(M771))</f>
        <v>-0.791028985898521</v>
      </c>
      <c r="E772" s="419" t="n">
        <f aca="false">IF(AND(L771&lt;L_rampe,Poussee&lt;Poids*SIN(M771)),0,(-W771+Poussee)/m*SIN(M771)+U771/m*COS(M771)-Poids/m)</f>
        <v>-1.9799279182425</v>
      </c>
      <c r="F772" s="417" t="n">
        <f aca="false">SQRT(acc_x^2+acc_z^2)</f>
        <v>2.13209789127228</v>
      </c>
      <c r="G772" s="418" t="n">
        <f aca="false">G771+acc_x*pas</f>
        <v>12.4734578037845</v>
      </c>
      <c r="H772" s="419" t="n">
        <f aca="false">H771+acc_z*pas</f>
        <v>-123.470633128427</v>
      </c>
      <c r="I772" s="417" t="n">
        <f aca="false">SQRT(vit_x^2+vit_z^2)</f>
        <v>124.099091030988</v>
      </c>
      <c r="J772" s="418" t="n">
        <f aca="false">J771+0.5*(vit_x+G771)*pas*(K771&gt;=0)</f>
        <v>913.614336176273</v>
      </c>
      <c r="K772" s="419" t="n">
        <f aca="false">K771+0.5*(vit_z+H771)*pas</f>
        <v>-9.26165747584992</v>
      </c>
      <c r="L772" s="417" t="n">
        <f aca="false">SQRT(pos_x^2+pos_z^2)</f>
        <v>913.661279449891</v>
      </c>
      <c r="M772" s="418" t="n">
        <f aca="false">IF(AND(L771&gt;L_rampe,G772&gt;0),ATAN2(G772,H772),$M$4)</f>
        <v>-1.47011423222605</v>
      </c>
      <c r="N772" s="417" t="n">
        <f aca="false">DEGREES(Beta)</f>
        <v>-84.2313409086681</v>
      </c>
      <c r="O772" s="401"/>
      <c r="P772" s="420" t="n">
        <f aca="false">MATCH(t-pas/2-T_ini,CdP_t)</f>
        <v>23</v>
      </c>
      <c r="Q772" s="417" t="n">
        <f aca="false">(INDEX(CdP,2,i_P+1)-INDEX(CdP,2,i_P+0))/(INDEX(CdP,1,i_P+1)-INDEX(CdP,1,i_P+0))*(t-pas/2-T_ini-INDEX(CdP,1,i_P+0))+INDEX(CdP,2,i_P+0)</f>
        <v>0</v>
      </c>
      <c r="R772" s="418" t="n">
        <f aca="false">Poussee/(g*ISP)</f>
        <v>0</v>
      </c>
      <c r="S772" s="419" t="n">
        <f aca="false">S771-Débit*pas</f>
        <v>7.37799999999998</v>
      </c>
      <c r="T772" s="417" t="n">
        <f aca="false">m*g</f>
        <v>72.3781799999998</v>
      </c>
      <c r="U772" s="421" t="n">
        <f aca="false">IF(pos_xz&lt;L_rampe,Poids*COS(Beta),0)</f>
        <v>0</v>
      </c>
      <c r="V772" s="418" t="n">
        <f aca="false">Rho_moyen*(20000-Alt_rampe-pos_z)/(20000+Alt_rampe+pos_z)</f>
        <v>1.22613507867629</v>
      </c>
      <c r="W772" s="417" t="n">
        <f aca="false">1/2*Rho*Sref*Cx*vit_xz^2</f>
        <v>58.0645721891748</v>
      </c>
      <c r="X772" s="401"/>
      <c r="Y772" s="422" t="str">
        <f aca="false">IF(AND(pos_z&lt;=0,K771&gt;0),"Impact balistique","") &amp; IF(AND(H773&lt;0,vit_z&gt;=0),"Apogée","") &amp; IF(AND(Poussee=0,Q771&gt;0),"Fin de propulsion","") &amp; IF(AND(L773&gt;L_rampe,pos_xz&lt;=L_rampe),"Sortie de rampe","")</f>
        <v/>
      </c>
      <c r="Z772" s="423" t="str">
        <f aca="false">IF(ABS(t-T_para)&lt;pas/2,"Para","")</f>
        <v/>
      </c>
      <c r="AA772" s="424" t="str">
        <f aca="false">IF(ABS(t-T_satellite)&lt;pas/2,"Satellite","")</f>
        <v/>
      </c>
      <c r="AB772" s="412"/>
      <c r="AC772" s="420" t="e">
        <f aca="false">IF(ABS(t-ROUND(t,0))&lt;0.001,t,NA())</f>
        <v>#N/A</v>
      </c>
      <c r="AD772" s="425" t="e">
        <f aca="false">IF(ABS(t-ROUND(t,0))&lt;0.001,pos_x,NA())</f>
        <v>#N/A</v>
      </c>
      <c r="AE772" s="426" t="e">
        <f aca="false">IF(t&lt;T_para, pos_z, NA())</f>
        <v>#N/A</v>
      </c>
      <c r="AF772" s="412"/>
      <c r="AG772" s="418" t="n">
        <f aca="false">IF(AND(L771&lt;L_rampe,Poussee&lt;Poids*SIN(M771)),0,(-W771+Poussee)/m-Poids*SIN(M771)/m)</f>
        <v>1.89039249008362</v>
      </c>
      <c r="AH772" s="417" t="n">
        <f aca="false">IF(AND(L771&lt;L_rampe,Poussee&lt;Poids*SIN(M771)), g*SIN(M771), (-W771+Poussee)/m)</f>
        <v>-7.86992729712606</v>
      </c>
    </row>
    <row r="773" customFormat="false" ht="12" hidden="false" customHeight="false" outlineLevel="0" collapsed="false">
      <c r="A773" s="416" t="n">
        <f aca="false">IF(B772+0.01&lt;=T_ini+ROUNDUP(Temps_fin_propu,0), 0.01, IF(K772&gt;0, 0.1, 0.0001))</f>
        <v>0.0001</v>
      </c>
      <c r="B773" s="417" t="n">
        <f aca="false">B772+pas</f>
        <v>36.3046000000004</v>
      </c>
      <c r="C773" s="401"/>
      <c r="D773" s="418" t="n">
        <f aca="false">IF(AND(L772&lt;L_rampe,Poussee&lt;Poids*SIN(M772)),0,(-W772+Poussee)/m*COS(M772)-U772/m*SIN(M772))</f>
        <v>-0.791026151110644</v>
      </c>
      <c r="E773" s="419" t="n">
        <f aca="false">IF(AND(L772&lt;L_rampe,Poussee&lt;Poids*SIN(M772)),0,(-W772+Poussee)/m*SIN(M772)+U772/m*COS(M772)-Poids/m)</f>
        <v>-1.97989376681571</v>
      </c>
      <c r="F773" s="417" t="n">
        <f aca="false">SQRT(acc_x^2+acc_z^2)</f>
        <v>2.13206512555705</v>
      </c>
      <c r="G773" s="418" t="n">
        <f aca="false">G772+acc_x*pas</f>
        <v>12.4733787011693</v>
      </c>
      <c r="H773" s="419" t="n">
        <f aca="false">H772+acc_z*pas</f>
        <v>-123.470831117804</v>
      </c>
      <c r="I773" s="417" t="n">
        <f aca="false">SQRT(vit_x^2+vit_z^2)</f>
        <v>124.099280066985</v>
      </c>
      <c r="J773" s="418" t="n">
        <f aca="false">J772+0.5*(vit_x+G772)*pas*(K772&gt;=0)</f>
        <v>913.614336176273</v>
      </c>
      <c r="K773" s="419" t="n">
        <f aca="false">K772+0.5*(vit_z+H772)*pas</f>
        <v>-9.27400454906223</v>
      </c>
      <c r="L773" s="417" t="n">
        <f aca="false">SQRT(pos_x^2+pos_z^2)</f>
        <v>913.661404693877</v>
      </c>
      <c r="M773" s="418" t="n">
        <f aca="false">IF(AND(L772&gt;L_rampe,G773&gt;0),ATAN2(G773,H773),$M$4)</f>
        <v>-1.47011502677015</v>
      </c>
      <c r="N773" s="417" t="n">
        <f aca="false">DEGREES(Beta)</f>
        <v>-84.2313864326916</v>
      </c>
      <c r="O773" s="401"/>
      <c r="P773" s="420" t="n">
        <f aca="false">MATCH(t-pas/2-T_ini,CdP_t)</f>
        <v>23</v>
      </c>
      <c r="Q773" s="417" t="n">
        <f aca="false">(INDEX(CdP,2,i_P+1)-INDEX(CdP,2,i_P+0))/(INDEX(CdP,1,i_P+1)-INDEX(CdP,1,i_P+0))*(t-pas/2-T_ini-INDEX(CdP,1,i_P+0))+INDEX(CdP,2,i_P+0)</f>
        <v>0</v>
      </c>
      <c r="R773" s="418" t="n">
        <f aca="false">Poussee/(g*ISP)</f>
        <v>0</v>
      </c>
      <c r="S773" s="419" t="n">
        <f aca="false">S772-Débit*pas</f>
        <v>7.37799999999998</v>
      </c>
      <c r="T773" s="417" t="n">
        <f aca="false">m*g</f>
        <v>72.3781799999998</v>
      </c>
      <c r="U773" s="421" t="n">
        <f aca="false">IF(pos_xz&lt;L_rampe,Poids*COS(Beta),0)</f>
        <v>0</v>
      </c>
      <c r="V773" s="418" t="n">
        <f aca="false">Rho_moyen*(20000-Alt_rampe-pos_z)/(20000+Alt_rampe+pos_z)</f>
        <v>1.22613659259551</v>
      </c>
      <c r="W773" s="417" t="n">
        <f aca="false">1/2*Rho*Sref*Cx*vit_xz^2</f>
        <v>58.0648207779838</v>
      </c>
      <c r="X773" s="401"/>
      <c r="Y773" s="422" t="str">
        <f aca="false">IF(AND(pos_z&lt;=0,K772&gt;0),"Impact balistique","") &amp; IF(AND(H774&lt;0,vit_z&gt;=0),"Apogée","") &amp; IF(AND(Poussee=0,Q772&gt;0),"Fin de propulsion","") &amp; IF(AND(L774&gt;L_rampe,pos_xz&lt;=L_rampe),"Sortie de rampe","")</f>
        <v/>
      </c>
      <c r="Z773" s="423" t="str">
        <f aca="false">IF(ABS(t-T_para)&lt;pas/2,"Para","")</f>
        <v/>
      </c>
      <c r="AA773" s="424" t="str">
        <f aca="false">IF(ABS(t-T_satellite)&lt;pas/2,"Satellite","")</f>
        <v/>
      </c>
      <c r="AB773" s="412"/>
      <c r="AC773" s="420" t="e">
        <f aca="false">IF(ABS(t-ROUND(t,0))&lt;0.001,t,NA())</f>
        <v>#N/A</v>
      </c>
      <c r="AD773" s="425" t="e">
        <f aca="false">IF(ABS(t-ROUND(t,0))&lt;0.001,pos_x,NA())</f>
        <v>#N/A</v>
      </c>
      <c r="AE773" s="426" t="e">
        <f aca="false">IF(t&lt;T_para, pos_z, NA())</f>
        <v>#N/A</v>
      </c>
      <c r="AF773" s="412"/>
      <c r="AG773" s="418" t="n">
        <f aca="false">IF(AND(L772&lt;L_rampe,Poussee&lt;Poids*SIN(M772)),0,(-W772+Poussee)/m-Poids*SIN(M772)/m)</f>
        <v>1.89035957998769</v>
      </c>
      <c r="AH773" s="417" t="n">
        <f aca="false">IF(AND(L772&lt;L_rampe,Poussee&lt;Poids*SIN(M772)), g*SIN(M772), (-W772+Poussee)/m)</f>
        <v>-7.86996099067158</v>
      </c>
    </row>
    <row r="774" customFormat="false" ht="12" hidden="false" customHeight="false" outlineLevel="0" collapsed="false">
      <c r="A774" s="416" t="n">
        <f aca="false">IF(B773+0.01&lt;=T_ini+ROUNDUP(Temps_fin_propu,0), 0.01, IF(K773&gt;0, 0.1, 0.0001))</f>
        <v>0.0001</v>
      </c>
      <c r="B774" s="417" t="n">
        <f aca="false">B773+pas</f>
        <v>36.3047000000004</v>
      </c>
      <c r="C774" s="401"/>
      <c r="D774" s="418" t="n">
        <f aca="false">IF(AND(L773&lt;L_rampe,Poussee&lt;Poids*SIN(M773)),0,(-W773+Poussee)/m*COS(M773)-U773/m*SIN(M773))</f>
        <v>-0.791023316297842</v>
      </c>
      <c r="E774" s="419" t="n">
        <f aca="false">IF(AND(L773&lt;L_rampe,Poussee&lt;Poids*SIN(M773)),0,(-W773+Poussee)/m*SIN(M773)+U773/m*COS(M773)-Poids/m)</f>
        <v>-1.97985961568699</v>
      </c>
      <c r="F774" s="417" t="n">
        <f aca="false">SQRT(acc_x^2+acc_z^2)</f>
        <v>2.13203236015663</v>
      </c>
      <c r="G774" s="418" t="n">
        <f aca="false">G773+acc_x*pas</f>
        <v>12.4732995988377</v>
      </c>
      <c r="H774" s="419" t="n">
        <f aca="false">H773+acc_z*pas</f>
        <v>-123.471029103765</v>
      </c>
      <c r="I774" s="417" t="n">
        <f aca="false">SQRT(vit_x^2+vit_z^2)</f>
        <v>124.099469099691</v>
      </c>
      <c r="J774" s="418" t="n">
        <f aca="false">J773+0.5*(vit_x+G773)*pas*(K773&gt;=0)</f>
        <v>913.614336176273</v>
      </c>
      <c r="K774" s="419" t="n">
        <f aca="false">K773+0.5*(vit_z+H773)*pas</f>
        <v>-9.28635164207331</v>
      </c>
      <c r="L774" s="417" t="n">
        <f aca="false">SQRT(pos_x^2+pos_z^2)</f>
        <v>913.661530104903</v>
      </c>
      <c r="M774" s="418" t="n">
        <f aca="false">IF(AND(L773&gt;L_rampe,G774&gt;0),ATAN2(G774,H774),$M$4)</f>
        <v>-1.47011582130679</v>
      </c>
      <c r="N774" s="417" t="n">
        <f aca="false">DEGREES(Beta)</f>
        <v>-84.2314319562878</v>
      </c>
      <c r="O774" s="401"/>
      <c r="P774" s="420" t="n">
        <f aca="false">MATCH(t-pas/2-T_ini,CdP_t)</f>
        <v>23</v>
      </c>
      <c r="Q774" s="417" t="n">
        <f aca="false">(INDEX(CdP,2,i_P+1)-INDEX(CdP,2,i_P+0))/(INDEX(CdP,1,i_P+1)-INDEX(CdP,1,i_P+0))*(t-pas/2-T_ini-INDEX(CdP,1,i_P+0))+INDEX(CdP,2,i_P+0)</f>
        <v>0</v>
      </c>
      <c r="R774" s="418" t="n">
        <f aca="false">Poussee/(g*ISP)</f>
        <v>0</v>
      </c>
      <c r="S774" s="419" t="n">
        <f aca="false">S773-Débit*pas</f>
        <v>7.37799999999998</v>
      </c>
      <c r="T774" s="417" t="n">
        <f aca="false">m*g</f>
        <v>72.3781799999998</v>
      </c>
      <c r="U774" s="421" t="n">
        <f aca="false">IF(pos_xz&lt;L_rampe,Poids*COS(Beta),0)</f>
        <v>0</v>
      </c>
      <c r="V774" s="418" t="n">
        <f aca="false">Rho_moyen*(20000-Alt_rampe-pos_z)/(20000+Alt_rampe+pos_z)</f>
        <v>1.22613810651902</v>
      </c>
      <c r="W774" s="417" t="n">
        <f aca="false">1/2*Rho*Sref*Cx*vit_xz^2</f>
        <v>58.065069364623</v>
      </c>
      <c r="X774" s="401"/>
      <c r="Y774" s="422" t="str">
        <f aca="false">IF(AND(pos_z&lt;=0,K773&gt;0),"Impact balistique","") &amp; IF(AND(H775&lt;0,vit_z&gt;=0),"Apogée","") &amp; IF(AND(Poussee=0,Q773&gt;0),"Fin de propulsion","") &amp; IF(AND(L775&gt;L_rampe,pos_xz&lt;=L_rampe),"Sortie de rampe","")</f>
        <v/>
      </c>
      <c r="Z774" s="423" t="str">
        <f aca="false">IF(ABS(t-T_para)&lt;pas/2,"Para","")</f>
        <v/>
      </c>
      <c r="AA774" s="424" t="str">
        <f aca="false">IF(ABS(t-T_satellite)&lt;pas/2,"Satellite","")</f>
        <v/>
      </c>
      <c r="AB774" s="412"/>
      <c r="AC774" s="420" t="e">
        <f aca="false">IF(ABS(t-ROUND(t,0))&lt;0.001,t,NA())</f>
        <v>#N/A</v>
      </c>
      <c r="AD774" s="425" t="e">
        <f aca="false">IF(ABS(t-ROUND(t,0))&lt;0.001,pos_x,NA())</f>
        <v>#N/A</v>
      </c>
      <c r="AE774" s="426" t="e">
        <f aca="false">IF(t&lt;T_para, pos_z, NA())</f>
        <v>#N/A</v>
      </c>
      <c r="AF774" s="412"/>
      <c r="AG774" s="418" t="n">
        <f aca="false">IF(AND(L773&lt;L_rampe,Poussee&lt;Poids*SIN(M773)),0,(-W773+Poussee)/m-Poids*SIN(M773)/m)</f>
        <v>1.89032667017235</v>
      </c>
      <c r="AH774" s="417" t="n">
        <f aca="false">IF(AND(L773&lt;L_rampe,Poussee&lt;Poids*SIN(M773)), g*SIN(M773), (-W773+Poussee)/m)</f>
        <v>-7.86999468392301</v>
      </c>
    </row>
    <row r="775" customFormat="false" ht="12" hidden="false" customHeight="false" outlineLevel="0" collapsed="false">
      <c r="A775" s="416" t="n">
        <f aca="false">IF(B774+0.01&lt;=T_ini+ROUNDUP(Temps_fin_propu,0), 0.01, IF(K774&gt;0, 0.1, 0.0001))</f>
        <v>0.0001</v>
      </c>
      <c r="B775" s="417" t="n">
        <f aca="false">B774+pas</f>
        <v>36.3048000000004</v>
      </c>
      <c r="C775" s="401"/>
      <c r="D775" s="418" t="n">
        <f aca="false">IF(AND(L774&lt;L_rampe,Poussee&lt;Poids*SIN(M774)),0,(-W774+Poussee)/m*COS(M774)-U774/m*SIN(M774))</f>
        <v>-0.79102048146012</v>
      </c>
      <c r="E775" s="419" t="n">
        <f aca="false">IF(AND(L774&lt;L_rampe,Poussee&lt;Poids*SIN(M774)),0,(-W774+Poussee)/m*SIN(M774)+U774/m*COS(M774)-Poids/m)</f>
        <v>-1.97982546485633</v>
      </c>
      <c r="F775" s="417" t="n">
        <f aca="false">SQRT(acc_x^2+acc_z^2)</f>
        <v>2.13199959507102</v>
      </c>
      <c r="G775" s="418" t="n">
        <f aca="false">G774+acc_x*pas</f>
        <v>12.4732204967896</v>
      </c>
      <c r="H775" s="419" t="n">
        <f aca="false">H774+acc_z*pas</f>
        <v>-123.471227086312</v>
      </c>
      <c r="I775" s="417" t="n">
        <f aca="false">SQRT(vit_x^2+vit_z^2)</f>
        <v>124.099658129107</v>
      </c>
      <c r="J775" s="418" t="n">
        <f aca="false">J774+0.5*(vit_x+G774)*pas*(K774&gt;=0)</f>
        <v>913.614336176273</v>
      </c>
      <c r="K775" s="419" t="n">
        <f aca="false">K774+0.5*(vit_z+H774)*pas</f>
        <v>-9.29869875488282</v>
      </c>
      <c r="L775" s="417" t="n">
        <f aca="false">SQRT(pos_x^2+pos_z^2)</f>
        <v>913.66165568297</v>
      </c>
      <c r="M775" s="418" t="n">
        <f aca="false">IF(AND(L774&gt;L_rampe,G775&gt;0),ATAN2(G775,H775),$M$4)</f>
        <v>-1.47011661583597</v>
      </c>
      <c r="N775" s="417" t="n">
        <f aca="false">DEGREES(Beta)</f>
        <v>-84.2314774794566</v>
      </c>
      <c r="O775" s="401"/>
      <c r="P775" s="420" t="n">
        <f aca="false">MATCH(t-pas/2-T_ini,CdP_t)</f>
        <v>23</v>
      </c>
      <c r="Q775" s="417" t="n">
        <f aca="false">(INDEX(CdP,2,i_P+1)-INDEX(CdP,2,i_P+0))/(INDEX(CdP,1,i_P+1)-INDEX(CdP,1,i_P+0))*(t-pas/2-T_ini-INDEX(CdP,1,i_P+0))+INDEX(CdP,2,i_P+0)</f>
        <v>0</v>
      </c>
      <c r="R775" s="418" t="n">
        <f aca="false">Poussee/(g*ISP)</f>
        <v>0</v>
      </c>
      <c r="S775" s="419" t="n">
        <f aca="false">S774-Débit*pas</f>
        <v>7.37799999999998</v>
      </c>
      <c r="T775" s="417" t="n">
        <f aca="false">m*g</f>
        <v>72.3781799999998</v>
      </c>
      <c r="U775" s="421" t="n">
        <f aca="false">IF(pos_xz&lt;L_rampe,Poids*COS(Beta),0)</f>
        <v>0</v>
      </c>
      <c r="V775" s="418" t="n">
        <f aca="false">Rho_moyen*(20000-Alt_rampe-pos_z)/(20000+Alt_rampe+pos_z)</f>
        <v>1.22613962044683</v>
      </c>
      <c r="W775" s="417" t="n">
        <f aca="false">1/2*Rho*Sref*Cx*vit_xz^2</f>
        <v>58.0653179490924</v>
      </c>
      <c r="X775" s="401"/>
      <c r="Y775" s="422" t="str">
        <f aca="false">IF(AND(pos_z&lt;=0,K774&gt;0),"Impact balistique","") &amp; IF(AND(H776&lt;0,vit_z&gt;=0),"Apogée","") &amp; IF(AND(Poussee=0,Q774&gt;0),"Fin de propulsion","") &amp; IF(AND(L776&gt;L_rampe,pos_xz&lt;=L_rampe),"Sortie de rampe","")</f>
        <v/>
      </c>
      <c r="Z775" s="423" t="str">
        <f aca="false">IF(ABS(t-T_para)&lt;pas/2,"Para","")</f>
        <v/>
      </c>
      <c r="AA775" s="424" t="str">
        <f aca="false">IF(ABS(t-T_satellite)&lt;pas/2,"Satellite","")</f>
        <v/>
      </c>
      <c r="AB775" s="412"/>
      <c r="AC775" s="420" t="e">
        <f aca="false">IF(ABS(t-ROUND(t,0))&lt;0.001,t,NA())</f>
        <v>#N/A</v>
      </c>
      <c r="AD775" s="425" t="e">
        <f aca="false">IF(ABS(t-ROUND(t,0))&lt;0.001,pos_x,NA())</f>
        <v>#N/A</v>
      </c>
      <c r="AE775" s="426" t="e">
        <f aca="false">IF(t&lt;T_para, pos_z, NA())</f>
        <v>#N/A</v>
      </c>
      <c r="AF775" s="412"/>
      <c r="AG775" s="418" t="n">
        <f aca="false">IF(AND(L774&lt;L_rampe,Poussee&lt;Poids*SIN(M774)),0,(-W774+Poussee)/m-Poids*SIN(M774)/m)</f>
        <v>1.89029376063758</v>
      </c>
      <c r="AH775" s="417" t="n">
        <f aca="false">IF(AND(L774&lt;L_rampe,Poussee&lt;Poids*SIN(M774)), g*SIN(M774), (-W774+Poussee)/m)</f>
        <v>-7.87002837688034</v>
      </c>
    </row>
    <row r="776" customFormat="false" ht="12" hidden="false" customHeight="false" outlineLevel="0" collapsed="false">
      <c r="A776" s="416" t="n">
        <f aca="false">IF(B775+0.01&lt;=T_ini+ROUNDUP(Temps_fin_propu,0), 0.01, IF(K775&gt;0, 0.1, 0.0001))</f>
        <v>0.0001</v>
      </c>
      <c r="B776" s="417" t="n">
        <f aca="false">B775+pas</f>
        <v>36.3049000000004</v>
      </c>
      <c r="C776" s="401"/>
      <c r="D776" s="418" t="n">
        <f aca="false">IF(AND(L775&lt;L_rampe,Poussee&lt;Poids*SIN(M775)),0,(-W775+Poussee)/m*COS(M775)-U775/m*SIN(M775))</f>
        <v>-0.791017646597475</v>
      </c>
      <c r="E776" s="419" t="n">
        <f aca="false">IF(AND(L775&lt;L_rampe,Poussee&lt;Poids*SIN(M775)),0,(-W775+Poussee)/m*SIN(M775)+U775/m*COS(M775)-Poids/m)</f>
        <v>-1.97979131432374</v>
      </c>
      <c r="F776" s="417" t="n">
        <f aca="false">SQRT(acc_x^2+acc_z^2)</f>
        <v>2.13196683030021</v>
      </c>
      <c r="G776" s="418" t="n">
        <f aca="false">G775+acc_x*pas</f>
        <v>12.4731413950249</v>
      </c>
      <c r="H776" s="419" t="n">
        <f aca="false">H775+acc_z*pas</f>
        <v>-123.471425065443</v>
      </c>
      <c r="I776" s="417" t="n">
        <f aca="false">SQRT(vit_x^2+vit_z^2)</f>
        <v>124.099847155231</v>
      </c>
      <c r="J776" s="418" t="n">
        <f aca="false">J775+0.5*(vit_x+G775)*pas*(K775&gt;=0)</f>
        <v>913.614336176273</v>
      </c>
      <c r="K776" s="419" t="n">
        <f aca="false">K775+0.5*(vit_z+H775)*pas</f>
        <v>-9.3110458874904</v>
      </c>
      <c r="L776" s="417" t="n">
        <f aca="false">SQRT(pos_x^2+pos_z^2)</f>
        <v>913.661781428079</v>
      </c>
      <c r="M776" s="418" t="n">
        <f aca="false">IF(AND(L775&gt;L_rampe,G776&gt;0),ATAN2(G776,H776),$M$4)</f>
        <v>-1.47011741035769</v>
      </c>
      <c r="N776" s="417" t="n">
        <f aca="false">DEGREES(Beta)</f>
        <v>-84.231523002198</v>
      </c>
      <c r="O776" s="401"/>
      <c r="P776" s="420" t="n">
        <f aca="false">MATCH(t-pas/2-T_ini,CdP_t)</f>
        <v>23</v>
      </c>
      <c r="Q776" s="417" t="n">
        <f aca="false">(INDEX(CdP,2,i_P+1)-INDEX(CdP,2,i_P+0))/(INDEX(CdP,1,i_P+1)-INDEX(CdP,1,i_P+0))*(t-pas/2-T_ini-INDEX(CdP,1,i_P+0))+INDEX(CdP,2,i_P+0)</f>
        <v>0</v>
      </c>
      <c r="R776" s="418" t="n">
        <f aca="false">Poussee/(g*ISP)</f>
        <v>0</v>
      </c>
      <c r="S776" s="419" t="n">
        <f aca="false">S775-Débit*pas</f>
        <v>7.37799999999998</v>
      </c>
      <c r="T776" s="417" t="n">
        <f aca="false">m*g</f>
        <v>72.3781799999998</v>
      </c>
      <c r="U776" s="421" t="n">
        <f aca="false">IF(pos_xz&lt;L_rampe,Poids*COS(Beta),0)</f>
        <v>0</v>
      </c>
      <c r="V776" s="418" t="n">
        <f aca="false">Rho_moyen*(20000-Alt_rampe-pos_z)/(20000+Alt_rampe+pos_z)</f>
        <v>1.22614113437895</v>
      </c>
      <c r="W776" s="417" t="n">
        <f aca="false">1/2*Rho*Sref*Cx*vit_xz^2</f>
        <v>58.0655665313919</v>
      </c>
      <c r="X776" s="401"/>
      <c r="Y776" s="422" t="str">
        <f aca="false">IF(AND(pos_z&lt;=0,K775&gt;0),"Impact balistique","") &amp; IF(AND(H777&lt;0,vit_z&gt;=0),"Apogée","") &amp; IF(AND(Poussee=0,Q775&gt;0),"Fin de propulsion","") &amp; IF(AND(L777&gt;L_rampe,pos_xz&lt;=L_rampe),"Sortie de rampe","")</f>
        <v/>
      </c>
      <c r="Z776" s="423" t="str">
        <f aca="false">IF(ABS(t-T_para)&lt;pas/2,"Para","")</f>
        <v/>
      </c>
      <c r="AA776" s="424" t="str">
        <f aca="false">IF(ABS(t-T_satellite)&lt;pas/2,"Satellite","")</f>
        <v/>
      </c>
      <c r="AB776" s="412"/>
      <c r="AC776" s="420" t="e">
        <f aca="false">IF(ABS(t-ROUND(t,0))&lt;0.001,t,NA())</f>
        <v>#N/A</v>
      </c>
      <c r="AD776" s="425" t="e">
        <f aca="false">IF(ABS(t-ROUND(t,0))&lt;0.001,pos_x,NA())</f>
        <v>#N/A</v>
      </c>
      <c r="AE776" s="426" t="e">
        <f aca="false">IF(t&lt;T_para, pos_z, NA())</f>
        <v>#N/A</v>
      </c>
      <c r="AF776" s="412"/>
      <c r="AG776" s="418" t="n">
        <f aca="false">IF(AND(L775&lt;L_rampe,Poussee&lt;Poids*SIN(M775)),0,(-W775+Poussee)/m-Poids*SIN(M775)/m)</f>
        <v>1.89026085138339</v>
      </c>
      <c r="AH776" s="417" t="n">
        <f aca="false">IF(AND(L775&lt;L_rampe,Poussee&lt;Poids*SIN(M775)), g*SIN(M775), (-W775+Poussee)/m)</f>
        <v>-7.87006206954358</v>
      </c>
    </row>
    <row r="777" customFormat="false" ht="12" hidden="false" customHeight="false" outlineLevel="0" collapsed="false">
      <c r="A777" s="416" t="n">
        <f aca="false">IF(B776+0.01&lt;=T_ini+ROUNDUP(Temps_fin_propu,0), 0.01, IF(K776&gt;0, 0.1, 0.0001))</f>
        <v>0.0001</v>
      </c>
      <c r="B777" s="417" t="n">
        <f aca="false">B776+pas</f>
        <v>36.3050000000004</v>
      </c>
      <c r="C777" s="401"/>
      <c r="D777" s="418" t="n">
        <f aca="false">IF(AND(L776&lt;L_rampe,Poussee&lt;Poids*SIN(M776)),0,(-W776+Poussee)/m*COS(M776)-U776/m*SIN(M776))</f>
        <v>-0.791014811709912</v>
      </c>
      <c r="E777" s="419" t="n">
        <f aca="false">IF(AND(L776&lt;L_rampe,Poussee&lt;Poids*SIN(M776)),0,(-W776+Poussee)/m*SIN(M776)+U776/m*COS(M776)-Poids/m)</f>
        <v>-1.97975716408922</v>
      </c>
      <c r="F777" s="417" t="n">
        <f aca="false">SQRT(acc_x^2+acc_z^2)</f>
        <v>2.13193406584422</v>
      </c>
      <c r="G777" s="418" t="n">
        <f aca="false">G776+acc_x*pas</f>
        <v>12.4730622935437</v>
      </c>
      <c r="H777" s="419" t="n">
        <f aca="false">H776+acc_z*pas</f>
        <v>-123.47162304116</v>
      </c>
      <c r="I777" s="417" t="n">
        <f aca="false">SQRT(vit_x^2+vit_z^2)</f>
        <v>124.100036178064</v>
      </c>
      <c r="J777" s="418" t="n">
        <f aca="false">J776+0.5*(vit_x+G776)*pas*(K776&gt;=0)</f>
        <v>913.614336176273</v>
      </c>
      <c r="K777" s="419" t="n">
        <f aca="false">K776+0.5*(vit_z+H776)*pas</f>
        <v>-9.32339303989573</v>
      </c>
      <c r="L777" s="417" t="n">
        <f aca="false">SQRT(pos_x^2+pos_z^2)</f>
        <v>913.661907340231</v>
      </c>
      <c r="M777" s="418" t="n">
        <f aca="false">IF(AND(L776&gt;L_rampe,G777&gt;0),ATAN2(G777,H777),$M$4)</f>
        <v>-1.47011820487196</v>
      </c>
      <c r="N777" s="417" t="n">
        <f aca="false">DEGREES(Beta)</f>
        <v>-84.2315685245121</v>
      </c>
      <c r="O777" s="401"/>
      <c r="P777" s="420" t="n">
        <f aca="false">MATCH(t-pas/2-T_ini,CdP_t)</f>
        <v>23</v>
      </c>
      <c r="Q777" s="417" t="n">
        <f aca="false">(INDEX(CdP,2,i_P+1)-INDEX(CdP,2,i_P+0))/(INDEX(CdP,1,i_P+1)-INDEX(CdP,1,i_P+0))*(t-pas/2-T_ini-INDEX(CdP,1,i_P+0))+INDEX(CdP,2,i_P+0)</f>
        <v>0</v>
      </c>
      <c r="R777" s="418" t="n">
        <f aca="false">Poussee/(g*ISP)</f>
        <v>0</v>
      </c>
      <c r="S777" s="419" t="n">
        <f aca="false">S776-Débit*pas</f>
        <v>7.37799999999998</v>
      </c>
      <c r="T777" s="417" t="n">
        <f aca="false">m*g</f>
        <v>72.3781799999998</v>
      </c>
      <c r="U777" s="421" t="n">
        <f aca="false">IF(pos_xz&lt;L_rampe,Poids*COS(Beta),0)</f>
        <v>0</v>
      </c>
      <c r="V777" s="418" t="n">
        <f aca="false">Rho_moyen*(20000-Alt_rampe-pos_z)/(20000+Alt_rampe+pos_z)</f>
        <v>1.22614264831536</v>
      </c>
      <c r="W777" s="417" t="n">
        <f aca="false">1/2*Rho*Sref*Cx*vit_xz^2</f>
        <v>58.0658151115216</v>
      </c>
      <c r="X777" s="401"/>
      <c r="Y777" s="422" t="str">
        <f aca="false">IF(AND(pos_z&lt;=0,K776&gt;0),"Impact balistique","") &amp; IF(AND(H778&lt;0,vit_z&gt;=0),"Apogée","") &amp; IF(AND(Poussee=0,Q776&gt;0),"Fin de propulsion","") &amp; IF(AND(L778&gt;L_rampe,pos_xz&lt;=L_rampe),"Sortie de rampe","")</f>
        <v/>
      </c>
      <c r="Z777" s="423" t="str">
        <f aca="false">IF(ABS(t-T_para)&lt;pas/2,"Para","")</f>
        <v/>
      </c>
      <c r="AA777" s="424" t="str">
        <f aca="false">IF(ABS(t-T_satellite)&lt;pas/2,"Satellite","")</f>
        <v/>
      </c>
      <c r="AB777" s="412"/>
      <c r="AC777" s="420" t="e">
        <f aca="false">IF(ABS(t-ROUND(t,0))&lt;0.001,t,NA())</f>
        <v>#N/A</v>
      </c>
      <c r="AD777" s="425" t="e">
        <f aca="false">IF(ABS(t-ROUND(t,0))&lt;0.001,pos_x,NA())</f>
        <v>#N/A</v>
      </c>
      <c r="AE777" s="426" t="e">
        <f aca="false">IF(t&lt;T_para, pos_z, NA())</f>
        <v>#N/A</v>
      </c>
      <c r="AF777" s="412"/>
      <c r="AG777" s="418" t="n">
        <f aca="false">IF(AND(L776&lt;L_rampe,Poussee&lt;Poids*SIN(M776)),0,(-W776+Poussee)/m-Poids*SIN(M776)/m)</f>
        <v>1.89022794240978</v>
      </c>
      <c r="AH777" s="417" t="n">
        <f aca="false">IF(AND(L776&lt;L_rampe,Poussee&lt;Poids*SIN(M776)), g*SIN(M776), (-W776+Poussee)/m)</f>
        <v>-7.87009576191272</v>
      </c>
    </row>
    <row r="778" customFormat="false" ht="12" hidden="false" customHeight="false" outlineLevel="0" collapsed="false">
      <c r="A778" s="416" t="n">
        <f aca="false">IF(B777+0.01&lt;=T_ini+ROUNDUP(Temps_fin_propu,0), 0.01, IF(K777&gt;0, 0.1, 0.0001))</f>
        <v>0.0001</v>
      </c>
      <c r="B778" s="417" t="n">
        <f aca="false">B777+pas</f>
        <v>36.3051000000004</v>
      </c>
      <c r="C778" s="401"/>
      <c r="D778" s="418" t="n">
        <f aca="false">IF(AND(L777&lt;L_rampe,Poussee&lt;Poids*SIN(M777)),0,(-W777+Poussee)/m*COS(M777)-U777/m*SIN(M777))</f>
        <v>-0.791011976797427</v>
      </c>
      <c r="E778" s="419" t="n">
        <f aca="false">IF(AND(L777&lt;L_rampe,Poussee&lt;Poids*SIN(M777)),0,(-W777+Poussee)/m*SIN(M777)+U777/m*COS(M777)-Poids/m)</f>
        <v>-1.97972301415277</v>
      </c>
      <c r="F778" s="417" t="n">
        <f aca="false">SQRT(acc_x^2+acc_z^2)</f>
        <v>2.13190130170303</v>
      </c>
      <c r="G778" s="418" t="n">
        <f aca="false">G777+acc_x*pas</f>
        <v>12.4729831923461</v>
      </c>
      <c r="H778" s="419" t="n">
        <f aca="false">H777+acc_z*pas</f>
        <v>-123.471821013461</v>
      </c>
      <c r="I778" s="417" t="n">
        <f aca="false">SQRT(vit_x^2+vit_z^2)</f>
        <v>124.100225197607</v>
      </c>
      <c r="J778" s="418" t="n">
        <f aca="false">J777+0.5*(vit_x+G777)*pas*(K777&gt;=0)</f>
        <v>913.614336176273</v>
      </c>
      <c r="K778" s="419" t="n">
        <f aca="false">K777+0.5*(vit_z+H777)*pas</f>
        <v>-9.33574021209846</v>
      </c>
      <c r="L778" s="417" t="n">
        <f aca="false">SQRT(pos_x^2+pos_z^2)</f>
        <v>913.662033419426</v>
      </c>
      <c r="M778" s="418" t="n">
        <f aca="false">IF(AND(L777&gt;L_rampe,G778&gt;0),ATAN2(G778,H778),$M$4)</f>
        <v>-1.47011899937876</v>
      </c>
      <c r="N778" s="417" t="n">
        <f aca="false">DEGREES(Beta)</f>
        <v>-84.2316140463988</v>
      </c>
      <c r="O778" s="401"/>
      <c r="P778" s="420" t="n">
        <f aca="false">MATCH(t-pas/2-T_ini,CdP_t)</f>
        <v>23</v>
      </c>
      <c r="Q778" s="417" t="n">
        <f aca="false">(INDEX(CdP,2,i_P+1)-INDEX(CdP,2,i_P+0))/(INDEX(CdP,1,i_P+1)-INDEX(CdP,1,i_P+0))*(t-pas/2-T_ini-INDEX(CdP,1,i_P+0))+INDEX(CdP,2,i_P+0)</f>
        <v>0</v>
      </c>
      <c r="R778" s="418" t="n">
        <f aca="false">Poussee/(g*ISP)</f>
        <v>0</v>
      </c>
      <c r="S778" s="419" t="n">
        <f aca="false">S777-Débit*pas</f>
        <v>7.37799999999998</v>
      </c>
      <c r="T778" s="417" t="n">
        <f aca="false">m*g</f>
        <v>72.3781799999998</v>
      </c>
      <c r="U778" s="421" t="n">
        <f aca="false">IF(pos_xz&lt;L_rampe,Poids*COS(Beta),0)</f>
        <v>0</v>
      </c>
      <c r="V778" s="418" t="n">
        <f aca="false">Rho_moyen*(20000-Alt_rampe-pos_z)/(20000+Alt_rampe+pos_z)</f>
        <v>1.22614416225606</v>
      </c>
      <c r="W778" s="417" t="n">
        <f aca="false">1/2*Rho*Sref*Cx*vit_xz^2</f>
        <v>58.0660636894815</v>
      </c>
      <c r="X778" s="401"/>
      <c r="Y778" s="422" t="str">
        <f aca="false">IF(AND(pos_z&lt;=0,K777&gt;0),"Impact balistique","") &amp; IF(AND(H779&lt;0,vit_z&gt;=0),"Apogée","") &amp; IF(AND(Poussee=0,Q777&gt;0),"Fin de propulsion","") &amp; IF(AND(L779&gt;L_rampe,pos_xz&lt;=L_rampe),"Sortie de rampe","")</f>
        <v/>
      </c>
      <c r="Z778" s="423" t="str">
        <f aca="false">IF(ABS(t-T_para)&lt;pas/2,"Para","")</f>
        <v/>
      </c>
      <c r="AA778" s="424" t="str">
        <f aca="false">IF(ABS(t-T_satellite)&lt;pas/2,"Satellite","")</f>
        <v/>
      </c>
      <c r="AB778" s="412"/>
      <c r="AC778" s="420" t="e">
        <f aca="false">IF(ABS(t-ROUND(t,0))&lt;0.001,t,NA())</f>
        <v>#N/A</v>
      </c>
      <c r="AD778" s="425" t="e">
        <f aca="false">IF(ABS(t-ROUND(t,0))&lt;0.001,pos_x,NA())</f>
        <v>#N/A</v>
      </c>
      <c r="AE778" s="426" t="e">
        <f aca="false">IF(t&lt;T_para, pos_z, NA())</f>
        <v>#N/A</v>
      </c>
      <c r="AF778" s="412"/>
      <c r="AG778" s="418" t="n">
        <f aca="false">IF(AND(L777&lt;L_rampe,Poussee&lt;Poids*SIN(M777)),0,(-W777+Poussee)/m-Poids*SIN(M777)/m)</f>
        <v>1.89019503371674</v>
      </c>
      <c r="AH778" s="417" t="n">
        <f aca="false">IF(AND(L777&lt;L_rampe,Poussee&lt;Poids*SIN(M777)), g*SIN(M777), (-W777+Poussee)/m)</f>
        <v>-7.87012945398777</v>
      </c>
    </row>
    <row r="779" customFormat="false" ht="12" hidden="false" customHeight="false" outlineLevel="0" collapsed="false">
      <c r="A779" s="416" t="n">
        <f aca="false">IF(B778+0.01&lt;=T_ini+ROUNDUP(Temps_fin_propu,0), 0.01, IF(K778&gt;0, 0.1, 0.0001))</f>
        <v>0.0001</v>
      </c>
      <c r="B779" s="417" t="n">
        <f aca="false">B778+pas</f>
        <v>36.3052000000004</v>
      </c>
      <c r="C779" s="401"/>
      <c r="D779" s="418" t="n">
        <f aca="false">IF(AND(L778&lt;L_rampe,Poussee&lt;Poids*SIN(M778)),0,(-W778+Poussee)/m*COS(M778)-U778/m*SIN(M778))</f>
        <v>-0.791009141860025</v>
      </c>
      <c r="E779" s="419" t="n">
        <f aca="false">IF(AND(L778&lt;L_rampe,Poussee&lt;Poids*SIN(M778)),0,(-W778+Poussee)/m*SIN(M778)+U778/m*COS(M778)-Poids/m)</f>
        <v>-1.97968886451438</v>
      </c>
      <c r="F779" s="417" t="n">
        <f aca="false">SQRT(acc_x^2+acc_z^2)</f>
        <v>2.13186853787666</v>
      </c>
      <c r="G779" s="418" t="n">
        <f aca="false">G778+acc_x*pas</f>
        <v>12.4729040914319</v>
      </c>
      <c r="H779" s="419" t="n">
        <f aca="false">H778+acc_z*pas</f>
        <v>-123.472018982348</v>
      </c>
      <c r="I779" s="417" t="n">
        <f aca="false">SQRT(vit_x^2+vit_z^2)</f>
        <v>124.100414213858</v>
      </c>
      <c r="J779" s="418" t="n">
        <f aca="false">J778+0.5*(vit_x+G778)*pas*(K778&gt;=0)</f>
        <v>913.614336176273</v>
      </c>
      <c r="K779" s="419" t="n">
        <f aca="false">K778+0.5*(vit_z+H778)*pas</f>
        <v>-9.34808740409825</v>
      </c>
      <c r="L779" s="417" t="n">
        <f aca="false">SQRT(pos_x^2+pos_z^2)</f>
        <v>913.662159665665</v>
      </c>
      <c r="M779" s="418" t="n">
        <f aca="false">IF(AND(L778&gt;L_rampe,G779&gt;0),ATAN2(G779,H779),$M$4)</f>
        <v>-1.47011979387811</v>
      </c>
      <c r="N779" s="417" t="n">
        <f aca="false">DEGREES(Beta)</f>
        <v>-84.2316595678581</v>
      </c>
      <c r="O779" s="401"/>
      <c r="P779" s="420" t="n">
        <f aca="false">MATCH(t-pas/2-T_ini,CdP_t)</f>
        <v>23</v>
      </c>
      <c r="Q779" s="417" t="n">
        <f aca="false">(INDEX(CdP,2,i_P+1)-INDEX(CdP,2,i_P+0))/(INDEX(CdP,1,i_P+1)-INDEX(CdP,1,i_P+0))*(t-pas/2-T_ini-INDEX(CdP,1,i_P+0))+INDEX(CdP,2,i_P+0)</f>
        <v>0</v>
      </c>
      <c r="R779" s="418" t="n">
        <f aca="false">Poussee/(g*ISP)</f>
        <v>0</v>
      </c>
      <c r="S779" s="419" t="n">
        <f aca="false">S778-Débit*pas</f>
        <v>7.37799999999998</v>
      </c>
      <c r="T779" s="417" t="n">
        <f aca="false">m*g</f>
        <v>72.3781799999998</v>
      </c>
      <c r="U779" s="421" t="n">
        <f aca="false">IF(pos_xz&lt;L_rampe,Poids*COS(Beta),0)</f>
        <v>0</v>
      </c>
      <c r="V779" s="418" t="n">
        <f aca="false">Rho_moyen*(20000-Alt_rampe-pos_z)/(20000+Alt_rampe+pos_z)</f>
        <v>1.22614567620107</v>
      </c>
      <c r="W779" s="417" t="n">
        <f aca="false">1/2*Rho*Sref*Cx*vit_xz^2</f>
        <v>58.0663122652716</v>
      </c>
      <c r="X779" s="401"/>
      <c r="Y779" s="422" t="str">
        <f aca="false">IF(AND(pos_z&lt;=0,K778&gt;0),"Impact balistique","") &amp; IF(AND(H780&lt;0,vit_z&gt;=0),"Apogée","") &amp; IF(AND(Poussee=0,Q778&gt;0),"Fin de propulsion","") &amp; IF(AND(L780&gt;L_rampe,pos_xz&lt;=L_rampe),"Sortie de rampe","")</f>
        <v/>
      </c>
      <c r="Z779" s="423" t="str">
        <f aca="false">IF(ABS(t-T_para)&lt;pas/2,"Para","")</f>
        <v/>
      </c>
      <c r="AA779" s="424" t="str">
        <f aca="false">IF(ABS(t-T_satellite)&lt;pas/2,"Satellite","")</f>
        <v/>
      </c>
      <c r="AB779" s="412"/>
      <c r="AC779" s="420" t="e">
        <f aca="false">IF(ABS(t-ROUND(t,0))&lt;0.001,t,NA())</f>
        <v>#N/A</v>
      </c>
      <c r="AD779" s="425" t="e">
        <f aca="false">IF(ABS(t-ROUND(t,0))&lt;0.001,pos_x,NA())</f>
        <v>#N/A</v>
      </c>
      <c r="AE779" s="426" t="e">
        <f aca="false">IF(t&lt;T_para, pos_z, NA())</f>
        <v>#N/A</v>
      </c>
      <c r="AF779" s="412"/>
      <c r="AG779" s="418" t="n">
        <f aca="false">IF(AND(L778&lt;L_rampe,Poussee&lt;Poids*SIN(M778)),0,(-W778+Poussee)/m-Poids*SIN(M778)/m)</f>
        <v>1.89016212530428</v>
      </c>
      <c r="AH779" s="417" t="n">
        <f aca="false">IF(AND(L778&lt;L_rampe,Poussee&lt;Poids*SIN(M778)), g*SIN(M778), (-W778+Poussee)/m)</f>
        <v>-7.87016314576873</v>
      </c>
    </row>
    <row r="780" customFormat="false" ht="12" hidden="false" customHeight="false" outlineLevel="0" collapsed="false">
      <c r="A780" s="416" t="n">
        <f aca="false">IF(B779+0.01&lt;=T_ini+ROUNDUP(Temps_fin_propu,0), 0.01, IF(K779&gt;0, 0.1, 0.0001))</f>
        <v>0.0001</v>
      </c>
      <c r="B780" s="417" t="n">
        <f aca="false">B779+pas</f>
        <v>36.3053000000004</v>
      </c>
      <c r="C780" s="401"/>
      <c r="D780" s="418" t="n">
        <f aca="false">IF(AND(L779&lt;L_rampe,Poussee&lt;Poids*SIN(M779)),0,(-W779+Poussee)/m*COS(M779)-U779/m*SIN(M779))</f>
        <v>-0.791006306897703</v>
      </c>
      <c r="E780" s="419" t="n">
        <f aca="false">IF(AND(L779&lt;L_rampe,Poussee&lt;Poids*SIN(M779)),0,(-W779+Poussee)/m*SIN(M779)+U779/m*COS(M779)-Poids/m)</f>
        <v>-1.97965471517406</v>
      </c>
      <c r="F780" s="417" t="n">
        <f aca="false">SQRT(acc_x^2+acc_z^2)</f>
        <v>2.13183577436509</v>
      </c>
      <c r="G780" s="418" t="n">
        <f aca="false">G779+acc_x*pas</f>
        <v>12.4728249908012</v>
      </c>
      <c r="H780" s="419" t="n">
        <f aca="false">H779+acc_z*pas</f>
        <v>-123.472216947819</v>
      </c>
      <c r="I780" s="417" t="n">
        <f aca="false">SQRT(vit_x^2+vit_z^2)</f>
        <v>124.100603226819</v>
      </c>
      <c r="J780" s="418" t="n">
        <f aca="false">J779+0.5*(vit_x+G779)*pas*(K779&gt;=0)</f>
        <v>913.614336176273</v>
      </c>
      <c r="K780" s="419" t="n">
        <f aca="false">K779+0.5*(vit_z+H779)*pas</f>
        <v>-9.36043461589476</v>
      </c>
      <c r="L780" s="417" t="n">
        <f aca="false">SQRT(pos_x^2+pos_z^2)</f>
        <v>913.662286078949</v>
      </c>
      <c r="M780" s="418" t="n">
        <f aca="false">IF(AND(L779&gt;L_rampe,G780&gt;0),ATAN2(G780,H780),$M$4)</f>
        <v>-1.47012058836999</v>
      </c>
      <c r="N780" s="417" t="n">
        <f aca="false">DEGREES(Beta)</f>
        <v>-84.2317050888901</v>
      </c>
      <c r="O780" s="401"/>
      <c r="P780" s="420" t="n">
        <f aca="false">MATCH(t-pas/2-T_ini,CdP_t)</f>
        <v>23</v>
      </c>
      <c r="Q780" s="417" t="n">
        <f aca="false">(INDEX(CdP,2,i_P+1)-INDEX(CdP,2,i_P+0))/(INDEX(CdP,1,i_P+1)-INDEX(CdP,1,i_P+0))*(t-pas/2-T_ini-INDEX(CdP,1,i_P+0))+INDEX(CdP,2,i_P+0)</f>
        <v>0</v>
      </c>
      <c r="R780" s="418" t="n">
        <f aca="false">Poussee/(g*ISP)</f>
        <v>0</v>
      </c>
      <c r="S780" s="419" t="n">
        <f aca="false">S779-Débit*pas</f>
        <v>7.37799999999998</v>
      </c>
      <c r="T780" s="417" t="n">
        <f aca="false">m*g</f>
        <v>72.3781799999998</v>
      </c>
      <c r="U780" s="421" t="n">
        <f aca="false">IF(pos_xz&lt;L_rampe,Poids*COS(Beta),0)</f>
        <v>0</v>
      </c>
      <c r="V780" s="418" t="n">
        <f aca="false">Rho_moyen*(20000-Alt_rampe-pos_z)/(20000+Alt_rampe+pos_z)</f>
        <v>1.22614719015037</v>
      </c>
      <c r="W780" s="417" t="n">
        <f aca="false">1/2*Rho*Sref*Cx*vit_xz^2</f>
        <v>58.0665608388918</v>
      </c>
      <c r="X780" s="401"/>
      <c r="Y780" s="422" t="str">
        <f aca="false">IF(AND(pos_z&lt;=0,K779&gt;0),"Impact balistique","") &amp; IF(AND(H781&lt;0,vit_z&gt;=0),"Apogée","") &amp; IF(AND(Poussee=0,Q779&gt;0),"Fin de propulsion","") &amp; IF(AND(L781&gt;L_rampe,pos_xz&lt;=L_rampe),"Sortie de rampe","")</f>
        <v/>
      </c>
      <c r="Z780" s="423" t="str">
        <f aca="false">IF(ABS(t-T_para)&lt;pas/2,"Para","")</f>
        <v/>
      </c>
      <c r="AA780" s="424" t="str">
        <f aca="false">IF(ABS(t-T_satellite)&lt;pas/2,"Satellite","")</f>
        <v/>
      </c>
      <c r="AB780" s="412"/>
      <c r="AC780" s="420" t="e">
        <f aca="false">IF(ABS(t-ROUND(t,0))&lt;0.001,t,NA())</f>
        <v>#N/A</v>
      </c>
      <c r="AD780" s="425" t="e">
        <f aca="false">IF(ABS(t-ROUND(t,0))&lt;0.001,pos_x,NA())</f>
        <v>#N/A</v>
      </c>
      <c r="AE780" s="426" t="e">
        <f aca="false">IF(t&lt;T_para, pos_z, NA())</f>
        <v>#N/A</v>
      </c>
      <c r="AF780" s="412"/>
      <c r="AG780" s="418" t="n">
        <f aca="false">IF(AND(L779&lt;L_rampe,Poussee&lt;Poids*SIN(M779)),0,(-W779+Poussee)/m-Poids*SIN(M779)/m)</f>
        <v>1.89012921717241</v>
      </c>
      <c r="AH780" s="417" t="n">
        <f aca="false">IF(AND(L779&lt;L_rampe,Poussee&lt;Poids*SIN(M779)), g*SIN(M779), (-W779+Poussee)/m)</f>
        <v>-7.87019683725559</v>
      </c>
    </row>
    <row r="781" customFormat="false" ht="12" hidden="false" customHeight="false" outlineLevel="0" collapsed="false">
      <c r="A781" s="416" t="n">
        <f aca="false">IF(B780+0.01&lt;=T_ini+ROUNDUP(Temps_fin_propu,0), 0.01, IF(K780&gt;0, 0.1, 0.0001))</f>
        <v>0.0001</v>
      </c>
      <c r="B781" s="417" t="n">
        <f aca="false">B780+pas</f>
        <v>36.3054000000004</v>
      </c>
      <c r="C781" s="401"/>
      <c r="D781" s="418" t="n">
        <f aca="false">IF(AND(L780&lt;L_rampe,Poussee&lt;Poids*SIN(M780)),0,(-W780+Poussee)/m*COS(M780)-U780/m*SIN(M780))</f>
        <v>-0.791003471910464</v>
      </c>
      <c r="E781" s="419" t="n">
        <f aca="false">IF(AND(L780&lt;L_rampe,Poussee&lt;Poids*SIN(M780)),0,(-W780+Poussee)/m*SIN(M780)+U780/m*COS(M780)-Poids/m)</f>
        <v>-1.9796205661318</v>
      </c>
      <c r="F781" s="417" t="n">
        <f aca="false">SQRT(acc_x^2+acc_z^2)</f>
        <v>2.13180301116834</v>
      </c>
      <c r="G781" s="418" t="n">
        <f aca="false">G780+acc_x*pas</f>
        <v>12.472745890454</v>
      </c>
      <c r="H781" s="419" t="n">
        <f aca="false">H780+acc_z*pas</f>
        <v>-123.472414909876</v>
      </c>
      <c r="I781" s="417" t="n">
        <f aca="false">SQRT(vit_x^2+vit_z^2)</f>
        <v>124.100792236489</v>
      </c>
      <c r="J781" s="418" t="n">
        <f aca="false">J780+0.5*(vit_x+G780)*pas*(K780&gt;=0)</f>
        <v>913.614336176273</v>
      </c>
      <c r="K781" s="419" t="n">
        <f aca="false">K780+0.5*(vit_z+H780)*pas</f>
        <v>-9.37278184748765</v>
      </c>
      <c r="L781" s="417" t="n">
        <f aca="false">SQRT(pos_x^2+pos_z^2)</f>
        <v>913.662412659278</v>
      </c>
      <c r="M781" s="418" t="n">
        <f aca="false">IF(AND(L780&gt;L_rampe,G781&gt;0),ATAN2(G781,H781),$M$4)</f>
        <v>-1.47012138285442</v>
      </c>
      <c r="N781" s="417" t="n">
        <f aca="false">DEGREES(Beta)</f>
        <v>-84.2317506094947</v>
      </c>
      <c r="O781" s="401"/>
      <c r="P781" s="420" t="n">
        <f aca="false">MATCH(t-pas/2-T_ini,CdP_t)</f>
        <v>23</v>
      </c>
      <c r="Q781" s="417" t="n">
        <f aca="false">(INDEX(CdP,2,i_P+1)-INDEX(CdP,2,i_P+0))/(INDEX(CdP,1,i_P+1)-INDEX(CdP,1,i_P+0))*(t-pas/2-T_ini-INDEX(CdP,1,i_P+0))+INDEX(CdP,2,i_P+0)</f>
        <v>0</v>
      </c>
      <c r="R781" s="418" t="n">
        <f aca="false">Poussee/(g*ISP)</f>
        <v>0</v>
      </c>
      <c r="S781" s="419" t="n">
        <f aca="false">S780-Débit*pas</f>
        <v>7.37799999999998</v>
      </c>
      <c r="T781" s="417" t="n">
        <f aca="false">m*g</f>
        <v>72.3781799999998</v>
      </c>
      <c r="U781" s="421" t="n">
        <f aca="false">IF(pos_xz&lt;L_rampe,Poids*COS(Beta),0)</f>
        <v>0</v>
      </c>
      <c r="V781" s="418" t="n">
        <f aca="false">Rho_moyen*(20000-Alt_rampe-pos_z)/(20000+Alt_rampe+pos_z)</f>
        <v>1.22614870410397</v>
      </c>
      <c r="W781" s="417" t="n">
        <f aca="false">1/2*Rho*Sref*Cx*vit_xz^2</f>
        <v>58.0668094103423</v>
      </c>
      <c r="X781" s="401"/>
      <c r="Y781" s="422" t="str">
        <f aca="false">IF(AND(pos_z&lt;=0,K780&gt;0),"Impact balistique","") &amp; IF(AND(H782&lt;0,vit_z&gt;=0),"Apogée","") &amp; IF(AND(Poussee=0,Q780&gt;0),"Fin de propulsion","") &amp; IF(AND(L782&gt;L_rampe,pos_xz&lt;=L_rampe),"Sortie de rampe","")</f>
        <v/>
      </c>
      <c r="Z781" s="423" t="str">
        <f aca="false">IF(ABS(t-T_para)&lt;pas/2,"Para","")</f>
        <v/>
      </c>
      <c r="AA781" s="424" t="str">
        <f aca="false">IF(ABS(t-T_satellite)&lt;pas/2,"Satellite","")</f>
        <v/>
      </c>
      <c r="AB781" s="412"/>
      <c r="AC781" s="420" t="e">
        <f aca="false">IF(ABS(t-ROUND(t,0))&lt;0.001,t,NA())</f>
        <v>#N/A</v>
      </c>
      <c r="AD781" s="425" t="e">
        <f aca="false">IF(ABS(t-ROUND(t,0))&lt;0.001,pos_x,NA())</f>
        <v>#N/A</v>
      </c>
      <c r="AE781" s="426" t="e">
        <f aca="false">IF(t&lt;T_para, pos_z, NA())</f>
        <v>#N/A</v>
      </c>
      <c r="AF781" s="412"/>
      <c r="AG781" s="418" t="n">
        <f aca="false">IF(AND(L780&lt;L_rampe,Poussee&lt;Poids*SIN(M780)),0,(-W780+Poussee)/m-Poids*SIN(M780)/m)</f>
        <v>1.89009630932111</v>
      </c>
      <c r="AH781" s="417" t="n">
        <f aca="false">IF(AND(L780&lt;L_rampe,Poussee&lt;Poids*SIN(M780)), g*SIN(M780), (-W780+Poussee)/m)</f>
        <v>-7.87023052844836</v>
      </c>
    </row>
    <row r="782" customFormat="false" ht="12" hidden="false" customHeight="false" outlineLevel="0" collapsed="false">
      <c r="A782" s="416" t="n">
        <f aca="false">IF(B781+0.01&lt;=T_ini+ROUNDUP(Temps_fin_propu,0), 0.01, IF(K781&gt;0, 0.1, 0.0001))</f>
        <v>0.0001</v>
      </c>
      <c r="B782" s="417" t="n">
        <f aca="false">B781+pas</f>
        <v>36.3055000000004</v>
      </c>
      <c r="C782" s="401"/>
      <c r="D782" s="418" t="n">
        <f aca="false">IF(AND(L781&lt;L_rampe,Poussee&lt;Poids*SIN(M781)),0,(-W781+Poussee)/m*COS(M781)-U781/m*SIN(M781))</f>
        <v>-0.791000636898307</v>
      </c>
      <c r="E782" s="419" t="n">
        <f aca="false">IF(AND(L781&lt;L_rampe,Poussee&lt;Poids*SIN(M781)),0,(-W781+Poussee)/m*SIN(M781)+U781/m*COS(M781)-Poids/m)</f>
        <v>-1.97958641738761</v>
      </c>
      <c r="F782" s="417" t="n">
        <f aca="false">SQRT(acc_x^2+acc_z^2)</f>
        <v>2.1317702482864</v>
      </c>
      <c r="G782" s="418" t="n">
        <f aca="false">G781+acc_x*pas</f>
        <v>12.4726667903903</v>
      </c>
      <c r="H782" s="419" t="n">
        <f aca="false">H781+acc_z*pas</f>
        <v>-123.472612868517</v>
      </c>
      <c r="I782" s="417" t="n">
        <f aca="false">SQRT(vit_x^2+vit_z^2)</f>
        <v>124.100981242869</v>
      </c>
      <c r="J782" s="418" t="n">
        <f aca="false">J781+0.5*(vit_x+G781)*pas*(K781&gt;=0)</f>
        <v>913.614336176273</v>
      </c>
      <c r="K782" s="419" t="n">
        <f aca="false">K781+0.5*(vit_z+H781)*pas</f>
        <v>-9.38512909887657</v>
      </c>
      <c r="L782" s="417" t="n">
        <f aca="false">SQRT(pos_x^2+pos_z^2)</f>
        <v>913.662539406654</v>
      </c>
      <c r="M782" s="418" t="n">
        <f aca="false">IF(AND(L781&gt;L_rampe,G782&gt;0),ATAN2(G782,H782),$M$4)</f>
        <v>-1.47012217733139</v>
      </c>
      <c r="N782" s="417" t="n">
        <f aca="false">DEGREES(Beta)</f>
        <v>-84.231796129672</v>
      </c>
      <c r="O782" s="401"/>
      <c r="P782" s="420" t="n">
        <f aca="false">MATCH(t-pas/2-T_ini,CdP_t)</f>
        <v>23</v>
      </c>
      <c r="Q782" s="417" t="n">
        <f aca="false">(INDEX(CdP,2,i_P+1)-INDEX(CdP,2,i_P+0))/(INDEX(CdP,1,i_P+1)-INDEX(CdP,1,i_P+0))*(t-pas/2-T_ini-INDEX(CdP,1,i_P+0))+INDEX(CdP,2,i_P+0)</f>
        <v>0</v>
      </c>
      <c r="R782" s="418" t="n">
        <f aca="false">Poussee/(g*ISP)</f>
        <v>0</v>
      </c>
      <c r="S782" s="419" t="n">
        <f aca="false">S781-Débit*pas</f>
        <v>7.37799999999998</v>
      </c>
      <c r="T782" s="417" t="n">
        <f aca="false">m*g</f>
        <v>72.3781799999998</v>
      </c>
      <c r="U782" s="421" t="n">
        <f aca="false">IF(pos_xz&lt;L_rampe,Poids*COS(Beta),0)</f>
        <v>0</v>
      </c>
      <c r="V782" s="418" t="n">
        <f aca="false">Rho_moyen*(20000-Alt_rampe-pos_z)/(20000+Alt_rampe+pos_z)</f>
        <v>1.22615021806186</v>
      </c>
      <c r="W782" s="417" t="n">
        <f aca="false">1/2*Rho*Sref*Cx*vit_xz^2</f>
        <v>58.0670579796229</v>
      </c>
      <c r="X782" s="401"/>
      <c r="Y782" s="422" t="str">
        <f aca="false">IF(AND(pos_z&lt;=0,K781&gt;0),"Impact balistique","") &amp; IF(AND(H783&lt;0,vit_z&gt;=0),"Apogée","") &amp; IF(AND(Poussee=0,Q781&gt;0),"Fin de propulsion","") &amp; IF(AND(L783&gt;L_rampe,pos_xz&lt;=L_rampe),"Sortie de rampe","")</f>
        <v/>
      </c>
      <c r="Z782" s="423" t="str">
        <f aca="false">IF(ABS(t-T_para)&lt;pas/2,"Para","")</f>
        <v/>
      </c>
      <c r="AA782" s="424" t="str">
        <f aca="false">IF(ABS(t-T_satellite)&lt;pas/2,"Satellite","")</f>
        <v/>
      </c>
      <c r="AB782" s="412"/>
      <c r="AC782" s="420" t="e">
        <f aca="false">IF(ABS(t-ROUND(t,0))&lt;0.001,t,NA())</f>
        <v>#N/A</v>
      </c>
      <c r="AD782" s="425" t="e">
        <f aca="false">IF(ABS(t-ROUND(t,0))&lt;0.001,pos_x,NA())</f>
        <v>#N/A</v>
      </c>
      <c r="AE782" s="426" t="e">
        <f aca="false">IF(t&lt;T_para, pos_z, NA())</f>
        <v>#N/A</v>
      </c>
      <c r="AF782" s="412"/>
      <c r="AG782" s="418" t="n">
        <f aca="false">IF(AND(L781&lt;L_rampe,Poussee&lt;Poids*SIN(M781)),0,(-W781+Poussee)/m-Poids*SIN(M781)/m)</f>
        <v>1.89006340175039</v>
      </c>
      <c r="AH782" s="417" t="n">
        <f aca="false">IF(AND(L781&lt;L_rampe,Poussee&lt;Poids*SIN(M781)), g*SIN(M781), (-W781+Poussee)/m)</f>
        <v>-7.87026421934703</v>
      </c>
    </row>
    <row r="783" customFormat="false" ht="12" hidden="false" customHeight="false" outlineLevel="0" collapsed="false">
      <c r="A783" s="416" t="n">
        <f aca="false">IF(B782+0.01&lt;=T_ini+ROUNDUP(Temps_fin_propu,0), 0.01, IF(K782&gt;0, 0.1, 0.0001))</f>
        <v>0.0001</v>
      </c>
      <c r="B783" s="417" t="n">
        <f aca="false">B782+pas</f>
        <v>36.3056000000004</v>
      </c>
      <c r="C783" s="401"/>
      <c r="D783" s="418" t="n">
        <f aca="false">IF(AND(L782&lt;L_rampe,Poussee&lt;Poids*SIN(M782)),0,(-W782+Poussee)/m*COS(M782)-U782/m*SIN(M782))</f>
        <v>-0.790997801861236</v>
      </c>
      <c r="E783" s="419" t="n">
        <f aca="false">IF(AND(L782&lt;L_rampe,Poussee&lt;Poids*SIN(M782)),0,(-W782+Poussee)/m*SIN(M782)+U782/m*COS(M782)-Poids/m)</f>
        <v>-1.97955226894149</v>
      </c>
      <c r="F783" s="417" t="n">
        <f aca="false">SQRT(acc_x^2+acc_z^2)</f>
        <v>2.13173748571926</v>
      </c>
      <c r="G783" s="418" t="n">
        <f aca="false">G782+acc_x*pas</f>
        <v>12.4725876906101</v>
      </c>
      <c r="H783" s="419" t="n">
        <f aca="false">H782+acc_z*pas</f>
        <v>-123.472810823744</v>
      </c>
      <c r="I783" s="417" t="n">
        <f aca="false">SQRT(vit_x^2+vit_z^2)</f>
        <v>124.101170245957</v>
      </c>
      <c r="J783" s="418" t="n">
        <f aca="false">J782+0.5*(vit_x+G782)*pas*(K782&gt;=0)</f>
        <v>913.614336176273</v>
      </c>
      <c r="K783" s="419" t="n">
        <f aca="false">K782+0.5*(vit_z+H782)*pas</f>
        <v>-9.39747637006118</v>
      </c>
      <c r="L783" s="417" t="n">
        <f aca="false">SQRT(pos_x^2+pos_z^2)</f>
        <v>913.662666321076</v>
      </c>
      <c r="M783" s="418" t="n">
        <f aca="false">IF(AND(L782&gt;L_rampe,G783&gt;0),ATAN2(G783,H783),$M$4)</f>
        <v>-1.4701229718009</v>
      </c>
      <c r="N783" s="417" t="n">
        <f aca="false">DEGREES(Beta)</f>
        <v>-84.231841649422</v>
      </c>
      <c r="O783" s="401"/>
      <c r="P783" s="420" t="n">
        <f aca="false">MATCH(t-pas/2-T_ini,CdP_t)</f>
        <v>23</v>
      </c>
      <c r="Q783" s="417" t="n">
        <f aca="false">(INDEX(CdP,2,i_P+1)-INDEX(CdP,2,i_P+0))/(INDEX(CdP,1,i_P+1)-INDEX(CdP,1,i_P+0))*(t-pas/2-T_ini-INDEX(CdP,1,i_P+0))+INDEX(CdP,2,i_P+0)</f>
        <v>0</v>
      </c>
      <c r="R783" s="418" t="n">
        <f aca="false">Poussee/(g*ISP)</f>
        <v>0</v>
      </c>
      <c r="S783" s="419" t="n">
        <f aca="false">S782-Débit*pas</f>
        <v>7.37799999999998</v>
      </c>
      <c r="T783" s="417" t="n">
        <f aca="false">m*g</f>
        <v>72.3781799999998</v>
      </c>
      <c r="U783" s="421" t="n">
        <f aca="false">IF(pos_xz&lt;L_rampe,Poids*COS(Beta),0)</f>
        <v>0</v>
      </c>
      <c r="V783" s="418" t="n">
        <f aca="false">Rho_moyen*(20000-Alt_rampe-pos_z)/(20000+Alt_rampe+pos_z)</f>
        <v>1.22615173202406</v>
      </c>
      <c r="W783" s="417" t="n">
        <f aca="false">1/2*Rho*Sref*Cx*vit_xz^2</f>
        <v>58.0673065467337</v>
      </c>
      <c r="X783" s="401"/>
      <c r="Y783" s="422" t="str">
        <f aca="false">IF(AND(pos_z&lt;=0,K782&gt;0),"Impact balistique","") &amp; IF(AND(H784&lt;0,vit_z&gt;=0),"Apogée","") &amp; IF(AND(Poussee=0,Q782&gt;0),"Fin de propulsion","") &amp; IF(AND(L784&gt;L_rampe,pos_xz&lt;=L_rampe),"Sortie de rampe","")</f>
        <v/>
      </c>
      <c r="Z783" s="423" t="str">
        <f aca="false">IF(ABS(t-T_para)&lt;pas/2,"Para","")</f>
        <v/>
      </c>
      <c r="AA783" s="424" t="str">
        <f aca="false">IF(ABS(t-T_satellite)&lt;pas/2,"Satellite","")</f>
        <v/>
      </c>
      <c r="AB783" s="412"/>
      <c r="AC783" s="420" t="e">
        <f aca="false">IF(ABS(t-ROUND(t,0))&lt;0.001,t,NA())</f>
        <v>#N/A</v>
      </c>
      <c r="AD783" s="425" t="e">
        <f aca="false">IF(ABS(t-ROUND(t,0))&lt;0.001,pos_x,NA())</f>
        <v>#N/A</v>
      </c>
      <c r="AE783" s="426" t="e">
        <f aca="false">IF(t&lt;T_para, pos_z, NA())</f>
        <v>#N/A</v>
      </c>
      <c r="AF783" s="412"/>
      <c r="AG783" s="418" t="n">
        <f aca="false">IF(AND(L782&lt;L_rampe,Poussee&lt;Poids*SIN(M782)),0,(-W782+Poussee)/m-Poids*SIN(M782)/m)</f>
        <v>1.89003049446024</v>
      </c>
      <c r="AH783" s="417" t="n">
        <f aca="false">IF(AND(L782&lt;L_rampe,Poussee&lt;Poids*SIN(M782)), g*SIN(M782), (-W782+Poussee)/m)</f>
        <v>-7.87029790995162</v>
      </c>
    </row>
    <row r="784" customFormat="false" ht="12" hidden="false" customHeight="false" outlineLevel="0" collapsed="false">
      <c r="A784" s="416" t="n">
        <f aca="false">IF(B783+0.01&lt;=T_ini+ROUNDUP(Temps_fin_propu,0), 0.01, IF(K783&gt;0, 0.1, 0.0001))</f>
        <v>0.0001</v>
      </c>
      <c r="B784" s="417" t="n">
        <f aca="false">B783+pas</f>
        <v>36.3057000000004</v>
      </c>
      <c r="C784" s="401"/>
      <c r="D784" s="418" t="n">
        <f aca="false">IF(AND(L783&lt;L_rampe,Poussee&lt;Poids*SIN(M783)),0,(-W783+Poussee)/m*COS(M783)-U783/m*SIN(M783))</f>
        <v>-0.790994966799249</v>
      </c>
      <c r="E784" s="419" t="n">
        <f aca="false">IF(AND(L783&lt;L_rampe,Poussee&lt;Poids*SIN(M783)),0,(-W783+Poussee)/m*SIN(M783)+U783/m*COS(M783)-Poids/m)</f>
        <v>-1.97951812079342</v>
      </c>
      <c r="F784" s="417" t="n">
        <f aca="false">SQRT(acc_x^2+acc_z^2)</f>
        <v>2.13170472346694</v>
      </c>
      <c r="G784" s="418" t="n">
        <f aca="false">G783+acc_x*pas</f>
        <v>12.4725085911134</v>
      </c>
      <c r="H784" s="419" t="n">
        <f aca="false">H783+acc_z*pas</f>
        <v>-123.473008775556</v>
      </c>
      <c r="I784" s="417" t="n">
        <f aca="false">SQRT(vit_x^2+vit_z^2)</f>
        <v>124.101359245755</v>
      </c>
      <c r="J784" s="418" t="n">
        <f aca="false">J783+0.5*(vit_x+G783)*pas*(K783&gt;=0)</f>
        <v>913.614336176273</v>
      </c>
      <c r="K784" s="419" t="n">
        <f aca="false">K783+0.5*(vit_z+H783)*pas</f>
        <v>-9.40982366104115</v>
      </c>
      <c r="L784" s="417" t="n">
        <f aca="false">SQRT(pos_x^2+pos_z^2)</f>
        <v>913.662793402546</v>
      </c>
      <c r="M784" s="418" t="n">
        <f aca="false">IF(AND(L783&gt;L_rampe,G784&gt;0),ATAN2(G784,H784),$M$4)</f>
        <v>-1.47012376626296</v>
      </c>
      <c r="N784" s="417" t="n">
        <f aca="false">DEGREES(Beta)</f>
        <v>-84.2318871687446</v>
      </c>
      <c r="O784" s="401"/>
      <c r="P784" s="420" t="n">
        <f aca="false">MATCH(t-pas/2-T_ini,CdP_t)</f>
        <v>23</v>
      </c>
      <c r="Q784" s="417" t="n">
        <f aca="false">(INDEX(CdP,2,i_P+1)-INDEX(CdP,2,i_P+0))/(INDEX(CdP,1,i_P+1)-INDEX(CdP,1,i_P+0))*(t-pas/2-T_ini-INDEX(CdP,1,i_P+0))+INDEX(CdP,2,i_P+0)</f>
        <v>0</v>
      </c>
      <c r="R784" s="418" t="n">
        <f aca="false">Poussee/(g*ISP)</f>
        <v>0</v>
      </c>
      <c r="S784" s="419" t="n">
        <f aca="false">S783-Débit*pas</f>
        <v>7.37799999999998</v>
      </c>
      <c r="T784" s="417" t="n">
        <f aca="false">m*g</f>
        <v>72.3781799999998</v>
      </c>
      <c r="U784" s="421" t="n">
        <f aca="false">IF(pos_xz&lt;L_rampe,Poids*COS(Beta),0)</f>
        <v>0</v>
      </c>
      <c r="V784" s="418" t="n">
        <f aca="false">Rho_moyen*(20000-Alt_rampe-pos_z)/(20000+Alt_rampe+pos_z)</f>
        <v>1.22615324599055</v>
      </c>
      <c r="W784" s="417" t="n">
        <f aca="false">1/2*Rho*Sref*Cx*vit_xz^2</f>
        <v>58.0675551116747</v>
      </c>
      <c r="X784" s="401"/>
      <c r="Y784" s="422" t="str">
        <f aca="false">IF(AND(pos_z&lt;=0,K783&gt;0),"Impact balistique","") &amp; IF(AND(H785&lt;0,vit_z&gt;=0),"Apogée","") &amp; IF(AND(Poussee=0,Q783&gt;0),"Fin de propulsion","") &amp; IF(AND(L785&gt;L_rampe,pos_xz&lt;=L_rampe),"Sortie de rampe","")</f>
        <v/>
      </c>
      <c r="Z784" s="423" t="str">
        <f aca="false">IF(ABS(t-T_para)&lt;pas/2,"Para","")</f>
        <v/>
      </c>
      <c r="AA784" s="424" t="str">
        <f aca="false">IF(ABS(t-T_satellite)&lt;pas/2,"Satellite","")</f>
        <v/>
      </c>
      <c r="AB784" s="412"/>
      <c r="AC784" s="420" t="e">
        <f aca="false">IF(ABS(t-ROUND(t,0))&lt;0.001,t,NA())</f>
        <v>#N/A</v>
      </c>
      <c r="AD784" s="425" t="e">
        <f aca="false">IF(ABS(t-ROUND(t,0))&lt;0.001,pos_x,NA())</f>
        <v>#N/A</v>
      </c>
      <c r="AE784" s="426" t="e">
        <f aca="false">IF(t&lt;T_para, pos_z, NA())</f>
        <v>#N/A</v>
      </c>
      <c r="AF784" s="412"/>
      <c r="AG784" s="418" t="n">
        <f aca="false">IF(AND(L783&lt;L_rampe,Poussee&lt;Poids*SIN(M783)),0,(-W783+Poussee)/m-Poids*SIN(M783)/m)</f>
        <v>1.88999758745068</v>
      </c>
      <c r="AH784" s="417" t="n">
        <f aca="false">IF(AND(L783&lt;L_rampe,Poussee&lt;Poids*SIN(M783)), g*SIN(M783), (-W783+Poussee)/m)</f>
        <v>-7.87033160026211</v>
      </c>
    </row>
    <row r="785" customFormat="false" ht="12" hidden="false" customHeight="false" outlineLevel="0" collapsed="false">
      <c r="A785" s="416" t="n">
        <f aca="false">IF(B784+0.01&lt;=T_ini+ROUNDUP(Temps_fin_propu,0), 0.01, IF(K784&gt;0, 0.1, 0.0001))</f>
        <v>0.0001</v>
      </c>
      <c r="B785" s="417" t="n">
        <f aca="false">B784+pas</f>
        <v>36.3058000000004</v>
      </c>
      <c r="C785" s="401"/>
      <c r="D785" s="418" t="n">
        <f aca="false">IF(AND(L784&lt;L_rampe,Poussee&lt;Poids*SIN(M784)),0,(-W784+Poussee)/m*COS(M784)-U784/m*SIN(M784))</f>
        <v>-0.790992131712346</v>
      </c>
      <c r="E785" s="419" t="n">
        <f aca="false">IF(AND(L784&lt;L_rampe,Poussee&lt;Poids*SIN(M784)),0,(-W784+Poussee)/m*SIN(M784)+U784/m*COS(M784)-Poids/m)</f>
        <v>-1.97948397294342</v>
      </c>
      <c r="F785" s="417" t="n">
        <f aca="false">SQRT(acc_x^2+acc_z^2)</f>
        <v>2.13167196152943</v>
      </c>
      <c r="G785" s="418" t="n">
        <f aca="false">G784+acc_x*pas</f>
        <v>12.4724294919003</v>
      </c>
      <c r="H785" s="419" t="n">
        <f aca="false">H784+acc_z*pas</f>
        <v>-123.473206723954</v>
      </c>
      <c r="I785" s="417" t="n">
        <f aca="false">SQRT(vit_x^2+vit_z^2)</f>
        <v>124.101548242263</v>
      </c>
      <c r="J785" s="418" t="n">
        <f aca="false">J784+0.5*(vit_x+G784)*pas*(K784&gt;=0)</f>
        <v>913.614336176273</v>
      </c>
      <c r="K785" s="419" t="n">
        <f aca="false">K784+0.5*(vit_z+H784)*pas</f>
        <v>-9.42217097181612</v>
      </c>
      <c r="L785" s="417" t="n">
        <f aca="false">SQRT(pos_x^2+pos_z^2)</f>
        <v>913.662920651065</v>
      </c>
      <c r="M785" s="418" t="n">
        <f aca="false">IF(AND(L784&gt;L_rampe,G785&gt;0),ATAN2(G785,H785),$M$4)</f>
        <v>-1.47012456071755</v>
      </c>
      <c r="N785" s="417" t="n">
        <f aca="false">DEGREES(Beta)</f>
        <v>-84.2319326876399</v>
      </c>
      <c r="O785" s="401"/>
      <c r="P785" s="420" t="n">
        <f aca="false">MATCH(t-pas/2-T_ini,CdP_t)</f>
        <v>23</v>
      </c>
      <c r="Q785" s="417" t="n">
        <f aca="false">(INDEX(CdP,2,i_P+1)-INDEX(CdP,2,i_P+0))/(INDEX(CdP,1,i_P+1)-INDEX(CdP,1,i_P+0))*(t-pas/2-T_ini-INDEX(CdP,1,i_P+0))+INDEX(CdP,2,i_P+0)</f>
        <v>0</v>
      </c>
      <c r="R785" s="418" t="n">
        <f aca="false">Poussee/(g*ISP)</f>
        <v>0</v>
      </c>
      <c r="S785" s="419" t="n">
        <f aca="false">S784-Débit*pas</f>
        <v>7.37799999999998</v>
      </c>
      <c r="T785" s="417" t="n">
        <f aca="false">m*g</f>
        <v>72.3781799999998</v>
      </c>
      <c r="U785" s="421" t="n">
        <f aca="false">IF(pos_xz&lt;L_rampe,Poids*COS(Beta),0)</f>
        <v>0</v>
      </c>
      <c r="V785" s="418" t="n">
        <f aca="false">Rho_moyen*(20000-Alt_rampe-pos_z)/(20000+Alt_rampe+pos_z)</f>
        <v>1.22615475996134</v>
      </c>
      <c r="W785" s="417" t="n">
        <f aca="false">1/2*Rho*Sref*Cx*vit_xz^2</f>
        <v>58.0678036744459</v>
      </c>
      <c r="X785" s="401"/>
      <c r="Y785" s="422" t="str">
        <f aca="false">IF(AND(pos_z&lt;=0,K784&gt;0),"Impact balistique","") &amp; IF(AND(H786&lt;0,vit_z&gt;=0),"Apogée","") &amp; IF(AND(Poussee=0,Q784&gt;0),"Fin de propulsion","") &amp; IF(AND(L786&gt;L_rampe,pos_xz&lt;=L_rampe),"Sortie de rampe","")</f>
        <v/>
      </c>
      <c r="Z785" s="423" t="str">
        <f aca="false">IF(ABS(t-T_para)&lt;pas/2,"Para","")</f>
        <v/>
      </c>
      <c r="AA785" s="424" t="str">
        <f aca="false">IF(ABS(t-T_satellite)&lt;pas/2,"Satellite","")</f>
        <v/>
      </c>
      <c r="AB785" s="412"/>
      <c r="AC785" s="420" t="e">
        <f aca="false">IF(ABS(t-ROUND(t,0))&lt;0.001,t,NA())</f>
        <v>#N/A</v>
      </c>
      <c r="AD785" s="425" t="e">
        <f aca="false">IF(ABS(t-ROUND(t,0))&lt;0.001,pos_x,NA())</f>
        <v>#N/A</v>
      </c>
      <c r="AE785" s="426" t="e">
        <f aca="false">IF(t&lt;T_para, pos_z, NA())</f>
        <v>#N/A</v>
      </c>
      <c r="AF785" s="412"/>
      <c r="AG785" s="418" t="n">
        <f aca="false">IF(AND(L784&lt;L_rampe,Poussee&lt;Poids*SIN(M784)),0,(-W784+Poussee)/m-Poids*SIN(M784)/m)</f>
        <v>1.88996468072169</v>
      </c>
      <c r="AH785" s="417" t="n">
        <f aca="false">IF(AND(L784&lt;L_rampe,Poussee&lt;Poids*SIN(M784)), g*SIN(M784), (-W784+Poussee)/m)</f>
        <v>-7.87036529027851</v>
      </c>
    </row>
    <row r="786" customFormat="false" ht="12" hidden="false" customHeight="false" outlineLevel="0" collapsed="false">
      <c r="A786" s="416" t="n">
        <f aca="false">IF(B785+0.01&lt;=T_ini+ROUNDUP(Temps_fin_propu,0), 0.01, IF(K785&gt;0, 0.1, 0.0001))</f>
        <v>0.0001</v>
      </c>
      <c r="B786" s="417" t="n">
        <f aca="false">B785+pas</f>
        <v>36.3059000000004</v>
      </c>
      <c r="C786" s="401"/>
      <c r="D786" s="418" t="n">
        <f aca="false">IF(AND(L785&lt;L_rampe,Poussee&lt;Poids*SIN(M785)),0,(-W785+Poussee)/m*COS(M785)-U785/m*SIN(M785))</f>
        <v>-0.79098929660053</v>
      </c>
      <c r="E786" s="419" t="n">
        <f aca="false">IF(AND(L785&lt;L_rampe,Poussee&lt;Poids*SIN(M785)),0,(-W785+Poussee)/m*SIN(M785)+U785/m*COS(M785)-Poids/m)</f>
        <v>-1.97944982539149</v>
      </c>
      <c r="F786" s="417" t="n">
        <f aca="false">SQRT(acc_x^2+acc_z^2)</f>
        <v>2.13163919990673</v>
      </c>
      <c r="G786" s="418" t="n">
        <f aca="false">G785+acc_x*pas</f>
        <v>12.4723503929706</v>
      </c>
      <c r="H786" s="419" t="n">
        <f aca="false">H785+acc_z*pas</f>
        <v>-123.473404668936</v>
      </c>
      <c r="I786" s="417" t="n">
        <f aca="false">SQRT(vit_x^2+vit_z^2)</f>
        <v>124.101737235479</v>
      </c>
      <c r="J786" s="418" t="n">
        <f aca="false">J785+0.5*(vit_x+G785)*pas*(K785&gt;=0)</f>
        <v>913.614336176273</v>
      </c>
      <c r="K786" s="419" t="n">
        <f aca="false">K785+0.5*(vit_z+H785)*pas</f>
        <v>-9.43451830238577</v>
      </c>
      <c r="L786" s="417" t="n">
        <f aca="false">SQRT(pos_x^2+pos_z^2)</f>
        <v>913.663048066633</v>
      </c>
      <c r="M786" s="418" t="n">
        <f aca="false">IF(AND(L785&gt;L_rampe,G786&gt;0),ATAN2(G786,H786),$M$4)</f>
        <v>-1.47012535516469</v>
      </c>
      <c r="N786" s="417" t="n">
        <f aca="false">DEGREES(Beta)</f>
        <v>-84.2319782061079</v>
      </c>
      <c r="O786" s="401"/>
      <c r="P786" s="420" t="n">
        <f aca="false">MATCH(t-pas/2-T_ini,CdP_t)</f>
        <v>23</v>
      </c>
      <c r="Q786" s="417" t="n">
        <f aca="false">(INDEX(CdP,2,i_P+1)-INDEX(CdP,2,i_P+0))/(INDEX(CdP,1,i_P+1)-INDEX(CdP,1,i_P+0))*(t-pas/2-T_ini-INDEX(CdP,1,i_P+0))+INDEX(CdP,2,i_P+0)</f>
        <v>0</v>
      </c>
      <c r="R786" s="418" t="n">
        <f aca="false">Poussee/(g*ISP)</f>
        <v>0</v>
      </c>
      <c r="S786" s="419" t="n">
        <f aca="false">S785-Débit*pas</f>
        <v>7.37799999999998</v>
      </c>
      <c r="T786" s="417" t="n">
        <f aca="false">m*g</f>
        <v>72.3781799999998</v>
      </c>
      <c r="U786" s="421" t="n">
        <f aca="false">IF(pos_xz&lt;L_rampe,Poids*COS(Beta),0)</f>
        <v>0</v>
      </c>
      <c r="V786" s="418" t="n">
        <f aca="false">Rho_moyen*(20000-Alt_rampe-pos_z)/(20000+Alt_rampe+pos_z)</f>
        <v>1.22615627393642</v>
      </c>
      <c r="W786" s="417" t="n">
        <f aca="false">1/2*Rho*Sref*Cx*vit_xz^2</f>
        <v>58.0680522350473</v>
      </c>
      <c r="X786" s="401"/>
      <c r="Y786" s="422" t="str">
        <f aca="false">IF(AND(pos_z&lt;=0,K785&gt;0),"Impact balistique","") &amp; IF(AND(H787&lt;0,vit_z&gt;=0),"Apogée","") &amp; IF(AND(Poussee=0,Q785&gt;0),"Fin de propulsion","") &amp; IF(AND(L787&gt;L_rampe,pos_xz&lt;=L_rampe),"Sortie de rampe","")</f>
        <v/>
      </c>
      <c r="Z786" s="423" t="str">
        <f aca="false">IF(ABS(t-T_para)&lt;pas/2,"Para","")</f>
        <v/>
      </c>
      <c r="AA786" s="424" t="str">
        <f aca="false">IF(ABS(t-T_satellite)&lt;pas/2,"Satellite","")</f>
        <v/>
      </c>
      <c r="AB786" s="412"/>
      <c r="AC786" s="420" t="e">
        <f aca="false">IF(ABS(t-ROUND(t,0))&lt;0.001,t,NA())</f>
        <v>#N/A</v>
      </c>
      <c r="AD786" s="425" t="e">
        <f aca="false">IF(ABS(t-ROUND(t,0))&lt;0.001,pos_x,NA())</f>
        <v>#N/A</v>
      </c>
      <c r="AE786" s="426" t="e">
        <f aca="false">IF(t&lt;T_para, pos_z, NA())</f>
        <v>#N/A</v>
      </c>
      <c r="AF786" s="412"/>
      <c r="AG786" s="418" t="n">
        <f aca="false">IF(AND(L785&lt;L_rampe,Poussee&lt;Poids*SIN(M785)),0,(-W785+Poussee)/m-Poids*SIN(M785)/m)</f>
        <v>1.88993177427328</v>
      </c>
      <c r="AH786" s="417" t="n">
        <f aca="false">IF(AND(L785&lt;L_rampe,Poussee&lt;Poids*SIN(M785)), g*SIN(M785), (-W785+Poussee)/m)</f>
        <v>-7.87039898000082</v>
      </c>
    </row>
    <row r="787" customFormat="false" ht="12" hidden="false" customHeight="false" outlineLevel="0" collapsed="false">
      <c r="A787" s="416" t="n">
        <f aca="false">IF(B786+0.01&lt;=T_ini+ROUNDUP(Temps_fin_propu,0), 0.01, IF(K786&gt;0, 0.1, 0.0001))</f>
        <v>0.0001</v>
      </c>
      <c r="B787" s="417" t="n">
        <f aca="false">B786+pas</f>
        <v>36.3060000000004</v>
      </c>
      <c r="C787" s="401"/>
      <c r="D787" s="418" t="n">
        <f aca="false">IF(AND(L786&lt;L_rampe,Poussee&lt;Poids*SIN(M786)),0,(-W786+Poussee)/m*COS(M786)-U786/m*SIN(M786))</f>
        <v>-0.7909864614638</v>
      </c>
      <c r="E787" s="419" t="n">
        <f aca="false">IF(AND(L786&lt;L_rampe,Poussee&lt;Poids*SIN(M786)),0,(-W786+Poussee)/m*SIN(M786)+U786/m*COS(M786)-Poids/m)</f>
        <v>-1.97941567813762</v>
      </c>
      <c r="F787" s="417" t="n">
        <f aca="false">SQRT(acc_x^2+acc_z^2)</f>
        <v>2.13160643859885</v>
      </c>
      <c r="G787" s="418" t="n">
        <f aca="false">G786+acc_x*pas</f>
        <v>12.4722712943245</v>
      </c>
      <c r="H787" s="419" t="n">
        <f aca="false">H786+acc_z*pas</f>
        <v>-123.473602610504</v>
      </c>
      <c r="I787" s="417" t="n">
        <f aca="false">SQRT(vit_x^2+vit_z^2)</f>
        <v>124.101926225405</v>
      </c>
      <c r="J787" s="418" t="n">
        <f aca="false">J786+0.5*(vit_x+G786)*pas*(K786&gt;=0)</f>
        <v>913.614336176273</v>
      </c>
      <c r="K787" s="419" t="n">
        <f aca="false">K786+0.5*(vit_z+H786)*pas</f>
        <v>-9.44686565274974</v>
      </c>
      <c r="L787" s="417" t="n">
        <f aca="false">SQRT(pos_x^2+pos_z^2)</f>
        <v>913.663175649251</v>
      </c>
      <c r="M787" s="418" t="n">
        <f aca="false">IF(AND(L786&gt;L_rampe,G787&gt;0),ATAN2(G787,H787),$M$4)</f>
        <v>-1.47012614960437</v>
      </c>
      <c r="N787" s="417" t="n">
        <f aca="false">DEGREES(Beta)</f>
        <v>-84.2320237241486</v>
      </c>
      <c r="O787" s="401"/>
      <c r="P787" s="420" t="n">
        <f aca="false">MATCH(t-pas/2-T_ini,CdP_t)</f>
        <v>23</v>
      </c>
      <c r="Q787" s="417" t="n">
        <f aca="false">(INDEX(CdP,2,i_P+1)-INDEX(CdP,2,i_P+0))/(INDEX(CdP,1,i_P+1)-INDEX(CdP,1,i_P+0))*(t-pas/2-T_ini-INDEX(CdP,1,i_P+0))+INDEX(CdP,2,i_P+0)</f>
        <v>0</v>
      </c>
      <c r="R787" s="418" t="n">
        <f aca="false">Poussee/(g*ISP)</f>
        <v>0</v>
      </c>
      <c r="S787" s="419" t="n">
        <f aca="false">S786-Débit*pas</f>
        <v>7.37799999999998</v>
      </c>
      <c r="T787" s="417" t="n">
        <f aca="false">m*g</f>
        <v>72.3781799999998</v>
      </c>
      <c r="U787" s="421" t="n">
        <f aca="false">IF(pos_xz&lt;L_rampe,Poids*COS(Beta),0)</f>
        <v>0</v>
      </c>
      <c r="V787" s="418" t="n">
        <f aca="false">Rho_moyen*(20000-Alt_rampe-pos_z)/(20000+Alt_rampe+pos_z)</f>
        <v>1.22615778791581</v>
      </c>
      <c r="W787" s="417" t="n">
        <f aca="false">1/2*Rho*Sref*Cx*vit_xz^2</f>
        <v>58.0683007934789</v>
      </c>
      <c r="X787" s="401"/>
      <c r="Y787" s="422" t="str">
        <f aca="false">IF(AND(pos_z&lt;=0,K786&gt;0),"Impact balistique","") &amp; IF(AND(H788&lt;0,vit_z&gt;=0),"Apogée","") &amp; IF(AND(Poussee=0,Q786&gt;0),"Fin de propulsion","") &amp; IF(AND(L788&gt;L_rampe,pos_xz&lt;=L_rampe),"Sortie de rampe","")</f>
        <v/>
      </c>
      <c r="Z787" s="423" t="str">
        <f aca="false">IF(ABS(t-T_para)&lt;pas/2,"Para","")</f>
        <v/>
      </c>
      <c r="AA787" s="424" t="str">
        <f aca="false">IF(ABS(t-T_satellite)&lt;pas/2,"Satellite","")</f>
        <v/>
      </c>
      <c r="AB787" s="412"/>
      <c r="AC787" s="420" t="e">
        <f aca="false">IF(ABS(t-ROUND(t,0))&lt;0.001,t,NA())</f>
        <v>#N/A</v>
      </c>
      <c r="AD787" s="425" t="e">
        <f aca="false">IF(ABS(t-ROUND(t,0))&lt;0.001,pos_x,NA())</f>
        <v>#N/A</v>
      </c>
      <c r="AE787" s="426" t="e">
        <f aca="false">IF(t&lt;T_para, pos_z, NA())</f>
        <v>#N/A</v>
      </c>
      <c r="AF787" s="412"/>
      <c r="AG787" s="418" t="n">
        <f aca="false">IF(AND(L786&lt;L_rampe,Poussee&lt;Poids*SIN(M786)),0,(-W786+Poussee)/m-Poids*SIN(M786)/m)</f>
        <v>1.88989886810544</v>
      </c>
      <c r="AH787" s="417" t="n">
        <f aca="false">IF(AND(L786&lt;L_rampe,Poussee&lt;Poids*SIN(M786)), g*SIN(M786), (-W786+Poussee)/m)</f>
        <v>-7.87043266942904</v>
      </c>
    </row>
    <row r="788" customFormat="false" ht="12" hidden="false" customHeight="false" outlineLevel="0" collapsed="false">
      <c r="A788" s="416" t="n">
        <f aca="false">IF(B787+0.01&lt;=T_ini+ROUNDUP(Temps_fin_propu,0), 0.01, IF(K787&gt;0, 0.1, 0.0001))</f>
        <v>0.0001</v>
      </c>
      <c r="B788" s="417" t="n">
        <f aca="false">B787+pas</f>
        <v>36.3061000000004</v>
      </c>
      <c r="C788" s="401"/>
      <c r="D788" s="418" t="n">
        <f aca="false">IF(AND(L787&lt;L_rampe,Poussee&lt;Poids*SIN(M787)),0,(-W787+Poussee)/m*COS(M787)-U787/m*SIN(M787))</f>
        <v>-0.790983626302157</v>
      </c>
      <c r="E788" s="419" t="n">
        <f aca="false">IF(AND(L787&lt;L_rampe,Poussee&lt;Poids*SIN(M787)),0,(-W787+Poussee)/m*SIN(M787)+U787/m*COS(M787)-Poids/m)</f>
        <v>-1.97938153118182</v>
      </c>
      <c r="F788" s="417" t="n">
        <f aca="false">SQRT(acc_x^2+acc_z^2)</f>
        <v>2.13157367760577</v>
      </c>
      <c r="G788" s="418" t="n">
        <f aca="false">G787+acc_x*pas</f>
        <v>12.4721921959618</v>
      </c>
      <c r="H788" s="419" t="n">
        <f aca="false">H787+acc_z*pas</f>
        <v>-123.473800548657</v>
      </c>
      <c r="I788" s="417" t="n">
        <f aca="false">SQRT(vit_x^2+vit_z^2)</f>
        <v>124.102115212041</v>
      </c>
      <c r="J788" s="418" t="n">
        <f aca="false">J787+0.5*(vit_x+G787)*pas*(K787&gt;=0)</f>
        <v>913.614336176273</v>
      </c>
      <c r="K788" s="419" t="n">
        <f aca="false">K787+0.5*(vit_z+H787)*pas</f>
        <v>-9.4592130229077</v>
      </c>
      <c r="L788" s="417" t="n">
        <f aca="false">SQRT(pos_x^2+pos_z^2)</f>
        <v>913.663303398919</v>
      </c>
      <c r="M788" s="418" t="n">
        <f aca="false">IF(AND(L787&gt;L_rampe,G788&gt;0),ATAN2(G788,H788),$M$4)</f>
        <v>-1.47012694403659</v>
      </c>
      <c r="N788" s="417" t="n">
        <f aca="false">DEGREES(Beta)</f>
        <v>-84.232069241762</v>
      </c>
      <c r="O788" s="401"/>
      <c r="P788" s="420" t="n">
        <f aca="false">MATCH(t-pas/2-T_ini,CdP_t)</f>
        <v>23</v>
      </c>
      <c r="Q788" s="417" t="n">
        <f aca="false">(INDEX(CdP,2,i_P+1)-INDEX(CdP,2,i_P+0))/(INDEX(CdP,1,i_P+1)-INDEX(CdP,1,i_P+0))*(t-pas/2-T_ini-INDEX(CdP,1,i_P+0))+INDEX(CdP,2,i_P+0)</f>
        <v>0</v>
      </c>
      <c r="R788" s="418" t="n">
        <f aca="false">Poussee/(g*ISP)</f>
        <v>0</v>
      </c>
      <c r="S788" s="419" t="n">
        <f aca="false">S787-Débit*pas</f>
        <v>7.37799999999998</v>
      </c>
      <c r="T788" s="417" t="n">
        <f aca="false">m*g</f>
        <v>72.3781799999998</v>
      </c>
      <c r="U788" s="421" t="n">
        <f aca="false">IF(pos_xz&lt;L_rampe,Poids*COS(Beta),0)</f>
        <v>0</v>
      </c>
      <c r="V788" s="418" t="n">
        <f aca="false">Rho_moyen*(20000-Alt_rampe-pos_z)/(20000+Alt_rampe+pos_z)</f>
        <v>1.22615930189949</v>
      </c>
      <c r="W788" s="417" t="n">
        <f aca="false">1/2*Rho*Sref*Cx*vit_xz^2</f>
        <v>58.0685493497407</v>
      </c>
      <c r="X788" s="401"/>
      <c r="Y788" s="422" t="str">
        <f aca="false">IF(AND(pos_z&lt;=0,K787&gt;0),"Impact balistique","") &amp; IF(AND(H789&lt;0,vit_z&gt;=0),"Apogée","") &amp; IF(AND(Poussee=0,Q787&gt;0),"Fin de propulsion","") &amp; IF(AND(L789&gt;L_rampe,pos_xz&lt;=L_rampe),"Sortie de rampe","")</f>
        <v/>
      </c>
      <c r="Z788" s="423" t="str">
        <f aca="false">IF(ABS(t-T_para)&lt;pas/2,"Para","")</f>
        <v/>
      </c>
      <c r="AA788" s="424" t="str">
        <f aca="false">IF(ABS(t-T_satellite)&lt;pas/2,"Satellite","")</f>
        <v/>
      </c>
      <c r="AB788" s="412"/>
      <c r="AC788" s="420" t="e">
        <f aca="false">IF(ABS(t-ROUND(t,0))&lt;0.001,t,NA())</f>
        <v>#N/A</v>
      </c>
      <c r="AD788" s="425" t="e">
        <f aca="false">IF(ABS(t-ROUND(t,0))&lt;0.001,pos_x,NA())</f>
        <v>#N/A</v>
      </c>
      <c r="AE788" s="426" t="e">
        <f aca="false">IF(t&lt;T_para, pos_z, NA())</f>
        <v>#N/A</v>
      </c>
      <c r="AF788" s="412"/>
      <c r="AG788" s="418" t="n">
        <f aca="false">IF(AND(L787&lt;L_rampe,Poussee&lt;Poids*SIN(M787)),0,(-W787+Poussee)/m-Poids*SIN(M787)/m)</f>
        <v>1.88986596221819</v>
      </c>
      <c r="AH788" s="417" t="n">
        <f aca="false">IF(AND(L787&lt;L_rampe,Poussee&lt;Poids*SIN(M787)), g*SIN(M787), (-W787+Poussee)/m)</f>
        <v>-7.87046635856316</v>
      </c>
    </row>
    <row r="789" customFormat="false" ht="12" hidden="false" customHeight="false" outlineLevel="0" collapsed="false">
      <c r="A789" s="416" t="n">
        <f aca="false">IF(B788+0.01&lt;=T_ini+ROUNDUP(Temps_fin_propu,0), 0.01, IF(K788&gt;0, 0.1, 0.0001))</f>
        <v>0.0001</v>
      </c>
      <c r="B789" s="417" t="n">
        <f aca="false">B788+pas</f>
        <v>36.3062000000004</v>
      </c>
      <c r="C789" s="401"/>
      <c r="D789" s="418" t="n">
        <f aca="false">IF(AND(L788&lt;L_rampe,Poussee&lt;Poids*SIN(M788)),0,(-W788+Poussee)/m*COS(M788)-U788/m*SIN(M788))</f>
        <v>-0.790980791115602</v>
      </c>
      <c r="E789" s="419" t="n">
        <f aca="false">IF(AND(L788&lt;L_rampe,Poussee&lt;Poids*SIN(M788)),0,(-W788+Poussee)/m*SIN(M788)+U788/m*COS(M788)-Poids/m)</f>
        <v>-1.97934738452408</v>
      </c>
      <c r="F789" s="417" t="n">
        <f aca="false">SQRT(acc_x^2+acc_z^2)</f>
        <v>2.13154091692751</v>
      </c>
      <c r="G789" s="418" t="n">
        <f aca="false">G788+acc_x*pas</f>
        <v>12.4721130978827</v>
      </c>
      <c r="H789" s="419" t="n">
        <f aca="false">H788+acc_z*pas</f>
        <v>-123.473998483396</v>
      </c>
      <c r="I789" s="417" t="n">
        <f aca="false">SQRT(vit_x^2+vit_z^2)</f>
        <v>124.102304195385</v>
      </c>
      <c r="J789" s="418" t="n">
        <f aca="false">J788+0.5*(vit_x+G788)*pas*(K788&gt;=0)</f>
        <v>913.614336176273</v>
      </c>
      <c r="K789" s="419" t="n">
        <f aca="false">K788+0.5*(vit_z+H788)*pas</f>
        <v>-9.4715604128593</v>
      </c>
      <c r="L789" s="417" t="n">
        <f aca="false">SQRT(pos_x^2+pos_z^2)</f>
        <v>913.663431315639</v>
      </c>
      <c r="M789" s="418" t="n">
        <f aca="false">IF(AND(L788&gt;L_rampe,G789&gt;0),ATAN2(G789,H789),$M$4)</f>
        <v>-1.47012773846135</v>
      </c>
      <c r="N789" s="417" t="n">
        <f aca="false">DEGREES(Beta)</f>
        <v>-84.232114758948</v>
      </c>
      <c r="O789" s="401"/>
      <c r="P789" s="420" t="n">
        <f aca="false">MATCH(t-pas/2-T_ini,CdP_t)</f>
        <v>23</v>
      </c>
      <c r="Q789" s="417" t="n">
        <f aca="false">(INDEX(CdP,2,i_P+1)-INDEX(CdP,2,i_P+0))/(INDEX(CdP,1,i_P+1)-INDEX(CdP,1,i_P+0))*(t-pas/2-T_ini-INDEX(CdP,1,i_P+0))+INDEX(CdP,2,i_P+0)</f>
        <v>0</v>
      </c>
      <c r="R789" s="418" t="n">
        <f aca="false">Poussee/(g*ISP)</f>
        <v>0</v>
      </c>
      <c r="S789" s="419" t="n">
        <f aca="false">S788-Débit*pas</f>
        <v>7.37799999999998</v>
      </c>
      <c r="T789" s="417" t="n">
        <f aca="false">m*g</f>
        <v>72.3781799999998</v>
      </c>
      <c r="U789" s="421" t="n">
        <f aca="false">IF(pos_xz&lt;L_rampe,Poids*COS(Beta),0)</f>
        <v>0</v>
      </c>
      <c r="V789" s="418" t="n">
        <f aca="false">Rho_moyen*(20000-Alt_rampe-pos_z)/(20000+Alt_rampe+pos_z)</f>
        <v>1.22616081588747</v>
      </c>
      <c r="W789" s="417" t="n">
        <f aca="false">1/2*Rho*Sref*Cx*vit_xz^2</f>
        <v>58.0687979038327</v>
      </c>
      <c r="X789" s="401"/>
      <c r="Y789" s="422" t="str">
        <f aca="false">IF(AND(pos_z&lt;=0,K788&gt;0),"Impact balistique","") &amp; IF(AND(H790&lt;0,vit_z&gt;=0),"Apogée","") &amp; IF(AND(Poussee=0,Q788&gt;0),"Fin de propulsion","") &amp; IF(AND(L790&gt;L_rampe,pos_xz&lt;=L_rampe),"Sortie de rampe","")</f>
        <v/>
      </c>
      <c r="Z789" s="423" t="str">
        <f aca="false">IF(ABS(t-T_para)&lt;pas/2,"Para","")</f>
        <v/>
      </c>
      <c r="AA789" s="424" t="str">
        <f aca="false">IF(ABS(t-T_satellite)&lt;pas/2,"Satellite","")</f>
        <v/>
      </c>
      <c r="AB789" s="412"/>
      <c r="AC789" s="420" t="e">
        <f aca="false">IF(ABS(t-ROUND(t,0))&lt;0.001,t,NA())</f>
        <v>#N/A</v>
      </c>
      <c r="AD789" s="425" t="e">
        <f aca="false">IF(ABS(t-ROUND(t,0))&lt;0.001,pos_x,NA())</f>
        <v>#N/A</v>
      </c>
      <c r="AE789" s="426" t="e">
        <f aca="false">IF(t&lt;T_para, pos_z, NA())</f>
        <v>#N/A</v>
      </c>
      <c r="AF789" s="412"/>
      <c r="AG789" s="418" t="n">
        <f aca="false">IF(AND(L788&lt;L_rampe,Poussee&lt;Poids*SIN(M788)),0,(-W788+Poussee)/m-Poids*SIN(M788)/m)</f>
        <v>1.88983305661151</v>
      </c>
      <c r="AH789" s="417" t="n">
        <f aca="false">IF(AND(L788&lt;L_rampe,Poussee&lt;Poids*SIN(M788)), g*SIN(M788), (-W788+Poussee)/m)</f>
        <v>-7.8705000474032</v>
      </c>
    </row>
    <row r="790" customFormat="false" ht="12" hidden="false" customHeight="false" outlineLevel="0" collapsed="false">
      <c r="A790" s="416" t="n">
        <f aca="false">IF(B789+0.01&lt;=T_ini+ROUNDUP(Temps_fin_propu,0), 0.01, IF(K789&gt;0, 0.1, 0.0001))</f>
        <v>0.0001</v>
      </c>
      <c r="B790" s="417" t="n">
        <f aca="false">B789+pas</f>
        <v>36.3063000000004</v>
      </c>
      <c r="C790" s="401"/>
      <c r="D790" s="418" t="n">
        <f aca="false">IF(AND(L789&lt;L_rampe,Poussee&lt;Poids*SIN(M789)),0,(-W789+Poussee)/m*COS(M789)-U789/m*SIN(M789))</f>
        <v>-0.790977955904136</v>
      </c>
      <c r="E790" s="419" t="n">
        <f aca="false">IF(AND(L789&lt;L_rampe,Poussee&lt;Poids*SIN(M789)),0,(-W789+Poussee)/m*SIN(M789)+U789/m*COS(M789)-Poids/m)</f>
        <v>-1.9793132381644</v>
      </c>
      <c r="F790" s="417" t="n">
        <f aca="false">SQRT(acc_x^2+acc_z^2)</f>
        <v>2.13150815656406</v>
      </c>
      <c r="G790" s="418" t="n">
        <f aca="false">G789+acc_x*pas</f>
        <v>12.4720340000871</v>
      </c>
      <c r="H790" s="419" t="n">
        <f aca="false">H789+acc_z*pas</f>
        <v>-123.474196414719</v>
      </c>
      <c r="I790" s="417" t="n">
        <f aca="false">SQRT(vit_x^2+vit_z^2)</f>
        <v>124.10249317544</v>
      </c>
      <c r="J790" s="418" t="n">
        <f aca="false">J789+0.5*(vit_x+G789)*pas*(K789&gt;=0)</f>
        <v>913.614336176273</v>
      </c>
      <c r="K790" s="419" t="n">
        <f aca="false">K789+0.5*(vit_z+H789)*pas</f>
        <v>-9.4839078226042</v>
      </c>
      <c r="L790" s="417" t="n">
        <f aca="false">SQRT(pos_x^2+pos_z^2)</f>
        <v>913.66355939941</v>
      </c>
      <c r="M790" s="418" t="n">
        <f aca="false">IF(AND(L789&gt;L_rampe,G790&gt;0),ATAN2(G790,H790),$M$4)</f>
        <v>-1.47012853287866</v>
      </c>
      <c r="N790" s="417" t="n">
        <f aca="false">DEGREES(Beta)</f>
        <v>-84.2321602757068</v>
      </c>
      <c r="O790" s="401"/>
      <c r="P790" s="420" t="n">
        <f aca="false">MATCH(t-pas/2-T_ini,CdP_t)</f>
        <v>23</v>
      </c>
      <c r="Q790" s="417" t="n">
        <f aca="false">(INDEX(CdP,2,i_P+1)-INDEX(CdP,2,i_P+0))/(INDEX(CdP,1,i_P+1)-INDEX(CdP,1,i_P+0))*(t-pas/2-T_ini-INDEX(CdP,1,i_P+0))+INDEX(CdP,2,i_P+0)</f>
        <v>0</v>
      </c>
      <c r="R790" s="418" t="n">
        <f aca="false">Poussee/(g*ISP)</f>
        <v>0</v>
      </c>
      <c r="S790" s="419" t="n">
        <f aca="false">S789-Débit*pas</f>
        <v>7.37799999999998</v>
      </c>
      <c r="T790" s="417" t="n">
        <f aca="false">m*g</f>
        <v>72.3781799999998</v>
      </c>
      <c r="U790" s="421" t="n">
        <f aca="false">IF(pos_xz&lt;L_rampe,Poids*COS(Beta),0)</f>
        <v>0</v>
      </c>
      <c r="V790" s="418" t="n">
        <f aca="false">Rho_moyen*(20000-Alt_rampe-pos_z)/(20000+Alt_rampe+pos_z)</f>
        <v>1.22616232987974</v>
      </c>
      <c r="W790" s="417" t="n">
        <f aca="false">1/2*Rho*Sref*Cx*vit_xz^2</f>
        <v>58.0690464557548</v>
      </c>
      <c r="X790" s="401"/>
      <c r="Y790" s="422" t="str">
        <f aca="false">IF(AND(pos_z&lt;=0,K789&gt;0),"Impact balistique","") &amp; IF(AND(H791&lt;0,vit_z&gt;=0),"Apogée","") &amp; IF(AND(Poussee=0,Q789&gt;0),"Fin de propulsion","") &amp; IF(AND(L791&gt;L_rampe,pos_xz&lt;=L_rampe),"Sortie de rampe","")</f>
        <v/>
      </c>
      <c r="Z790" s="423" t="str">
        <f aca="false">IF(ABS(t-T_para)&lt;pas/2,"Para","")</f>
        <v/>
      </c>
      <c r="AA790" s="424" t="str">
        <f aca="false">IF(ABS(t-T_satellite)&lt;pas/2,"Satellite","")</f>
        <v/>
      </c>
      <c r="AB790" s="412"/>
      <c r="AC790" s="420" t="e">
        <f aca="false">IF(ABS(t-ROUND(t,0))&lt;0.001,t,NA())</f>
        <v>#N/A</v>
      </c>
      <c r="AD790" s="425" t="e">
        <f aca="false">IF(ABS(t-ROUND(t,0))&lt;0.001,pos_x,NA())</f>
        <v>#N/A</v>
      </c>
      <c r="AE790" s="426" t="e">
        <f aca="false">IF(t&lt;T_para, pos_z, NA())</f>
        <v>#N/A</v>
      </c>
      <c r="AF790" s="412"/>
      <c r="AG790" s="418" t="n">
        <f aca="false">IF(AND(L789&lt;L_rampe,Poussee&lt;Poids*SIN(M789)),0,(-W789+Poussee)/m-Poids*SIN(M789)/m)</f>
        <v>1.88980015128542</v>
      </c>
      <c r="AH790" s="417" t="n">
        <f aca="false">IF(AND(L789&lt;L_rampe,Poussee&lt;Poids*SIN(M789)), g*SIN(M789), (-W789+Poussee)/m)</f>
        <v>-7.87053373594914</v>
      </c>
    </row>
    <row r="791" customFormat="false" ht="12" hidden="false" customHeight="false" outlineLevel="0" collapsed="false">
      <c r="A791" s="416" t="n">
        <f aca="false">IF(B790+0.01&lt;=T_ini+ROUNDUP(Temps_fin_propu,0), 0.01, IF(K790&gt;0, 0.1, 0.0001))</f>
        <v>0.0001</v>
      </c>
      <c r="B791" s="417" t="n">
        <f aca="false">B790+pas</f>
        <v>36.3064000000004</v>
      </c>
      <c r="C791" s="401"/>
      <c r="D791" s="418" t="n">
        <f aca="false">IF(AND(L790&lt;L_rampe,Poussee&lt;Poids*SIN(M790)),0,(-W790+Poussee)/m*COS(M790)-U790/m*SIN(M790))</f>
        <v>-0.790975120667758</v>
      </c>
      <c r="E791" s="419" t="n">
        <f aca="false">IF(AND(L790&lt;L_rampe,Poussee&lt;Poids*SIN(M790)),0,(-W790+Poussee)/m*SIN(M790)+U790/m*COS(M790)-Poids/m)</f>
        <v>-1.97927909210279</v>
      </c>
      <c r="F791" s="417" t="n">
        <f aca="false">SQRT(acc_x^2+acc_z^2)</f>
        <v>2.13147539651543</v>
      </c>
      <c r="G791" s="418" t="n">
        <f aca="false">G790+acc_x*pas</f>
        <v>12.4719549025751</v>
      </c>
      <c r="H791" s="419" t="n">
        <f aca="false">H790+acc_z*pas</f>
        <v>-123.474394342629</v>
      </c>
      <c r="I791" s="417" t="n">
        <f aca="false">SQRT(vit_x^2+vit_z^2)</f>
        <v>124.102682152203</v>
      </c>
      <c r="J791" s="418" t="n">
        <f aca="false">J790+0.5*(vit_x+G790)*pas*(K790&gt;=0)</f>
        <v>913.614336176273</v>
      </c>
      <c r="K791" s="419" t="n">
        <f aca="false">K790+0.5*(vit_z+H790)*pas</f>
        <v>-9.49625525214207</v>
      </c>
      <c r="L791" s="417" t="n">
        <f aca="false">SQRT(pos_x^2+pos_z^2)</f>
        <v>913.663687650235</v>
      </c>
      <c r="M791" s="418" t="n">
        <f aca="false">IF(AND(L790&gt;L_rampe,G791&gt;0),ATAN2(G791,H791),$M$4)</f>
        <v>-1.47012932728851</v>
      </c>
      <c r="N791" s="417" t="n">
        <f aca="false">DEGREES(Beta)</f>
        <v>-84.2322057920383</v>
      </c>
      <c r="O791" s="401"/>
      <c r="P791" s="420" t="n">
        <f aca="false">MATCH(t-pas/2-T_ini,CdP_t)</f>
        <v>23</v>
      </c>
      <c r="Q791" s="417" t="n">
        <f aca="false">(INDEX(CdP,2,i_P+1)-INDEX(CdP,2,i_P+0))/(INDEX(CdP,1,i_P+1)-INDEX(CdP,1,i_P+0))*(t-pas/2-T_ini-INDEX(CdP,1,i_P+0))+INDEX(CdP,2,i_P+0)</f>
        <v>0</v>
      </c>
      <c r="R791" s="418" t="n">
        <f aca="false">Poussee/(g*ISP)</f>
        <v>0</v>
      </c>
      <c r="S791" s="419" t="n">
        <f aca="false">S790-Débit*pas</f>
        <v>7.37799999999998</v>
      </c>
      <c r="T791" s="417" t="n">
        <f aca="false">m*g</f>
        <v>72.3781799999998</v>
      </c>
      <c r="U791" s="421" t="n">
        <f aca="false">IF(pos_xz&lt;L_rampe,Poids*COS(Beta),0)</f>
        <v>0</v>
      </c>
      <c r="V791" s="418" t="n">
        <f aca="false">Rho_moyen*(20000-Alt_rampe-pos_z)/(20000+Alt_rampe+pos_z)</f>
        <v>1.22616384387631</v>
      </c>
      <c r="W791" s="417" t="n">
        <f aca="false">1/2*Rho*Sref*Cx*vit_xz^2</f>
        <v>58.0692950055072</v>
      </c>
      <c r="X791" s="401"/>
      <c r="Y791" s="422" t="str">
        <f aca="false">IF(AND(pos_z&lt;=0,K790&gt;0),"Impact balistique","") &amp; IF(AND(H792&lt;0,vit_z&gt;=0),"Apogée","") &amp; IF(AND(Poussee=0,Q790&gt;0),"Fin de propulsion","") &amp; IF(AND(L792&gt;L_rampe,pos_xz&lt;=L_rampe),"Sortie de rampe","")</f>
        <v/>
      </c>
      <c r="Z791" s="423" t="str">
        <f aca="false">IF(ABS(t-T_para)&lt;pas/2,"Para","")</f>
        <v/>
      </c>
      <c r="AA791" s="424" t="str">
        <f aca="false">IF(ABS(t-T_satellite)&lt;pas/2,"Satellite","")</f>
        <v/>
      </c>
      <c r="AB791" s="412"/>
      <c r="AC791" s="420" t="e">
        <f aca="false">IF(ABS(t-ROUND(t,0))&lt;0.001,t,NA())</f>
        <v>#N/A</v>
      </c>
      <c r="AD791" s="425" t="e">
        <f aca="false">IF(ABS(t-ROUND(t,0))&lt;0.001,pos_x,NA())</f>
        <v>#N/A</v>
      </c>
      <c r="AE791" s="426" t="e">
        <f aca="false">IF(t&lt;T_para, pos_z, NA())</f>
        <v>#N/A</v>
      </c>
      <c r="AF791" s="412"/>
      <c r="AG791" s="418" t="n">
        <f aca="false">IF(AND(L790&lt;L_rampe,Poussee&lt;Poids*SIN(M790)),0,(-W790+Poussee)/m-Poids*SIN(M790)/m)</f>
        <v>1.8897672462399</v>
      </c>
      <c r="AH791" s="417" t="n">
        <f aca="false">IF(AND(L790&lt;L_rampe,Poussee&lt;Poids*SIN(M790)), g*SIN(M790), (-W790+Poussee)/m)</f>
        <v>-7.870567424201</v>
      </c>
    </row>
    <row r="792" customFormat="false" ht="12" hidden="false" customHeight="false" outlineLevel="0" collapsed="false">
      <c r="A792" s="416" t="n">
        <f aca="false">IF(B791+0.01&lt;=T_ini+ROUNDUP(Temps_fin_propu,0), 0.01, IF(K791&gt;0, 0.1, 0.0001))</f>
        <v>0.0001</v>
      </c>
      <c r="B792" s="417" t="n">
        <f aca="false">B791+pas</f>
        <v>36.3065000000004</v>
      </c>
      <c r="C792" s="401"/>
      <c r="D792" s="418" t="n">
        <f aca="false">IF(AND(L791&lt;L_rampe,Poussee&lt;Poids*SIN(M791)),0,(-W791+Poussee)/m*COS(M791)-U791/m*SIN(M791))</f>
        <v>-0.790972285406471</v>
      </c>
      <c r="E792" s="419" t="n">
        <f aca="false">IF(AND(L791&lt;L_rampe,Poussee&lt;Poids*SIN(M791)),0,(-W791+Poussee)/m*SIN(M791)+U791/m*COS(M791)-Poids/m)</f>
        <v>-1.97924494633923</v>
      </c>
      <c r="F792" s="417" t="n">
        <f aca="false">SQRT(acc_x^2+acc_z^2)</f>
        <v>2.13144263678161</v>
      </c>
      <c r="G792" s="418" t="n">
        <f aca="false">G791+acc_x*pas</f>
        <v>12.4718758053465</v>
      </c>
      <c r="H792" s="419" t="n">
        <f aca="false">H791+acc_z*pas</f>
        <v>-123.474592267123</v>
      </c>
      <c r="I792" s="417" t="n">
        <f aca="false">SQRT(vit_x^2+vit_z^2)</f>
        <v>124.102871125677</v>
      </c>
      <c r="J792" s="418" t="n">
        <f aca="false">J791+0.5*(vit_x+G791)*pas*(K791&gt;=0)</f>
        <v>913.614336176273</v>
      </c>
      <c r="K792" s="419" t="n">
        <f aca="false">K791+0.5*(vit_z+H791)*pas</f>
        <v>-9.50860270147256</v>
      </c>
      <c r="L792" s="417" t="n">
        <f aca="false">SQRT(pos_x^2+pos_z^2)</f>
        <v>913.663816068113</v>
      </c>
      <c r="M792" s="418" t="n">
        <f aca="false">IF(AND(L791&gt;L_rampe,G792&gt;0),ATAN2(G792,H792),$M$4)</f>
        <v>-1.4701301216909</v>
      </c>
      <c r="N792" s="417" t="n">
        <f aca="false">DEGREES(Beta)</f>
        <v>-84.2322513079425</v>
      </c>
      <c r="O792" s="401"/>
      <c r="P792" s="420" t="n">
        <f aca="false">MATCH(t-pas/2-T_ini,CdP_t)</f>
        <v>23</v>
      </c>
      <c r="Q792" s="417" t="n">
        <f aca="false">(INDEX(CdP,2,i_P+1)-INDEX(CdP,2,i_P+0))/(INDEX(CdP,1,i_P+1)-INDEX(CdP,1,i_P+0))*(t-pas/2-T_ini-INDEX(CdP,1,i_P+0))+INDEX(CdP,2,i_P+0)</f>
        <v>0</v>
      </c>
      <c r="R792" s="418" t="n">
        <f aca="false">Poussee/(g*ISP)</f>
        <v>0</v>
      </c>
      <c r="S792" s="419" t="n">
        <f aca="false">S791-Débit*pas</f>
        <v>7.37799999999998</v>
      </c>
      <c r="T792" s="417" t="n">
        <f aca="false">m*g</f>
        <v>72.3781799999998</v>
      </c>
      <c r="U792" s="421" t="n">
        <f aca="false">IF(pos_xz&lt;L_rampe,Poids*COS(Beta),0)</f>
        <v>0</v>
      </c>
      <c r="V792" s="418" t="n">
        <f aca="false">Rho_moyen*(20000-Alt_rampe-pos_z)/(20000+Alt_rampe+pos_z)</f>
        <v>1.22616535787718</v>
      </c>
      <c r="W792" s="417" t="n">
        <f aca="false">1/2*Rho*Sref*Cx*vit_xz^2</f>
        <v>58.0695435530898</v>
      </c>
      <c r="X792" s="401"/>
      <c r="Y792" s="422" t="str">
        <f aca="false">IF(AND(pos_z&lt;=0,K791&gt;0),"Impact balistique","") &amp; IF(AND(H793&lt;0,vit_z&gt;=0),"Apogée","") &amp; IF(AND(Poussee=0,Q791&gt;0),"Fin de propulsion","") &amp; IF(AND(L793&gt;L_rampe,pos_xz&lt;=L_rampe),"Sortie de rampe","")</f>
        <v/>
      </c>
      <c r="Z792" s="423" t="str">
        <f aca="false">IF(ABS(t-T_para)&lt;pas/2,"Para","")</f>
        <v/>
      </c>
      <c r="AA792" s="424" t="str">
        <f aca="false">IF(ABS(t-T_satellite)&lt;pas/2,"Satellite","")</f>
        <v/>
      </c>
      <c r="AB792" s="412"/>
      <c r="AC792" s="420" t="e">
        <f aca="false">IF(ABS(t-ROUND(t,0))&lt;0.001,t,NA())</f>
        <v>#N/A</v>
      </c>
      <c r="AD792" s="425" t="e">
        <f aca="false">IF(ABS(t-ROUND(t,0))&lt;0.001,pos_x,NA())</f>
        <v>#N/A</v>
      </c>
      <c r="AE792" s="426" t="e">
        <f aca="false">IF(t&lt;T_para, pos_z, NA())</f>
        <v>#N/A</v>
      </c>
      <c r="AF792" s="412"/>
      <c r="AG792" s="418" t="n">
        <f aca="false">IF(AND(L791&lt;L_rampe,Poussee&lt;Poids*SIN(M791)),0,(-W791+Poussee)/m-Poids*SIN(M791)/m)</f>
        <v>1.88973434147495</v>
      </c>
      <c r="AH792" s="417" t="n">
        <f aca="false">IF(AND(L791&lt;L_rampe,Poussee&lt;Poids*SIN(M791)), g*SIN(M791), (-W791+Poussee)/m)</f>
        <v>-7.87060111215877</v>
      </c>
    </row>
    <row r="793" customFormat="false" ht="12" hidden="false" customHeight="false" outlineLevel="0" collapsed="false">
      <c r="A793" s="416" t="n">
        <f aca="false">IF(B792+0.01&lt;=T_ini+ROUNDUP(Temps_fin_propu,0), 0.01, IF(K792&gt;0, 0.1, 0.0001))</f>
        <v>0.0001</v>
      </c>
      <c r="B793" s="417" t="n">
        <f aca="false">B792+pas</f>
        <v>36.3066000000004</v>
      </c>
      <c r="C793" s="401"/>
      <c r="D793" s="418" t="n">
        <f aca="false">IF(AND(L792&lt;L_rampe,Poussee&lt;Poids*SIN(M792)),0,(-W792+Poussee)/m*COS(M792)-U792/m*SIN(M792))</f>
        <v>-0.790969450120275</v>
      </c>
      <c r="E793" s="419" t="n">
        <f aca="false">IF(AND(L792&lt;L_rampe,Poussee&lt;Poids*SIN(M792)),0,(-W792+Poussee)/m*SIN(M792)+U792/m*COS(M792)-Poids/m)</f>
        <v>-1.97921080087374</v>
      </c>
      <c r="F793" s="417" t="n">
        <f aca="false">SQRT(acc_x^2+acc_z^2)</f>
        <v>2.1314098773626</v>
      </c>
      <c r="G793" s="418" t="n">
        <f aca="false">G792+acc_x*pas</f>
        <v>12.4717967084015</v>
      </c>
      <c r="H793" s="419" t="n">
        <f aca="false">H792+acc_z*pas</f>
        <v>-123.474790188203</v>
      </c>
      <c r="I793" s="417" t="n">
        <f aca="false">SQRT(vit_x^2+vit_z^2)</f>
        <v>124.10306009586</v>
      </c>
      <c r="J793" s="418" t="n">
        <f aca="false">J792+0.5*(vit_x+G792)*pas*(K792&gt;=0)</f>
        <v>913.614336176273</v>
      </c>
      <c r="K793" s="419" t="n">
        <f aca="false">K792+0.5*(vit_z+H792)*pas</f>
        <v>-9.52095017059532</v>
      </c>
      <c r="L793" s="417" t="n">
        <f aca="false">SQRT(pos_x^2+pos_z^2)</f>
        <v>913.663944653045</v>
      </c>
      <c r="M793" s="418" t="n">
        <f aca="false">IF(AND(L792&gt;L_rampe,G793&gt;0),ATAN2(G793,H793),$M$4)</f>
        <v>-1.47013091608583</v>
      </c>
      <c r="N793" s="417" t="n">
        <f aca="false">DEGREES(Beta)</f>
        <v>-84.2322968234195</v>
      </c>
      <c r="O793" s="401"/>
      <c r="P793" s="420" t="n">
        <f aca="false">MATCH(t-pas/2-T_ini,CdP_t)</f>
        <v>23</v>
      </c>
      <c r="Q793" s="417" t="n">
        <f aca="false">(INDEX(CdP,2,i_P+1)-INDEX(CdP,2,i_P+0))/(INDEX(CdP,1,i_P+1)-INDEX(CdP,1,i_P+0))*(t-pas/2-T_ini-INDEX(CdP,1,i_P+0))+INDEX(CdP,2,i_P+0)</f>
        <v>0</v>
      </c>
      <c r="R793" s="418" t="n">
        <f aca="false">Poussee/(g*ISP)</f>
        <v>0</v>
      </c>
      <c r="S793" s="419" t="n">
        <f aca="false">S792-Débit*pas</f>
        <v>7.37799999999998</v>
      </c>
      <c r="T793" s="417" t="n">
        <f aca="false">m*g</f>
        <v>72.3781799999998</v>
      </c>
      <c r="U793" s="421" t="n">
        <f aca="false">IF(pos_xz&lt;L_rampe,Poids*COS(Beta),0)</f>
        <v>0</v>
      </c>
      <c r="V793" s="418" t="n">
        <f aca="false">Rho_moyen*(20000-Alt_rampe-pos_z)/(20000+Alt_rampe+pos_z)</f>
        <v>1.22616687188235</v>
      </c>
      <c r="W793" s="417" t="n">
        <f aca="false">1/2*Rho*Sref*Cx*vit_xz^2</f>
        <v>58.0697920985026</v>
      </c>
      <c r="X793" s="401"/>
      <c r="Y793" s="422" t="str">
        <f aca="false">IF(AND(pos_z&lt;=0,K792&gt;0),"Impact balistique","") &amp; IF(AND(H794&lt;0,vit_z&gt;=0),"Apogée","") &amp; IF(AND(Poussee=0,Q792&gt;0),"Fin de propulsion","") &amp; IF(AND(L794&gt;L_rampe,pos_xz&lt;=L_rampe),"Sortie de rampe","")</f>
        <v/>
      </c>
      <c r="Z793" s="423" t="str">
        <f aca="false">IF(ABS(t-T_para)&lt;pas/2,"Para","")</f>
        <v/>
      </c>
      <c r="AA793" s="424" t="str">
        <f aca="false">IF(ABS(t-T_satellite)&lt;pas/2,"Satellite","")</f>
        <v/>
      </c>
      <c r="AB793" s="412"/>
      <c r="AC793" s="420" t="e">
        <f aca="false">IF(ABS(t-ROUND(t,0))&lt;0.001,t,NA())</f>
        <v>#N/A</v>
      </c>
      <c r="AD793" s="425" t="e">
        <f aca="false">IF(ABS(t-ROUND(t,0))&lt;0.001,pos_x,NA())</f>
        <v>#N/A</v>
      </c>
      <c r="AE793" s="426" t="e">
        <f aca="false">IF(t&lt;T_para, pos_z, NA())</f>
        <v>#N/A</v>
      </c>
      <c r="AF793" s="412"/>
      <c r="AG793" s="418" t="n">
        <f aca="false">IF(AND(L792&lt;L_rampe,Poussee&lt;Poids*SIN(M792)),0,(-W792+Poussee)/m-Poids*SIN(M792)/m)</f>
        <v>1.88970143699058</v>
      </c>
      <c r="AH793" s="417" t="n">
        <f aca="false">IF(AND(L792&lt;L_rampe,Poussee&lt;Poids*SIN(M792)), g*SIN(M792), (-W792+Poussee)/m)</f>
        <v>-7.87063479982244</v>
      </c>
    </row>
    <row r="794" customFormat="false" ht="12" hidden="false" customHeight="false" outlineLevel="0" collapsed="false">
      <c r="A794" s="416" t="n">
        <f aca="false">IF(B793+0.01&lt;=T_ini+ROUNDUP(Temps_fin_propu,0), 0.01, IF(K793&gt;0, 0.1, 0.0001))</f>
        <v>0.0001</v>
      </c>
      <c r="B794" s="417" t="n">
        <f aca="false">B793+pas</f>
        <v>36.3067000000004</v>
      </c>
      <c r="C794" s="401"/>
      <c r="D794" s="418" t="n">
        <f aca="false">IF(AND(L793&lt;L_rampe,Poussee&lt;Poids*SIN(M793)),0,(-W793+Poussee)/m*COS(M793)-U793/m*SIN(M793))</f>
        <v>-0.79096661480917</v>
      </c>
      <c r="E794" s="419" t="n">
        <f aca="false">IF(AND(L793&lt;L_rampe,Poussee&lt;Poids*SIN(M793)),0,(-W793+Poussee)/m*SIN(M793)+U793/m*COS(M793)-Poids/m)</f>
        <v>-1.97917665570632</v>
      </c>
      <c r="F794" s="417" t="n">
        <f aca="false">SQRT(acc_x^2+acc_z^2)</f>
        <v>2.13137711825841</v>
      </c>
      <c r="G794" s="418" t="n">
        <f aca="false">G793+acc_x*pas</f>
        <v>12.47171761174</v>
      </c>
      <c r="H794" s="419" t="n">
        <f aca="false">H793+acc_z*pas</f>
        <v>-123.474988105869</v>
      </c>
      <c r="I794" s="417" t="n">
        <f aca="false">SQRT(vit_x^2+vit_z^2)</f>
        <v>124.103249062752</v>
      </c>
      <c r="J794" s="418" t="n">
        <f aca="false">J793+0.5*(vit_x+G793)*pas*(K793&gt;=0)</f>
        <v>913.614336176273</v>
      </c>
      <c r="K794" s="419" t="n">
        <f aca="false">K793+0.5*(vit_z+H793)*pas</f>
        <v>-9.53329765951003</v>
      </c>
      <c r="L794" s="417" t="n">
        <f aca="false">SQRT(pos_x^2+pos_z^2)</f>
        <v>913.664073405033</v>
      </c>
      <c r="M794" s="418" t="n">
        <f aca="false">IF(AND(L793&gt;L_rampe,G794&gt;0),ATAN2(G794,H794),$M$4)</f>
        <v>-1.47013171047331</v>
      </c>
      <c r="N794" s="417" t="n">
        <f aca="false">DEGREES(Beta)</f>
        <v>-84.2323423384691</v>
      </c>
      <c r="O794" s="401"/>
      <c r="P794" s="420" t="n">
        <f aca="false">MATCH(t-pas/2-T_ini,CdP_t)</f>
        <v>23</v>
      </c>
      <c r="Q794" s="417" t="n">
        <f aca="false">(INDEX(CdP,2,i_P+1)-INDEX(CdP,2,i_P+0))/(INDEX(CdP,1,i_P+1)-INDEX(CdP,1,i_P+0))*(t-pas/2-T_ini-INDEX(CdP,1,i_P+0))+INDEX(CdP,2,i_P+0)</f>
        <v>0</v>
      </c>
      <c r="R794" s="418" t="n">
        <f aca="false">Poussee/(g*ISP)</f>
        <v>0</v>
      </c>
      <c r="S794" s="419" t="n">
        <f aca="false">S793-Débit*pas</f>
        <v>7.37799999999998</v>
      </c>
      <c r="T794" s="417" t="n">
        <f aca="false">m*g</f>
        <v>72.3781799999998</v>
      </c>
      <c r="U794" s="421" t="n">
        <f aca="false">IF(pos_xz&lt;L_rampe,Poids*COS(Beta),0)</f>
        <v>0</v>
      </c>
      <c r="V794" s="418" t="n">
        <f aca="false">Rho_moyen*(20000-Alt_rampe-pos_z)/(20000+Alt_rampe+pos_z)</f>
        <v>1.22616838589181</v>
      </c>
      <c r="W794" s="417" t="n">
        <f aca="false">1/2*Rho*Sref*Cx*vit_xz^2</f>
        <v>58.0700406417457</v>
      </c>
      <c r="X794" s="401"/>
      <c r="Y794" s="422" t="str">
        <f aca="false">IF(AND(pos_z&lt;=0,K793&gt;0),"Impact balistique","") &amp; IF(AND(H795&lt;0,vit_z&gt;=0),"Apogée","") &amp; IF(AND(Poussee=0,Q793&gt;0),"Fin de propulsion","") &amp; IF(AND(L795&gt;L_rampe,pos_xz&lt;=L_rampe),"Sortie de rampe","")</f>
        <v/>
      </c>
      <c r="Z794" s="423" t="str">
        <f aca="false">IF(ABS(t-T_para)&lt;pas/2,"Para","")</f>
        <v/>
      </c>
      <c r="AA794" s="424" t="str">
        <f aca="false">IF(ABS(t-T_satellite)&lt;pas/2,"Satellite","")</f>
        <v/>
      </c>
      <c r="AB794" s="412"/>
      <c r="AC794" s="420" t="e">
        <f aca="false">IF(ABS(t-ROUND(t,0))&lt;0.001,t,NA())</f>
        <v>#N/A</v>
      </c>
      <c r="AD794" s="425" t="e">
        <f aca="false">IF(ABS(t-ROUND(t,0))&lt;0.001,pos_x,NA())</f>
        <v>#N/A</v>
      </c>
      <c r="AE794" s="426" t="e">
        <f aca="false">IF(t&lt;T_para, pos_z, NA())</f>
        <v>#N/A</v>
      </c>
      <c r="AF794" s="412"/>
      <c r="AG794" s="418" t="n">
        <f aca="false">IF(AND(L793&lt;L_rampe,Poussee&lt;Poids*SIN(M793)),0,(-W793+Poussee)/m-Poids*SIN(M793)/m)</f>
        <v>1.8896685327868</v>
      </c>
      <c r="AH794" s="417" t="n">
        <f aca="false">IF(AND(L793&lt;L_rampe,Poussee&lt;Poids*SIN(M793)), g*SIN(M793), (-W793+Poussee)/m)</f>
        <v>-7.87066848719203</v>
      </c>
    </row>
    <row r="795" customFormat="false" ht="12" hidden="false" customHeight="false" outlineLevel="0" collapsed="false">
      <c r="A795" s="416" t="n">
        <f aca="false">IF(B794+0.01&lt;=T_ini+ROUNDUP(Temps_fin_propu,0), 0.01, IF(K794&gt;0, 0.1, 0.0001))</f>
        <v>0.0001</v>
      </c>
      <c r="B795" s="417" t="n">
        <f aca="false">B794+pas</f>
        <v>36.3068000000004</v>
      </c>
      <c r="C795" s="401"/>
      <c r="D795" s="418" t="n">
        <f aca="false">IF(AND(L794&lt;L_rampe,Poussee&lt;Poids*SIN(M794)),0,(-W794+Poussee)/m*COS(M794)-U794/m*SIN(M794))</f>
        <v>-0.790963779473157</v>
      </c>
      <c r="E795" s="419" t="n">
        <f aca="false">IF(AND(L794&lt;L_rampe,Poussee&lt;Poids*SIN(M794)),0,(-W794+Poussee)/m*SIN(M794)+U794/m*COS(M794)-Poids/m)</f>
        <v>-1.97914251083695</v>
      </c>
      <c r="F795" s="417" t="n">
        <f aca="false">SQRT(acc_x^2+acc_z^2)</f>
        <v>2.13134435946903</v>
      </c>
      <c r="G795" s="418" t="n">
        <f aca="false">G794+acc_x*pas</f>
        <v>12.4716385153621</v>
      </c>
      <c r="H795" s="419" t="n">
        <f aca="false">H794+acc_z*pas</f>
        <v>-123.47518602012</v>
      </c>
      <c r="I795" s="417" t="n">
        <f aca="false">SQRT(vit_x^2+vit_z^2)</f>
        <v>124.103438026354</v>
      </c>
      <c r="J795" s="418" t="n">
        <f aca="false">J794+0.5*(vit_x+G794)*pas*(K794&gt;=0)</f>
        <v>913.614336176273</v>
      </c>
      <c r="K795" s="419" t="n">
        <f aca="false">K794+0.5*(vit_z+H794)*pas</f>
        <v>-9.54564516821633</v>
      </c>
      <c r="L795" s="417" t="n">
        <f aca="false">SQRT(pos_x^2+pos_z^2)</f>
        <v>913.664202324076</v>
      </c>
      <c r="M795" s="418" t="n">
        <f aca="false">IF(AND(L794&gt;L_rampe,G795&gt;0),ATAN2(G795,H795),$M$4)</f>
        <v>-1.47013250485333</v>
      </c>
      <c r="N795" s="417" t="n">
        <f aca="false">DEGREES(Beta)</f>
        <v>-84.2323878530916</v>
      </c>
      <c r="O795" s="401"/>
      <c r="P795" s="420" t="n">
        <f aca="false">MATCH(t-pas/2-T_ini,CdP_t)</f>
        <v>23</v>
      </c>
      <c r="Q795" s="417" t="n">
        <f aca="false">(INDEX(CdP,2,i_P+1)-INDEX(CdP,2,i_P+0))/(INDEX(CdP,1,i_P+1)-INDEX(CdP,1,i_P+0))*(t-pas/2-T_ini-INDEX(CdP,1,i_P+0))+INDEX(CdP,2,i_P+0)</f>
        <v>0</v>
      </c>
      <c r="R795" s="418" t="n">
        <f aca="false">Poussee/(g*ISP)</f>
        <v>0</v>
      </c>
      <c r="S795" s="419" t="n">
        <f aca="false">S794-Débit*pas</f>
        <v>7.37799999999998</v>
      </c>
      <c r="T795" s="417" t="n">
        <f aca="false">m*g</f>
        <v>72.3781799999998</v>
      </c>
      <c r="U795" s="421" t="n">
        <f aca="false">IF(pos_xz&lt;L_rampe,Poids*COS(Beta),0)</f>
        <v>0</v>
      </c>
      <c r="V795" s="418" t="n">
        <f aca="false">Rho_moyen*(20000-Alt_rampe-pos_z)/(20000+Alt_rampe+pos_z)</f>
        <v>1.22616989990558</v>
      </c>
      <c r="W795" s="417" t="n">
        <f aca="false">1/2*Rho*Sref*Cx*vit_xz^2</f>
        <v>58.0702891828189</v>
      </c>
      <c r="X795" s="401"/>
      <c r="Y795" s="422" t="str">
        <f aca="false">IF(AND(pos_z&lt;=0,K794&gt;0),"Impact balistique","") &amp; IF(AND(H796&lt;0,vit_z&gt;=0),"Apogée","") &amp; IF(AND(Poussee=0,Q794&gt;0),"Fin de propulsion","") &amp; IF(AND(L796&gt;L_rampe,pos_xz&lt;=L_rampe),"Sortie de rampe","")</f>
        <v/>
      </c>
      <c r="Z795" s="423" t="str">
        <f aca="false">IF(ABS(t-T_para)&lt;pas/2,"Para","")</f>
        <v/>
      </c>
      <c r="AA795" s="424" t="str">
        <f aca="false">IF(ABS(t-T_satellite)&lt;pas/2,"Satellite","")</f>
        <v/>
      </c>
      <c r="AB795" s="412"/>
      <c r="AC795" s="420" t="e">
        <f aca="false">IF(ABS(t-ROUND(t,0))&lt;0.001,t,NA())</f>
        <v>#N/A</v>
      </c>
      <c r="AD795" s="425" t="e">
        <f aca="false">IF(ABS(t-ROUND(t,0))&lt;0.001,pos_x,NA())</f>
        <v>#N/A</v>
      </c>
      <c r="AE795" s="426" t="e">
        <f aca="false">IF(t&lt;T_para, pos_z, NA())</f>
        <v>#N/A</v>
      </c>
      <c r="AF795" s="412"/>
      <c r="AG795" s="418" t="n">
        <f aca="false">IF(AND(L794&lt;L_rampe,Poussee&lt;Poids*SIN(M794)),0,(-W794+Poussee)/m-Poids*SIN(M794)/m)</f>
        <v>1.88963562886359</v>
      </c>
      <c r="AH795" s="417" t="n">
        <f aca="false">IF(AND(L794&lt;L_rampe,Poussee&lt;Poids*SIN(M794)), g*SIN(M794), (-W794+Poussee)/m)</f>
        <v>-7.87070217426752</v>
      </c>
    </row>
    <row r="796" customFormat="false" ht="12" hidden="false" customHeight="false" outlineLevel="0" collapsed="false">
      <c r="A796" s="416" t="n">
        <f aca="false">IF(B795+0.01&lt;=T_ini+ROUNDUP(Temps_fin_propu,0), 0.01, IF(K795&gt;0, 0.1, 0.0001))</f>
        <v>0.0001</v>
      </c>
      <c r="B796" s="417" t="n">
        <f aca="false">B795+pas</f>
        <v>36.3069000000004</v>
      </c>
      <c r="C796" s="401"/>
      <c r="D796" s="418" t="n">
        <f aca="false">IF(AND(L795&lt;L_rampe,Poussee&lt;Poids*SIN(M795)),0,(-W795+Poussee)/m*COS(M795)-U795/m*SIN(M795))</f>
        <v>-0.790960944112237</v>
      </c>
      <c r="E796" s="419" t="n">
        <f aca="false">IF(AND(L795&lt;L_rampe,Poussee&lt;Poids*SIN(M795)),0,(-W795+Poussee)/m*SIN(M795)+U795/m*COS(M795)-Poids/m)</f>
        <v>-1.97910836626564</v>
      </c>
      <c r="F796" s="417" t="n">
        <f aca="false">SQRT(acc_x^2+acc_z^2)</f>
        <v>2.13131160099446</v>
      </c>
      <c r="G796" s="418" t="n">
        <f aca="false">G795+acc_x*pas</f>
        <v>12.4715594192677</v>
      </c>
      <c r="H796" s="419" t="n">
        <f aca="false">H795+acc_z*pas</f>
        <v>-123.475383930957</v>
      </c>
      <c r="I796" s="417" t="n">
        <f aca="false">SQRT(vit_x^2+vit_z^2)</f>
        <v>124.103626986666</v>
      </c>
      <c r="J796" s="418" t="n">
        <f aca="false">J795+0.5*(vit_x+G795)*pas*(K795&gt;=0)</f>
        <v>913.614336176273</v>
      </c>
      <c r="K796" s="419" t="n">
        <f aca="false">K795+0.5*(vit_z+H795)*pas</f>
        <v>-9.55799269671388</v>
      </c>
      <c r="L796" s="417" t="n">
        <f aca="false">SQRT(pos_x^2+pos_z^2)</f>
        <v>913.664331410175</v>
      </c>
      <c r="M796" s="418" t="n">
        <f aca="false">IF(AND(L795&gt;L_rampe,G796&gt;0),ATAN2(G796,H796),$M$4)</f>
        <v>-1.47013329922589</v>
      </c>
      <c r="N796" s="417" t="n">
        <f aca="false">DEGREES(Beta)</f>
        <v>-84.2324333672867</v>
      </c>
      <c r="O796" s="401"/>
      <c r="P796" s="420" t="n">
        <f aca="false">MATCH(t-pas/2-T_ini,CdP_t)</f>
        <v>23</v>
      </c>
      <c r="Q796" s="417" t="n">
        <f aca="false">(INDEX(CdP,2,i_P+1)-INDEX(CdP,2,i_P+0))/(INDEX(CdP,1,i_P+1)-INDEX(CdP,1,i_P+0))*(t-pas/2-T_ini-INDEX(CdP,1,i_P+0))+INDEX(CdP,2,i_P+0)</f>
        <v>0</v>
      </c>
      <c r="R796" s="418" t="n">
        <f aca="false">Poussee/(g*ISP)</f>
        <v>0</v>
      </c>
      <c r="S796" s="419" t="n">
        <f aca="false">S795-Débit*pas</f>
        <v>7.37799999999998</v>
      </c>
      <c r="T796" s="417" t="n">
        <f aca="false">m*g</f>
        <v>72.3781799999998</v>
      </c>
      <c r="U796" s="421" t="n">
        <f aca="false">IF(pos_xz&lt;L_rampe,Poids*COS(Beta),0)</f>
        <v>0</v>
      </c>
      <c r="V796" s="418" t="n">
        <f aca="false">Rho_moyen*(20000-Alt_rampe-pos_z)/(20000+Alt_rampe+pos_z)</f>
        <v>1.22617141392363</v>
      </c>
      <c r="W796" s="417" t="n">
        <f aca="false">1/2*Rho*Sref*Cx*vit_xz^2</f>
        <v>58.0705377217224</v>
      </c>
      <c r="X796" s="401"/>
      <c r="Y796" s="422" t="str">
        <f aca="false">IF(AND(pos_z&lt;=0,K795&gt;0),"Impact balistique","") &amp; IF(AND(H797&lt;0,vit_z&gt;=0),"Apogée","") &amp; IF(AND(Poussee=0,Q795&gt;0),"Fin de propulsion","") &amp; IF(AND(L797&gt;L_rampe,pos_xz&lt;=L_rampe),"Sortie de rampe","")</f>
        <v/>
      </c>
      <c r="Z796" s="423" t="str">
        <f aca="false">IF(ABS(t-T_para)&lt;pas/2,"Para","")</f>
        <v/>
      </c>
      <c r="AA796" s="424" t="str">
        <f aca="false">IF(ABS(t-T_satellite)&lt;pas/2,"Satellite","")</f>
        <v/>
      </c>
      <c r="AB796" s="412"/>
      <c r="AC796" s="420" t="e">
        <f aca="false">IF(ABS(t-ROUND(t,0))&lt;0.001,t,NA())</f>
        <v>#N/A</v>
      </c>
      <c r="AD796" s="425" t="e">
        <f aca="false">IF(ABS(t-ROUND(t,0))&lt;0.001,pos_x,NA())</f>
        <v>#N/A</v>
      </c>
      <c r="AE796" s="426" t="e">
        <f aca="false">IF(t&lt;T_para, pos_z, NA())</f>
        <v>#N/A</v>
      </c>
      <c r="AF796" s="412"/>
      <c r="AG796" s="418" t="n">
        <f aca="false">IF(AND(L795&lt;L_rampe,Poussee&lt;Poids*SIN(M795)),0,(-W795+Poussee)/m-Poids*SIN(M795)/m)</f>
        <v>1.88960272522095</v>
      </c>
      <c r="AH796" s="417" t="n">
        <f aca="false">IF(AND(L795&lt;L_rampe,Poussee&lt;Poids*SIN(M795)), g*SIN(M795), (-W795+Poussee)/m)</f>
        <v>-7.87073586104894</v>
      </c>
    </row>
    <row r="797" customFormat="false" ht="12" hidden="false" customHeight="false" outlineLevel="0" collapsed="false">
      <c r="A797" s="416" t="n">
        <f aca="false">IF(B796+0.01&lt;=T_ini+ROUNDUP(Temps_fin_propu,0), 0.01, IF(K796&gt;0, 0.1, 0.0001))</f>
        <v>0.0001</v>
      </c>
      <c r="B797" s="417" t="n">
        <f aca="false">B796+pas</f>
        <v>36.3070000000004</v>
      </c>
      <c r="C797" s="401"/>
      <c r="D797" s="418" t="n">
        <f aca="false">IF(AND(L796&lt;L_rampe,Poussee&lt;Poids*SIN(M796)),0,(-W796+Poussee)/m*COS(M796)-U796/m*SIN(M796))</f>
        <v>-0.79095810872641</v>
      </c>
      <c r="E797" s="419" t="n">
        <f aca="false">IF(AND(L796&lt;L_rampe,Poussee&lt;Poids*SIN(M796)),0,(-W796+Poussee)/m*SIN(M796)+U796/m*COS(M796)-Poids/m)</f>
        <v>-1.97907422199239</v>
      </c>
      <c r="F797" s="417" t="n">
        <f aca="false">SQRT(acc_x^2+acc_z^2)</f>
        <v>2.13127884283471</v>
      </c>
      <c r="G797" s="418" t="n">
        <f aca="false">G796+acc_x*pas</f>
        <v>12.4714803234568</v>
      </c>
      <c r="H797" s="419" t="n">
        <f aca="false">H796+acc_z*pas</f>
        <v>-123.475581838379</v>
      </c>
      <c r="I797" s="417" t="n">
        <f aca="false">SQRT(vit_x^2+vit_z^2)</f>
        <v>124.103815943687</v>
      </c>
      <c r="J797" s="418" t="n">
        <f aca="false">J796+0.5*(vit_x+G796)*pas*(K796&gt;=0)</f>
        <v>913.614336176273</v>
      </c>
      <c r="K797" s="419" t="n">
        <f aca="false">K796+0.5*(vit_z+H796)*pas</f>
        <v>-9.57034024500235</v>
      </c>
      <c r="L797" s="417" t="n">
        <f aca="false">SQRT(pos_x^2+pos_z^2)</f>
        <v>913.664460663332</v>
      </c>
      <c r="M797" s="418" t="n">
        <f aca="false">IF(AND(L796&gt;L_rampe,G797&gt;0),ATAN2(G797,H797),$M$4)</f>
        <v>-1.47013409359099</v>
      </c>
      <c r="N797" s="417" t="n">
        <f aca="false">DEGREES(Beta)</f>
        <v>-84.2324788810546</v>
      </c>
      <c r="O797" s="401"/>
      <c r="P797" s="420" t="n">
        <f aca="false">MATCH(t-pas/2-T_ini,CdP_t)</f>
        <v>23</v>
      </c>
      <c r="Q797" s="417" t="n">
        <f aca="false">(INDEX(CdP,2,i_P+1)-INDEX(CdP,2,i_P+0))/(INDEX(CdP,1,i_P+1)-INDEX(CdP,1,i_P+0))*(t-pas/2-T_ini-INDEX(CdP,1,i_P+0))+INDEX(CdP,2,i_P+0)</f>
        <v>0</v>
      </c>
      <c r="R797" s="418" t="n">
        <f aca="false">Poussee/(g*ISP)</f>
        <v>0</v>
      </c>
      <c r="S797" s="419" t="n">
        <f aca="false">S796-Débit*pas</f>
        <v>7.37799999999998</v>
      </c>
      <c r="T797" s="417" t="n">
        <f aca="false">m*g</f>
        <v>72.3781799999998</v>
      </c>
      <c r="U797" s="421" t="n">
        <f aca="false">IF(pos_xz&lt;L_rampe,Poids*COS(Beta),0)</f>
        <v>0</v>
      </c>
      <c r="V797" s="418" t="n">
        <f aca="false">Rho_moyen*(20000-Alt_rampe-pos_z)/(20000+Alt_rampe+pos_z)</f>
        <v>1.22617292794599</v>
      </c>
      <c r="W797" s="417" t="n">
        <f aca="false">1/2*Rho*Sref*Cx*vit_xz^2</f>
        <v>58.0707862584561</v>
      </c>
      <c r="X797" s="401"/>
      <c r="Y797" s="422" t="str">
        <f aca="false">IF(AND(pos_z&lt;=0,K796&gt;0),"Impact balistique","") &amp; IF(AND(H798&lt;0,vit_z&gt;=0),"Apogée","") &amp; IF(AND(Poussee=0,Q796&gt;0),"Fin de propulsion","") &amp; IF(AND(L798&gt;L_rampe,pos_xz&lt;=L_rampe),"Sortie de rampe","")</f>
        <v/>
      </c>
      <c r="Z797" s="423" t="str">
        <f aca="false">IF(ABS(t-T_para)&lt;pas/2,"Para","")</f>
        <v/>
      </c>
      <c r="AA797" s="424" t="str">
        <f aca="false">IF(ABS(t-T_satellite)&lt;pas/2,"Satellite","")</f>
        <v/>
      </c>
      <c r="AB797" s="412"/>
      <c r="AC797" s="420" t="e">
        <f aca="false">IF(ABS(t-ROUND(t,0))&lt;0.001,t,NA())</f>
        <v>#N/A</v>
      </c>
      <c r="AD797" s="425" t="e">
        <f aca="false">IF(ABS(t-ROUND(t,0))&lt;0.001,pos_x,NA())</f>
        <v>#N/A</v>
      </c>
      <c r="AE797" s="426" t="e">
        <f aca="false">IF(t&lt;T_para, pos_z, NA())</f>
        <v>#N/A</v>
      </c>
      <c r="AF797" s="412"/>
      <c r="AG797" s="418" t="n">
        <f aca="false">IF(AND(L796&lt;L_rampe,Poussee&lt;Poids*SIN(M796)),0,(-W796+Poussee)/m-Poids*SIN(M796)/m)</f>
        <v>1.8895698218589</v>
      </c>
      <c r="AH797" s="417" t="n">
        <f aca="false">IF(AND(L796&lt;L_rampe,Poussee&lt;Poids*SIN(M796)), g*SIN(M796), (-W796+Poussee)/m)</f>
        <v>-7.87076954753626</v>
      </c>
    </row>
    <row r="798" customFormat="false" ht="12" hidden="false" customHeight="false" outlineLevel="0" collapsed="false">
      <c r="A798" s="416" t="n">
        <f aca="false">IF(B797+0.01&lt;=T_ini+ROUNDUP(Temps_fin_propu,0), 0.01, IF(K797&gt;0, 0.1, 0.0001))</f>
        <v>0.0001</v>
      </c>
      <c r="B798" s="417" t="n">
        <f aca="false">B797+pas</f>
        <v>36.3071000000004</v>
      </c>
      <c r="C798" s="401"/>
      <c r="D798" s="418" t="n">
        <f aca="false">IF(AND(L797&lt;L_rampe,Poussee&lt;Poids*SIN(M797)),0,(-W797+Poussee)/m*COS(M797)-U797/m*SIN(M797))</f>
        <v>-0.790955273315676</v>
      </c>
      <c r="E798" s="419" t="n">
        <f aca="false">IF(AND(L797&lt;L_rampe,Poussee&lt;Poids*SIN(M797)),0,(-W797+Poussee)/m*SIN(M797)+U797/m*COS(M797)-Poids/m)</f>
        <v>-1.97904007801721</v>
      </c>
      <c r="F798" s="417" t="n">
        <f aca="false">SQRT(acc_x^2+acc_z^2)</f>
        <v>2.13124608498977</v>
      </c>
      <c r="G798" s="418" t="n">
        <f aca="false">G797+acc_x*pas</f>
        <v>12.4714012279295</v>
      </c>
      <c r="H798" s="419" t="n">
        <f aca="false">H797+acc_z*pas</f>
        <v>-123.475779742387</v>
      </c>
      <c r="I798" s="417" t="n">
        <f aca="false">SQRT(vit_x^2+vit_z^2)</f>
        <v>124.104004897418</v>
      </c>
      <c r="J798" s="418" t="n">
        <f aca="false">J797+0.5*(vit_x+G797)*pas*(K797&gt;=0)</f>
        <v>913.614336176273</v>
      </c>
      <c r="K798" s="419" t="n">
        <f aca="false">K797+0.5*(vit_z+H797)*pas</f>
        <v>-9.58268781308139</v>
      </c>
      <c r="L798" s="417" t="n">
        <f aca="false">SQRT(pos_x^2+pos_z^2)</f>
        <v>913.664590083547</v>
      </c>
      <c r="M798" s="418" t="n">
        <f aca="false">IF(AND(L797&gt;L_rampe,G798&gt;0),ATAN2(G798,H798),$M$4)</f>
        <v>-1.47013488794864</v>
      </c>
      <c r="N798" s="417" t="n">
        <f aca="false">DEGREES(Beta)</f>
        <v>-84.2325243943953</v>
      </c>
      <c r="O798" s="401"/>
      <c r="P798" s="420" t="n">
        <f aca="false">MATCH(t-pas/2-T_ini,CdP_t)</f>
        <v>23</v>
      </c>
      <c r="Q798" s="417" t="n">
        <f aca="false">(INDEX(CdP,2,i_P+1)-INDEX(CdP,2,i_P+0))/(INDEX(CdP,1,i_P+1)-INDEX(CdP,1,i_P+0))*(t-pas/2-T_ini-INDEX(CdP,1,i_P+0))+INDEX(CdP,2,i_P+0)</f>
        <v>0</v>
      </c>
      <c r="R798" s="418" t="n">
        <f aca="false">Poussee/(g*ISP)</f>
        <v>0</v>
      </c>
      <c r="S798" s="419" t="n">
        <f aca="false">S797-Débit*pas</f>
        <v>7.37799999999998</v>
      </c>
      <c r="T798" s="417" t="n">
        <f aca="false">m*g</f>
        <v>72.3781799999998</v>
      </c>
      <c r="U798" s="421" t="n">
        <f aca="false">IF(pos_xz&lt;L_rampe,Poids*COS(Beta),0)</f>
        <v>0</v>
      </c>
      <c r="V798" s="418" t="n">
        <f aca="false">Rho_moyen*(20000-Alt_rampe-pos_z)/(20000+Alt_rampe+pos_z)</f>
        <v>1.22617444197264</v>
      </c>
      <c r="W798" s="417" t="n">
        <f aca="false">1/2*Rho*Sref*Cx*vit_xz^2</f>
        <v>58.07103479302</v>
      </c>
      <c r="X798" s="401"/>
      <c r="Y798" s="422" t="str">
        <f aca="false">IF(AND(pos_z&lt;=0,K797&gt;0),"Impact balistique","") &amp; IF(AND(H799&lt;0,vit_z&gt;=0),"Apogée","") &amp; IF(AND(Poussee=0,Q797&gt;0),"Fin de propulsion","") &amp; IF(AND(L799&gt;L_rampe,pos_xz&lt;=L_rampe),"Sortie de rampe","")</f>
        <v/>
      </c>
      <c r="Z798" s="423" t="str">
        <f aca="false">IF(ABS(t-T_para)&lt;pas/2,"Para","")</f>
        <v/>
      </c>
      <c r="AA798" s="424" t="str">
        <f aca="false">IF(ABS(t-T_satellite)&lt;pas/2,"Satellite","")</f>
        <v/>
      </c>
      <c r="AB798" s="412"/>
      <c r="AC798" s="420" t="e">
        <f aca="false">IF(ABS(t-ROUND(t,0))&lt;0.001,t,NA())</f>
        <v>#N/A</v>
      </c>
      <c r="AD798" s="425" t="e">
        <f aca="false">IF(ABS(t-ROUND(t,0))&lt;0.001,pos_x,NA())</f>
        <v>#N/A</v>
      </c>
      <c r="AE798" s="426" t="e">
        <f aca="false">IF(t&lt;T_para, pos_z, NA())</f>
        <v>#N/A</v>
      </c>
      <c r="AF798" s="412"/>
      <c r="AG798" s="418" t="n">
        <f aca="false">IF(AND(L797&lt;L_rampe,Poussee&lt;Poids*SIN(M797)),0,(-W797+Poussee)/m-Poids*SIN(M797)/m)</f>
        <v>1.88953691877742</v>
      </c>
      <c r="AH798" s="417" t="n">
        <f aca="false">IF(AND(L797&lt;L_rampe,Poussee&lt;Poids*SIN(M797)), g*SIN(M797), (-W797+Poussee)/m)</f>
        <v>-7.87080323372949</v>
      </c>
    </row>
    <row r="799" customFormat="false" ht="12" hidden="false" customHeight="false" outlineLevel="0" collapsed="false">
      <c r="A799" s="416" t="n">
        <f aca="false">IF(B798+0.01&lt;=T_ini+ROUNDUP(Temps_fin_propu,0), 0.01, IF(K798&gt;0, 0.1, 0.0001))</f>
        <v>0.0001</v>
      </c>
      <c r="B799" s="417" t="n">
        <f aca="false">B798+pas</f>
        <v>36.3072000000004</v>
      </c>
      <c r="C799" s="401"/>
      <c r="D799" s="418" t="n">
        <f aca="false">IF(AND(L798&lt;L_rampe,Poussee&lt;Poids*SIN(M798)),0,(-W798+Poussee)/m*COS(M798)-U798/m*SIN(M798))</f>
        <v>-0.790952437880039</v>
      </c>
      <c r="E799" s="419" t="n">
        <f aca="false">IF(AND(L798&lt;L_rampe,Poussee&lt;Poids*SIN(M798)),0,(-W798+Poussee)/m*SIN(M798)+U798/m*COS(M798)-Poids/m)</f>
        <v>-1.97900593434008</v>
      </c>
      <c r="F799" s="417" t="n">
        <f aca="false">SQRT(acc_x^2+acc_z^2)</f>
        <v>2.13121332745965</v>
      </c>
      <c r="G799" s="418" t="n">
        <f aca="false">G798+acc_x*pas</f>
        <v>12.4713221326857</v>
      </c>
      <c r="H799" s="419" t="n">
        <f aca="false">H798+acc_z*pas</f>
        <v>-123.47597764298</v>
      </c>
      <c r="I799" s="417" t="n">
        <f aca="false">SQRT(vit_x^2+vit_z^2)</f>
        <v>124.104193847859</v>
      </c>
      <c r="J799" s="418" t="n">
        <f aca="false">J798+0.5*(vit_x+G798)*pas*(K798&gt;=0)</f>
        <v>913.614336176273</v>
      </c>
      <c r="K799" s="419" t="n">
        <f aca="false">K798+0.5*(vit_z+H798)*pas</f>
        <v>-9.59503540095066</v>
      </c>
      <c r="L799" s="417" t="n">
        <f aca="false">SQRT(pos_x^2+pos_z^2)</f>
        <v>913.66471967082</v>
      </c>
      <c r="M799" s="418" t="n">
        <f aca="false">IF(AND(L798&gt;L_rampe,G799&gt;0),ATAN2(G799,H799),$M$4)</f>
        <v>-1.47013568229883</v>
      </c>
      <c r="N799" s="417" t="n">
        <f aca="false">DEGREES(Beta)</f>
        <v>-84.2325699073087</v>
      </c>
      <c r="O799" s="401"/>
      <c r="P799" s="420" t="n">
        <f aca="false">MATCH(t-pas/2-T_ini,CdP_t)</f>
        <v>23</v>
      </c>
      <c r="Q799" s="417" t="n">
        <f aca="false">(INDEX(CdP,2,i_P+1)-INDEX(CdP,2,i_P+0))/(INDEX(CdP,1,i_P+1)-INDEX(CdP,1,i_P+0))*(t-pas/2-T_ini-INDEX(CdP,1,i_P+0))+INDEX(CdP,2,i_P+0)</f>
        <v>0</v>
      </c>
      <c r="R799" s="418" t="n">
        <f aca="false">Poussee/(g*ISP)</f>
        <v>0</v>
      </c>
      <c r="S799" s="419" t="n">
        <f aca="false">S798-Débit*pas</f>
        <v>7.37799999999998</v>
      </c>
      <c r="T799" s="417" t="n">
        <f aca="false">m*g</f>
        <v>72.3781799999998</v>
      </c>
      <c r="U799" s="421" t="n">
        <f aca="false">IF(pos_xz&lt;L_rampe,Poids*COS(Beta),0)</f>
        <v>0</v>
      </c>
      <c r="V799" s="418" t="n">
        <f aca="false">Rho_moyen*(20000-Alt_rampe-pos_z)/(20000+Alt_rampe+pos_z)</f>
        <v>1.22617595600359</v>
      </c>
      <c r="W799" s="417" t="n">
        <f aca="false">1/2*Rho*Sref*Cx*vit_xz^2</f>
        <v>58.0712833254141</v>
      </c>
      <c r="X799" s="401"/>
      <c r="Y799" s="422" t="str">
        <f aca="false">IF(AND(pos_z&lt;=0,K798&gt;0),"Impact balistique","") &amp; IF(AND(H800&lt;0,vit_z&gt;=0),"Apogée","") &amp; IF(AND(Poussee=0,Q798&gt;0),"Fin de propulsion","") &amp; IF(AND(L800&gt;L_rampe,pos_xz&lt;=L_rampe),"Sortie de rampe","")</f>
        <v/>
      </c>
      <c r="Z799" s="423" t="str">
        <f aca="false">IF(ABS(t-T_para)&lt;pas/2,"Para","")</f>
        <v/>
      </c>
      <c r="AA799" s="424" t="str">
        <f aca="false">IF(ABS(t-T_satellite)&lt;pas/2,"Satellite","")</f>
        <v/>
      </c>
      <c r="AB799" s="412"/>
      <c r="AC799" s="420" t="e">
        <f aca="false">IF(ABS(t-ROUND(t,0))&lt;0.001,t,NA())</f>
        <v>#N/A</v>
      </c>
      <c r="AD799" s="425" t="e">
        <f aca="false">IF(ABS(t-ROUND(t,0))&lt;0.001,pos_x,NA())</f>
        <v>#N/A</v>
      </c>
      <c r="AE799" s="426" t="e">
        <f aca="false">IF(t&lt;T_para, pos_z, NA())</f>
        <v>#N/A</v>
      </c>
      <c r="AF799" s="412"/>
      <c r="AG799" s="418" t="n">
        <f aca="false">IF(AND(L798&lt;L_rampe,Poussee&lt;Poids*SIN(M798)),0,(-W798+Poussee)/m-Poids*SIN(M798)/m)</f>
        <v>1.88950401597652</v>
      </c>
      <c r="AH799" s="417" t="n">
        <f aca="false">IF(AND(L798&lt;L_rampe,Poussee&lt;Poids*SIN(M798)), g*SIN(M798), (-W798+Poussee)/m)</f>
        <v>-7.87083691962864</v>
      </c>
    </row>
    <row r="800" customFormat="false" ht="12" hidden="false" customHeight="false" outlineLevel="0" collapsed="false">
      <c r="A800" s="416" t="n">
        <f aca="false">IF(B799+0.01&lt;=T_ini+ROUNDUP(Temps_fin_propu,0), 0.01, IF(K799&gt;0, 0.1, 0.0001))</f>
        <v>0.0001</v>
      </c>
      <c r="B800" s="417" t="n">
        <f aca="false">B799+pas</f>
        <v>36.3073000000004</v>
      </c>
      <c r="C800" s="401"/>
      <c r="D800" s="418" t="n">
        <f aca="false">IF(AND(L799&lt;L_rampe,Poussee&lt;Poids*SIN(M799)),0,(-W799+Poussee)/m*COS(M799)-U799/m*SIN(M799))</f>
        <v>-0.790949602419497</v>
      </c>
      <c r="E800" s="419" t="n">
        <f aca="false">IF(AND(L799&lt;L_rampe,Poussee&lt;Poids*SIN(M799)),0,(-W799+Poussee)/m*SIN(M799)+U799/m*COS(M799)-Poids/m)</f>
        <v>-1.97897179096101</v>
      </c>
      <c r="F800" s="417" t="n">
        <f aca="false">SQRT(acc_x^2+acc_z^2)</f>
        <v>2.13118057024434</v>
      </c>
      <c r="G800" s="418" t="n">
        <f aca="false">G799+acc_x*pas</f>
        <v>12.4712430377254</v>
      </c>
      <c r="H800" s="419" t="n">
        <f aca="false">H799+acc_z*pas</f>
        <v>-123.476175540159</v>
      </c>
      <c r="I800" s="417" t="n">
        <f aca="false">SQRT(vit_x^2+vit_z^2)</f>
        <v>124.104382795009</v>
      </c>
      <c r="J800" s="418" t="n">
        <f aca="false">J799+0.5*(vit_x+G799)*pas*(K799&gt;=0)</f>
        <v>913.614336176273</v>
      </c>
      <c r="K800" s="419" t="n">
        <f aca="false">K799+0.5*(vit_z+H799)*pas</f>
        <v>-9.60738300860981</v>
      </c>
      <c r="L800" s="417" t="n">
        <f aca="false">SQRT(pos_x^2+pos_z^2)</f>
        <v>913.664849425152</v>
      </c>
      <c r="M800" s="418" t="n">
        <f aca="false">IF(AND(L799&gt;L_rampe,G800&gt;0),ATAN2(G800,H800),$M$4)</f>
        <v>-1.47013647664157</v>
      </c>
      <c r="N800" s="417" t="n">
        <f aca="false">DEGREES(Beta)</f>
        <v>-84.2326154197949</v>
      </c>
      <c r="O800" s="401"/>
      <c r="P800" s="420" t="n">
        <f aca="false">MATCH(t-pas/2-T_ini,CdP_t)</f>
        <v>23</v>
      </c>
      <c r="Q800" s="417" t="n">
        <f aca="false">(INDEX(CdP,2,i_P+1)-INDEX(CdP,2,i_P+0))/(INDEX(CdP,1,i_P+1)-INDEX(CdP,1,i_P+0))*(t-pas/2-T_ini-INDEX(CdP,1,i_P+0))+INDEX(CdP,2,i_P+0)</f>
        <v>0</v>
      </c>
      <c r="R800" s="418" t="n">
        <f aca="false">Poussee/(g*ISP)</f>
        <v>0</v>
      </c>
      <c r="S800" s="419" t="n">
        <f aca="false">S799-Débit*pas</f>
        <v>7.37799999999998</v>
      </c>
      <c r="T800" s="417" t="n">
        <f aca="false">m*g</f>
        <v>72.3781799999998</v>
      </c>
      <c r="U800" s="421" t="n">
        <f aca="false">IF(pos_xz&lt;L_rampe,Poids*COS(Beta),0)</f>
        <v>0</v>
      </c>
      <c r="V800" s="418" t="n">
        <f aca="false">Rho_moyen*(20000-Alt_rampe-pos_z)/(20000+Alt_rampe+pos_z)</f>
        <v>1.22617747003884</v>
      </c>
      <c r="W800" s="417" t="n">
        <f aca="false">1/2*Rho*Sref*Cx*vit_xz^2</f>
        <v>58.0715318556385</v>
      </c>
      <c r="X800" s="401"/>
      <c r="Y800" s="422" t="str">
        <f aca="false">IF(AND(pos_z&lt;=0,K799&gt;0),"Impact balistique","") &amp; IF(AND(H801&lt;0,vit_z&gt;=0),"Apogée","") &amp; IF(AND(Poussee=0,Q799&gt;0),"Fin de propulsion","") &amp; IF(AND(L801&gt;L_rampe,pos_xz&lt;=L_rampe),"Sortie de rampe","")</f>
        <v/>
      </c>
      <c r="Z800" s="423" t="str">
        <f aca="false">IF(ABS(t-T_para)&lt;pas/2,"Para","")</f>
        <v/>
      </c>
      <c r="AA800" s="424" t="str">
        <f aca="false">IF(ABS(t-T_satellite)&lt;pas/2,"Satellite","")</f>
        <v/>
      </c>
      <c r="AB800" s="412"/>
      <c r="AC800" s="420" t="e">
        <f aca="false">IF(ABS(t-ROUND(t,0))&lt;0.001,t,NA())</f>
        <v>#N/A</v>
      </c>
      <c r="AD800" s="425" t="e">
        <f aca="false">IF(ABS(t-ROUND(t,0))&lt;0.001,pos_x,NA())</f>
        <v>#N/A</v>
      </c>
      <c r="AE800" s="426" t="e">
        <f aca="false">IF(t&lt;T_para, pos_z, NA())</f>
        <v>#N/A</v>
      </c>
      <c r="AF800" s="412"/>
      <c r="AG800" s="418" t="n">
        <f aca="false">IF(AND(L799&lt;L_rampe,Poussee&lt;Poids*SIN(M799)),0,(-W799+Poussee)/m-Poids*SIN(M799)/m)</f>
        <v>1.88947111345619</v>
      </c>
      <c r="AH800" s="417" t="n">
        <f aca="false">IF(AND(L799&lt;L_rampe,Poussee&lt;Poids*SIN(M799)), g*SIN(M799), (-W799+Poussee)/m)</f>
        <v>-7.8708706052337</v>
      </c>
    </row>
    <row r="801" customFormat="false" ht="12" hidden="false" customHeight="false" outlineLevel="0" collapsed="false">
      <c r="A801" s="416" t="n">
        <f aca="false">IF(B800+0.01&lt;=T_ini+ROUNDUP(Temps_fin_propu,0), 0.01, IF(K800&gt;0, 0.1, 0.0001))</f>
        <v>0.0001</v>
      </c>
      <c r="B801" s="417" t="n">
        <f aca="false">B800+pas</f>
        <v>36.3074000000005</v>
      </c>
      <c r="C801" s="401"/>
      <c r="D801" s="418" t="n">
        <f aca="false">IF(AND(L800&lt;L_rampe,Poussee&lt;Poids*SIN(M800)),0,(-W800+Poussee)/m*COS(M800)-U800/m*SIN(M800))</f>
        <v>-0.790946766934051</v>
      </c>
      <c r="E801" s="419" t="n">
        <f aca="false">IF(AND(L800&lt;L_rampe,Poussee&lt;Poids*SIN(M800)),0,(-W800+Poussee)/m*SIN(M800)+U800/m*COS(M800)-Poids/m)</f>
        <v>-1.97893764788001</v>
      </c>
      <c r="F801" s="417" t="n">
        <f aca="false">SQRT(acc_x^2+acc_z^2)</f>
        <v>2.13114781334386</v>
      </c>
      <c r="G801" s="418" t="n">
        <f aca="false">G800+acc_x*pas</f>
        <v>12.4711639430487</v>
      </c>
      <c r="H801" s="419" t="n">
        <f aca="false">H800+acc_z*pas</f>
        <v>-123.476373433924</v>
      </c>
      <c r="I801" s="417" t="n">
        <f aca="false">SQRT(vit_x^2+vit_z^2)</f>
        <v>124.10457173887</v>
      </c>
      <c r="J801" s="418" t="n">
        <f aca="false">J800+0.5*(vit_x+G800)*pas*(K800&gt;=0)</f>
        <v>913.614336176273</v>
      </c>
      <c r="K801" s="419" t="n">
        <f aca="false">K800+0.5*(vit_z+H800)*pas</f>
        <v>-9.61973063605852</v>
      </c>
      <c r="L801" s="417" t="n">
        <f aca="false">SQRT(pos_x^2+pos_z^2)</f>
        <v>913.664979346545</v>
      </c>
      <c r="M801" s="418" t="n">
        <f aca="false">IF(AND(L800&gt;L_rampe,G801&gt;0),ATAN2(G801,H801),$M$4)</f>
        <v>-1.47013727097684</v>
      </c>
      <c r="N801" s="417" t="n">
        <f aca="false">DEGREES(Beta)</f>
        <v>-84.2326609318538</v>
      </c>
      <c r="O801" s="401"/>
      <c r="P801" s="420" t="n">
        <f aca="false">MATCH(t-pas/2-T_ini,CdP_t)</f>
        <v>23</v>
      </c>
      <c r="Q801" s="417" t="n">
        <f aca="false">(INDEX(CdP,2,i_P+1)-INDEX(CdP,2,i_P+0))/(INDEX(CdP,1,i_P+1)-INDEX(CdP,1,i_P+0))*(t-pas/2-T_ini-INDEX(CdP,1,i_P+0))+INDEX(CdP,2,i_P+0)</f>
        <v>0</v>
      </c>
      <c r="R801" s="418" t="n">
        <f aca="false">Poussee/(g*ISP)</f>
        <v>0</v>
      </c>
      <c r="S801" s="419" t="n">
        <f aca="false">S800-Débit*pas</f>
        <v>7.37799999999998</v>
      </c>
      <c r="T801" s="417" t="n">
        <f aca="false">m*g</f>
        <v>72.3781799999998</v>
      </c>
      <c r="U801" s="421" t="n">
        <f aca="false">IF(pos_xz&lt;L_rampe,Poids*COS(Beta),0)</f>
        <v>0</v>
      </c>
      <c r="V801" s="418" t="n">
        <f aca="false">Rho_moyen*(20000-Alt_rampe-pos_z)/(20000+Alt_rampe+pos_z)</f>
        <v>1.22617898407838</v>
      </c>
      <c r="W801" s="417" t="n">
        <f aca="false">1/2*Rho*Sref*Cx*vit_xz^2</f>
        <v>58.071780383693</v>
      </c>
      <c r="X801" s="401"/>
      <c r="Y801" s="422" t="str">
        <f aca="false">IF(AND(pos_z&lt;=0,K800&gt;0),"Impact balistique","") &amp; IF(AND(H802&lt;0,vit_z&gt;=0),"Apogée","") &amp; IF(AND(Poussee=0,Q800&gt;0),"Fin de propulsion","") &amp; IF(AND(L802&gt;L_rampe,pos_xz&lt;=L_rampe),"Sortie de rampe","")</f>
        <v/>
      </c>
      <c r="Z801" s="423" t="str">
        <f aca="false">IF(ABS(t-T_para)&lt;pas/2,"Para","")</f>
        <v/>
      </c>
      <c r="AA801" s="424" t="str">
        <f aca="false">IF(ABS(t-T_satellite)&lt;pas/2,"Satellite","")</f>
        <v/>
      </c>
      <c r="AB801" s="412"/>
      <c r="AC801" s="420" t="e">
        <f aca="false">IF(ABS(t-ROUND(t,0))&lt;0.001,t,NA())</f>
        <v>#N/A</v>
      </c>
      <c r="AD801" s="425" t="e">
        <f aca="false">IF(ABS(t-ROUND(t,0))&lt;0.001,pos_x,NA())</f>
        <v>#N/A</v>
      </c>
      <c r="AE801" s="426" t="e">
        <f aca="false">IF(t&lt;T_para, pos_z, NA())</f>
        <v>#N/A</v>
      </c>
      <c r="AF801" s="412"/>
      <c r="AG801" s="418" t="n">
        <f aca="false">IF(AND(L800&lt;L_rampe,Poussee&lt;Poids*SIN(M800)),0,(-W800+Poussee)/m-Poids*SIN(M800)/m)</f>
        <v>1.88943821121645</v>
      </c>
      <c r="AH801" s="417" t="n">
        <f aca="false">IF(AND(L800&lt;L_rampe,Poussee&lt;Poids*SIN(M800)), g*SIN(M800), (-W800+Poussee)/m)</f>
        <v>-7.87090429054467</v>
      </c>
    </row>
    <row r="802" customFormat="false" ht="12" hidden="false" customHeight="false" outlineLevel="0" collapsed="false">
      <c r="A802" s="416" t="n">
        <f aca="false">IF(B801+0.01&lt;=T_ini+ROUNDUP(Temps_fin_propu,0), 0.01, IF(K801&gt;0, 0.1, 0.0001))</f>
        <v>0.0001</v>
      </c>
      <c r="B802" s="417" t="n">
        <f aca="false">B801+pas</f>
        <v>36.3075000000005</v>
      </c>
      <c r="C802" s="401"/>
      <c r="D802" s="418" t="n">
        <f aca="false">IF(AND(L801&lt;L_rampe,Poussee&lt;Poids*SIN(M801)),0,(-W801+Poussee)/m*COS(M801)-U801/m*SIN(M801))</f>
        <v>-0.790943931423702</v>
      </c>
      <c r="E802" s="419" t="n">
        <f aca="false">IF(AND(L801&lt;L_rampe,Poussee&lt;Poids*SIN(M801)),0,(-W801+Poussee)/m*SIN(M801)+U801/m*COS(M801)-Poids/m)</f>
        <v>-1.97890350509706</v>
      </c>
      <c r="F802" s="417" t="n">
        <f aca="false">SQRT(acc_x^2+acc_z^2)</f>
        <v>2.13111505675818</v>
      </c>
      <c r="G802" s="418" t="n">
        <f aca="false">G801+acc_x*pas</f>
        <v>12.4710848486556</v>
      </c>
      <c r="H802" s="419" t="n">
        <f aca="false">H801+acc_z*pas</f>
        <v>-123.476571324274</v>
      </c>
      <c r="I802" s="417" t="n">
        <f aca="false">SQRT(vit_x^2+vit_z^2)</f>
        <v>124.10476067944</v>
      </c>
      <c r="J802" s="418" t="n">
        <f aca="false">J801+0.5*(vit_x+G801)*pas*(K801&gt;=0)</f>
        <v>913.614336176273</v>
      </c>
      <c r="K802" s="419" t="n">
        <f aca="false">K801+0.5*(vit_z+H801)*pas</f>
        <v>-9.63207828329643</v>
      </c>
      <c r="L802" s="417" t="n">
        <f aca="false">SQRT(pos_x^2+pos_z^2)</f>
        <v>913.665109434999</v>
      </c>
      <c r="M802" s="418" t="n">
        <f aca="false">IF(AND(L801&gt;L_rampe,G802&gt;0),ATAN2(G802,H802),$M$4)</f>
        <v>-1.47013806530467</v>
      </c>
      <c r="N802" s="417" t="n">
        <f aca="false">DEGREES(Beta)</f>
        <v>-84.2327064434855</v>
      </c>
      <c r="O802" s="401"/>
      <c r="P802" s="420" t="n">
        <f aca="false">MATCH(t-pas/2-T_ini,CdP_t)</f>
        <v>23</v>
      </c>
      <c r="Q802" s="417" t="n">
        <f aca="false">(INDEX(CdP,2,i_P+1)-INDEX(CdP,2,i_P+0))/(INDEX(CdP,1,i_P+1)-INDEX(CdP,1,i_P+0))*(t-pas/2-T_ini-INDEX(CdP,1,i_P+0))+INDEX(CdP,2,i_P+0)</f>
        <v>0</v>
      </c>
      <c r="R802" s="418" t="n">
        <f aca="false">Poussee/(g*ISP)</f>
        <v>0</v>
      </c>
      <c r="S802" s="419" t="n">
        <f aca="false">S801-Débit*pas</f>
        <v>7.37799999999998</v>
      </c>
      <c r="T802" s="417" t="n">
        <f aca="false">m*g</f>
        <v>72.3781799999998</v>
      </c>
      <c r="U802" s="421" t="n">
        <f aca="false">IF(pos_xz&lt;L_rampe,Poids*COS(Beta),0)</f>
        <v>0</v>
      </c>
      <c r="V802" s="418" t="n">
        <f aca="false">Rho_moyen*(20000-Alt_rampe-pos_z)/(20000+Alt_rampe+pos_z)</f>
        <v>1.22618049812222</v>
      </c>
      <c r="W802" s="417" t="n">
        <f aca="false">1/2*Rho*Sref*Cx*vit_xz^2</f>
        <v>58.0720289095778</v>
      </c>
      <c r="X802" s="401"/>
      <c r="Y802" s="422" t="str">
        <f aca="false">IF(AND(pos_z&lt;=0,K801&gt;0),"Impact balistique","") &amp; IF(AND(H803&lt;0,vit_z&gt;=0),"Apogée","") &amp; IF(AND(Poussee=0,Q801&gt;0),"Fin de propulsion","") &amp; IF(AND(L803&gt;L_rampe,pos_xz&lt;=L_rampe),"Sortie de rampe","")</f>
        <v/>
      </c>
      <c r="Z802" s="423" t="str">
        <f aca="false">IF(ABS(t-T_para)&lt;pas/2,"Para","")</f>
        <v/>
      </c>
      <c r="AA802" s="424" t="str">
        <f aca="false">IF(ABS(t-T_satellite)&lt;pas/2,"Satellite","")</f>
        <v/>
      </c>
      <c r="AB802" s="412"/>
      <c r="AC802" s="420" t="e">
        <f aca="false">IF(ABS(t-ROUND(t,0))&lt;0.001,t,NA())</f>
        <v>#N/A</v>
      </c>
      <c r="AD802" s="425" t="e">
        <f aca="false">IF(ABS(t-ROUND(t,0))&lt;0.001,pos_x,NA())</f>
        <v>#N/A</v>
      </c>
      <c r="AE802" s="426" t="e">
        <f aca="false">IF(t&lt;T_para, pos_z, NA())</f>
        <v>#N/A</v>
      </c>
      <c r="AF802" s="412"/>
      <c r="AG802" s="418" t="n">
        <f aca="false">IF(AND(L801&lt;L_rampe,Poussee&lt;Poids*SIN(M801)),0,(-W801+Poussee)/m-Poids*SIN(M801)/m)</f>
        <v>1.88940530925728</v>
      </c>
      <c r="AH802" s="417" t="n">
        <f aca="false">IF(AND(L801&lt;L_rampe,Poussee&lt;Poids*SIN(M801)), g*SIN(M801), (-W801+Poussee)/m)</f>
        <v>-7.87093797556156</v>
      </c>
    </row>
    <row r="803" customFormat="false" ht="12" hidden="false" customHeight="false" outlineLevel="0" collapsed="false">
      <c r="A803" s="416" t="n">
        <f aca="false">IF(B802+0.01&lt;=T_ini+ROUNDUP(Temps_fin_propu,0), 0.01, IF(K802&gt;0, 0.1, 0.0001))</f>
        <v>0.0001</v>
      </c>
      <c r="B803" s="417" t="n">
        <f aca="false">B802+pas</f>
        <v>36.3076000000005</v>
      </c>
      <c r="C803" s="401"/>
      <c r="D803" s="418" t="n">
        <f aca="false">IF(AND(L802&lt;L_rampe,Poussee&lt;Poids*SIN(M802)),0,(-W802+Poussee)/m*COS(M802)-U802/m*SIN(M802))</f>
        <v>-0.790941095888449</v>
      </c>
      <c r="E803" s="419" t="n">
        <f aca="false">IF(AND(L802&lt;L_rampe,Poussee&lt;Poids*SIN(M802)),0,(-W802+Poussee)/m*SIN(M802)+U802/m*COS(M802)-Poids/m)</f>
        <v>-1.97886936261218</v>
      </c>
      <c r="F803" s="417" t="n">
        <f aca="false">SQRT(acc_x^2+acc_z^2)</f>
        <v>2.13108230048732</v>
      </c>
      <c r="G803" s="418" t="n">
        <f aca="false">G802+acc_x*pas</f>
        <v>12.471005754546</v>
      </c>
      <c r="H803" s="419" t="n">
        <f aca="false">H802+acc_z*pas</f>
        <v>-123.476769211211</v>
      </c>
      <c r="I803" s="417" t="n">
        <f aca="false">SQRT(vit_x^2+vit_z^2)</f>
        <v>124.10494961672</v>
      </c>
      <c r="J803" s="418" t="n">
        <f aca="false">J802+0.5*(vit_x+G802)*pas*(K802&gt;=0)</f>
        <v>913.614336176273</v>
      </c>
      <c r="K803" s="419" t="n">
        <f aca="false">K802+0.5*(vit_z+H802)*pas</f>
        <v>-9.6444259503232</v>
      </c>
      <c r="L803" s="417" t="n">
        <f aca="false">SQRT(pos_x^2+pos_z^2)</f>
        <v>913.665239690514</v>
      </c>
      <c r="M803" s="418" t="n">
        <f aca="false">IF(AND(L802&gt;L_rampe,G803&gt;0),ATAN2(G803,H803),$M$4)</f>
        <v>-1.47013885962503</v>
      </c>
      <c r="N803" s="417" t="n">
        <f aca="false">DEGREES(Beta)</f>
        <v>-84.23275195469</v>
      </c>
      <c r="O803" s="401"/>
      <c r="P803" s="420" t="n">
        <f aca="false">MATCH(t-pas/2-T_ini,CdP_t)</f>
        <v>23</v>
      </c>
      <c r="Q803" s="417" t="n">
        <f aca="false">(INDEX(CdP,2,i_P+1)-INDEX(CdP,2,i_P+0))/(INDEX(CdP,1,i_P+1)-INDEX(CdP,1,i_P+0))*(t-pas/2-T_ini-INDEX(CdP,1,i_P+0))+INDEX(CdP,2,i_P+0)</f>
        <v>0</v>
      </c>
      <c r="R803" s="418" t="n">
        <f aca="false">Poussee/(g*ISP)</f>
        <v>0</v>
      </c>
      <c r="S803" s="419" t="n">
        <f aca="false">S802-Débit*pas</f>
        <v>7.37799999999998</v>
      </c>
      <c r="T803" s="417" t="n">
        <f aca="false">m*g</f>
        <v>72.3781799999998</v>
      </c>
      <c r="U803" s="421" t="n">
        <f aca="false">IF(pos_xz&lt;L_rampe,Poids*COS(Beta),0)</f>
        <v>0</v>
      </c>
      <c r="V803" s="418" t="n">
        <f aca="false">Rho_moyen*(20000-Alt_rampe-pos_z)/(20000+Alt_rampe+pos_z)</f>
        <v>1.22618201217036</v>
      </c>
      <c r="W803" s="417" t="n">
        <f aca="false">1/2*Rho*Sref*Cx*vit_xz^2</f>
        <v>58.0722774332929</v>
      </c>
      <c r="X803" s="401"/>
      <c r="Y803" s="422" t="str">
        <f aca="false">IF(AND(pos_z&lt;=0,K802&gt;0),"Impact balistique","") &amp; IF(AND(H804&lt;0,vit_z&gt;=0),"Apogée","") &amp; IF(AND(Poussee=0,Q802&gt;0),"Fin de propulsion","") &amp; IF(AND(L804&gt;L_rampe,pos_xz&lt;=L_rampe),"Sortie de rampe","")</f>
        <v/>
      </c>
      <c r="Z803" s="423" t="str">
        <f aca="false">IF(ABS(t-T_para)&lt;pas/2,"Para","")</f>
        <v/>
      </c>
      <c r="AA803" s="424" t="str">
        <f aca="false">IF(ABS(t-T_satellite)&lt;pas/2,"Satellite","")</f>
        <v/>
      </c>
      <c r="AB803" s="412"/>
      <c r="AC803" s="420" t="e">
        <f aca="false">IF(ABS(t-ROUND(t,0))&lt;0.001,t,NA())</f>
        <v>#N/A</v>
      </c>
      <c r="AD803" s="425" t="e">
        <f aca="false">IF(ABS(t-ROUND(t,0))&lt;0.001,pos_x,NA())</f>
        <v>#N/A</v>
      </c>
      <c r="AE803" s="426" t="e">
        <f aca="false">IF(t&lt;T_para, pos_z, NA())</f>
        <v>#N/A</v>
      </c>
      <c r="AF803" s="412"/>
      <c r="AG803" s="418" t="n">
        <f aca="false">IF(AND(L802&lt;L_rampe,Poussee&lt;Poids*SIN(M802)),0,(-W802+Poussee)/m-Poids*SIN(M802)/m)</f>
        <v>1.88937240757869</v>
      </c>
      <c r="AH803" s="417" t="n">
        <f aca="false">IF(AND(L802&lt;L_rampe,Poussee&lt;Poids*SIN(M802)), g*SIN(M802), (-W802+Poussee)/m)</f>
        <v>-7.87097166028435</v>
      </c>
    </row>
    <row r="804" customFormat="false" ht="12" hidden="false" customHeight="false" outlineLevel="0" collapsed="false">
      <c r="A804" s="416" t="n">
        <f aca="false">IF(B803+0.01&lt;=T_ini+ROUNDUP(Temps_fin_propu,0), 0.01, IF(K803&gt;0, 0.1, 0.0001))</f>
        <v>0.0001</v>
      </c>
      <c r="B804" s="417" t="n">
        <f aca="false">B803+pas</f>
        <v>36.3077000000005</v>
      </c>
      <c r="C804" s="401"/>
      <c r="D804" s="418" t="n">
        <f aca="false">IF(AND(L803&lt;L_rampe,Poussee&lt;Poids*SIN(M803)),0,(-W803+Poussee)/m*COS(M803)-U803/m*SIN(M803))</f>
        <v>-0.790938260328297</v>
      </c>
      <c r="E804" s="419" t="n">
        <f aca="false">IF(AND(L803&lt;L_rampe,Poussee&lt;Poids*SIN(M803)),0,(-W803+Poussee)/m*SIN(M803)+U803/m*COS(M803)-Poids/m)</f>
        <v>-1.97883522042535</v>
      </c>
      <c r="F804" s="417" t="n">
        <f aca="false">SQRT(acc_x^2+acc_z^2)</f>
        <v>2.13104954453128</v>
      </c>
      <c r="G804" s="418" t="n">
        <f aca="false">G803+acc_x*pas</f>
        <v>12.47092666072</v>
      </c>
      <c r="H804" s="419" t="n">
        <f aca="false">H803+acc_z*pas</f>
        <v>-123.476967094733</v>
      </c>
      <c r="I804" s="417" t="n">
        <f aca="false">SQRT(vit_x^2+vit_z^2)</f>
        <v>124.105138550709</v>
      </c>
      <c r="J804" s="418" t="n">
        <f aca="false">J803+0.5*(vit_x+G803)*pas*(K803&gt;=0)</f>
        <v>913.614336176273</v>
      </c>
      <c r="K804" s="419" t="n">
        <f aca="false">K803+0.5*(vit_z+H803)*pas</f>
        <v>-9.6567736371385</v>
      </c>
      <c r="L804" s="417" t="n">
        <f aca="false">SQRT(pos_x^2+pos_z^2)</f>
        <v>913.665370113091</v>
      </c>
      <c r="M804" s="418" t="n">
        <f aca="false">IF(AND(L803&gt;L_rampe,G804&gt;0),ATAN2(G804,H804),$M$4)</f>
        <v>-1.47013965393794</v>
      </c>
      <c r="N804" s="417" t="n">
        <f aca="false">DEGREES(Beta)</f>
        <v>-84.2327974654673</v>
      </c>
      <c r="O804" s="401"/>
      <c r="P804" s="420" t="n">
        <f aca="false">MATCH(t-pas/2-T_ini,CdP_t)</f>
        <v>23</v>
      </c>
      <c r="Q804" s="417" t="n">
        <f aca="false">(INDEX(CdP,2,i_P+1)-INDEX(CdP,2,i_P+0))/(INDEX(CdP,1,i_P+1)-INDEX(CdP,1,i_P+0))*(t-pas/2-T_ini-INDEX(CdP,1,i_P+0))+INDEX(CdP,2,i_P+0)</f>
        <v>0</v>
      </c>
      <c r="R804" s="418" t="n">
        <f aca="false">Poussee/(g*ISP)</f>
        <v>0</v>
      </c>
      <c r="S804" s="419" t="n">
        <f aca="false">S803-Débit*pas</f>
        <v>7.37799999999998</v>
      </c>
      <c r="T804" s="417" t="n">
        <f aca="false">m*g</f>
        <v>72.3781799999998</v>
      </c>
      <c r="U804" s="421" t="n">
        <f aca="false">IF(pos_xz&lt;L_rampe,Poids*COS(Beta),0)</f>
        <v>0</v>
      </c>
      <c r="V804" s="418" t="n">
        <f aca="false">Rho_moyen*(20000-Alt_rampe-pos_z)/(20000+Alt_rampe+pos_z)</f>
        <v>1.22618352622279</v>
      </c>
      <c r="W804" s="417" t="n">
        <f aca="false">1/2*Rho*Sref*Cx*vit_xz^2</f>
        <v>58.0725259548382</v>
      </c>
      <c r="X804" s="401"/>
      <c r="Y804" s="422" t="str">
        <f aca="false">IF(AND(pos_z&lt;=0,K803&gt;0),"Impact balistique","") &amp; IF(AND(H805&lt;0,vit_z&gt;=0),"Apogée","") &amp; IF(AND(Poussee=0,Q803&gt;0),"Fin de propulsion","") &amp; IF(AND(L805&gt;L_rampe,pos_xz&lt;=L_rampe),"Sortie de rampe","")</f>
        <v/>
      </c>
      <c r="Z804" s="423" t="str">
        <f aca="false">IF(ABS(t-T_para)&lt;pas/2,"Para","")</f>
        <v/>
      </c>
      <c r="AA804" s="424" t="str">
        <f aca="false">IF(ABS(t-T_satellite)&lt;pas/2,"Satellite","")</f>
        <v/>
      </c>
      <c r="AB804" s="412"/>
      <c r="AC804" s="420" t="e">
        <f aca="false">IF(ABS(t-ROUND(t,0))&lt;0.001,t,NA())</f>
        <v>#N/A</v>
      </c>
      <c r="AD804" s="425" t="e">
        <f aca="false">IF(ABS(t-ROUND(t,0))&lt;0.001,pos_x,NA())</f>
        <v>#N/A</v>
      </c>
      <c r="AE804" s="426" t="e">
        <f aca="false">IF(t&lt;T_para, pos_z, NA())</f>
        <v>#N/A</v>
      </c>
      <c r="AF804" s="412"/>
      <c r="AG804" s="418" t="n">
        <f aca="false">IF(AND(L803&lt;L_rampe,Poussee&lt;Poids*SIN(M803)),0,(-W803+Poussee)/m-Poids*SIN(M803)/m)</f>
        <v>1.88933950618068</v>
      </c>
      <c r="AH804" s="417" t="n">
        <f aca="false">IF(AND(L803&lt;L_rampe,Poussee&lt;Poids*SIN(M803)), g*SIN(M803), (-W803+Poussee)/m)</f>
        <v>-7.87100534471307</v>
      </c>
    </row>
    <row r="805" customFormat="false" ht="12" hidden="false" customHeight="false" outlineLevel="0" collapsed="false">
      <c r="A805" s="416" t="n">
        <f aca="false">IF(B804+0.01&lt;=T_ini+ROUNDUP(Temps_fin_propu,0), 0.01, IF(K804&gt;0, 0.1, 0.0001))</f>
        <v>0.0001</v>
      </c>
      <c r="B805" s="417" t="n">
        <f aca="false">B804+pas</f>
        <v>36.3078000000005</v>
      </c>
      <c r="C805" s="401"/>
      <c r="D805" s="418" t="n">
        <f aca="false">IF(AND(L804&lt;L_rampe,Poussee&lt;Poids*SIN(M804)),0,(-W804+Poussee)/m*COS(M804)-U804/m*SIN(M804))</f>
        <v>-0.790935424743242</v>
      </c>
      <c r="E805" s="419" t="n">
        <f aca="false">IF(AND(L804&lt;L_rampe,Poussee&lt;Poids*SIN(M804)),0,(-W804+Poussee)/m*SIN(M804)+U804/m*COS(M804)-Poids/m)</f>
        <v>-1.97880107853658</v>
      </c>
      <c r="F805" s="417" t="n">
        <f aca="false">SQRT(acc_x^2+acc_z^2)</f>
        <v>2.13101678889006</v>
      </c>
      <c r="G805" s="418" t="n">
        <f aca="false">G804+acc_x*pas</f>
        <v>12.4708475671775</v>
      </c>
      <c r="H805" s="419" t="n">
        <f aca="false">H804+acc_z*pas</f>
        <v>-123.477164974841</v>
      </c>
      <c r="I805" s="417" t="n">
        <f aca="false">SQRT(vit_x^2+vit_z^2)</f>
        <v>124.105327481409</v>
      </c>
      <c r="J805" s="418" t="n">
        <f aca="false">J804+0.5*(vit_x+G804)*pas*(K804&gt;=0)</f>
        <v>913.614336176273</v>
      </c>
      <c r="K805" s="419" t="n">
        <f aca="false">K804+0.5*(vit_z+H804)*pas</f>
        <v>-9.66912134374197</v>
      </c>
      <c r="L805" s="417" t="n">
        <f aca="false">SQRT(pos_x^2+pos_z^2)</f>
        <v>913.665500702731</v>
      </c>
      <c r="M805" s="418" t="n">
        <f aca="false">IF(AND(L804&gt;L_rampe,G805&gt;0),ATAN2(G805,H805),$M$4)</f>
        <v>-1.47014044824339</v>
      </c>
      <c r="N805" s="417" t="n">
        <f aca="false">DEGREES(Beta)</f>
        <v>-84.2328429758174</v>
      </c>
      <c r="O805" s="401"/>
      <c r="P805" s="420" t="n">
        <f aca="false">MATCH(t-pas/2-T_ini,CdP_t)</f>
        <v>23</v>
      </c>
      <c r="Q805" s="417" t="n">
        <f aca="false">(INDEX(CdP,2,i_P+1)-INDEX(CdP,2,i_P+0))/(INDEX(CdP,1,i_P+1)-INDEX(CdP,1,i_P+0))*(t-pas/2-T_ini-INDEX(CdP,1,i_P+0))+INDEX(CdP,2,i_P+0)</f>
        <v>0</v>
      </c>
      <c r="R805" s="418" t="n">
        <f aca="false">Poussee/(g*ISP)</f>
        <v>0</v>
      </c>
      <c r="S805" s="419" t="n">
        <f aca="false">S804-Débit*pas</f>
        <v>7.37799999999998</v>
      </c>
      <c r="T805" s="417" t="n">
        <f aca="false">m*g</f>
        <v>72.3781799999998</v>
      </c>
      <c r="U805" s="421" t="n">
        <f aca="false">IF(pos_xz&lt;L_rampe,Poids*COS(Beta),0)</f>
        <v>0</v>
      </c>
      <c r="V805" s="418" t="n">
        <f aca="false">Rho_moyen*(20000-Alt_rampe-pos_z)/(20000+Alt_rampe+pos_z)</f>
        <v>1.22618504027952</v>
      </c>
      <c r="W805" s="417" t="n">
        <f aca="false">1/2*Rho*Sref*Cx*vit_xz^2</f>
        <v>58.0727744742137</v>
      </c>
      <c r="X805" s="401"/>
      <c r="Y805" s="422" t="str">
        <f aca="false">IF(AND(pos_z&lt;=0,K804&gt;0),"Impact balistique","") &amp; IF(AND(H806&lt;0,vit_z&gt;=0),"Apogée","") &amp; IF(AND(Poussee=0,Q804&gt;0),"Fin de propulsion","") &amp; IF(AND(L806&gt;L_rampe,pos_xz&lt;=L_rampe),"Sortie de rampe","")</f>
        <v/>
      </c>
      <c r="Z805" s="423" t="str">
        <f aca="false">IF(ABS(t-T_para)&lt;pas/2,"Para","")</f>
        <v/>
      </c>
      <c r="AA805" s="424" t="str">
        <f aca="false">IF(ABS(t-T_satellite)&lt;pas/2,"Satellite","")</f>
        <v/>
      </c>
      <c r="AB805" s="412"/>
      <c r="AC805" s="420" t="e">
        <f aca="false">IF(ABS(t-ROUND(t,0))&lt;0.001,t,NA())</f>
        <v>#N/A</v>
      </c>
      <c r="AD805" s="425" t="e">
        <f aca="false">IF(ABS(t-ROUND(t,0))&lt;0.001,pos_x,NA())</f>
        <v>#N/A</v>
      </c>
      <c r="AE805" s="426" t="e">
        <f aca="false">IF(t&lt;T_para, pos_z, NA())</f>
        <v>#N/A</v>
      </c>
      <c r="AF805" s="412"/>
      <c r="AG805" s="418" t="n">
        <f aca="false">IF(AND(L804&lt;L_rampe,Poussee&lt;Poids*SIN(M804)),0,(-W804+Poussee)/m-Poids*SIN(M804)/m)</f>
        <v>1.88930660506324</v>
      </c>
      <c r="AH805" s="417" t="n">
        <f aca="false">IF(AND(L804&lt;L_rampe,Poussee&lt;Poids*SIN(M804)), g*SIN(M804), (-W804+Poussee)/m)</f>
        <v>-7.8710390288477</v>
      </c>
    </row>
    <row r="806" customFormat="false" ht="12" hidden="false" customHeight="false" outlineLevel="0" collapsed="false">
      <c r="A806" s="416" t="n">
        <f aca="false">IF(B805+0.01&lt;=T_ini+ROUNDUP(Temps_fin_propu,0), 0.01, IF(K805&gt;0, 0.1, 0.0001))</f>
        <v>0.0001</v>
      </c>
      <c r="B806" s="417" t="n">
        <f aca="false">B805+pas</f>
        <v>36.3079000000005</v>
      </c>
      <c r="C806" s="401"/>
      <c r="D806" s="418" t="n">
        <f aca="false">IF(AND(L805&lt;L_rampe,Poussee&lt;Poids*SIN(M805)),0,(-W805+Poussee)/m*COS(M805)-U805/m*SIN(M805))</f>
        <v>-0.790932589133286</v>
      </c>
      <c r="E806" s="419" t="n">
        <f aca="false">IF(AND(L805&lt;L_rampe,Poussee&lt;Poids*SIN(M805)),0,(-W805+Poussee)/m*SIN(M805)+U805/m*COS(M805)-Poids/m)</f>
        <v>-1.97876693694587</v>
      </c>
      <c r="F806" s="417" t="n">
        <f aca="false">SQRT(acc_x^2+acc_z^2)</f>
        <v>2.13098403356365</v>
      </c>
      <c r="G806" s="418" t="n">
        <f aca="false">G805+acc_x*pas</f>
        <v>12.4707684739186</v>
      </c>
      <c r="H806" s="419" t="n">
        <f aca="false">H805+acc_z*pas</f>
        <v>-123.477362851534</v>
      </c>
      <c r="I806" s="417" t="n">
        <f aca="false">SQRT(vit_x^2+vit_z^2)</f>
        <v>124.105516408819</v>
      </c>
      <c r="J806" s="418" t="n">
        <f aca="false">J805+0.5*(vit_x+G805)*pas*(K805&gt;=0)</f>
        <v>913.614336176273</v>
      </c>
      <c r="K806" s="419" t="n">
        <f aca="false">K805+0.5*(vit_z+H805)*pas</f>
        <v>-9.68146907013329</v>
      </c>
      <c r="L806" s="417" t="n">
        <f aca="false">SQRT(pos_x^2+pos_z^2)</f>
        <v>913.665631459435</v>
      </c>
      <c r="M806" s="418" t="n">
        <f aca="false">IF(AND(L805&gt;L_rampe,G806&gt;0),ATAN2(G806,H806),$M$4)</f>
        <v>-1.47014124254139</v>
      </c>
      <c r="N806" s="417" t="n">
        <f aca="false">DEGREES(Beta)</f>
        <v>-84.2328884857403</v>
      </c>
      <c r="O806" s="401"/>
      <c r="P806" s="420" t="n">
        <f aca="false">MATCH(t-pas/2-T_ini,CdP_t)</f>
        <v>23</v>
      </c>
      <c r="Q806" s="417" t="n">
        <f aca="false">(INDEX(CdP,2,i_P+1)-INDEX(CdP,2,i_P+0))/(INDEX(CdP,1,i_P+1)-INDEX(CdP,1,i_P+0))*(t-pas/2-T_ini-INDEX(CdP,1,i_P+0))+INDEX(CdP,2,i_P+0)</f>
        <v>0</v>
      </c>
      <c r="R806" s="418" t="n">
        <f aca="false">Poussee/(g*ISP)</f>
        <v>0</v>
      </c>
      <c r="S806" s="419" t="n">
        <f aca="false">S805-Débit*pas</f>
        <v>7.37799999999998</v>
      </c>
      <c r="T806" s="417" t="n">
        <f aca="false">m*g</f>
        <v>72.3781799999998</v>
      </c>
      <c r="U806" s="421" t="n">
        <f aca="false">IF(pos_xz&lt;L_rampe,Poids*COS(Beta),0)</f>
        <v>0</v>
      </c>
      <c r="V806" s="418" t="n">
        <f aca="false">Rho_moyen*(20000-Alt_rampe-pos_z)/(20000+Alt_rampe+pos_z)</f>
        <v>1.22618655434055</v>
      </c>
      <c r="W806" s="417" t="n">
        <f aca="false">1/2*Rho*Sref*Cx*vit_xz^2</f>
        <v>58.0730229914194</v>
      </c>
      <c r="X806" s="401"/>
      <c r="Y806" s="422" t="str">
        <f aca="false">IF(AND(pos_z&lt;=0,K805&gt;0),"Impact balistique","") &amp; IF(AND(H807&lt;0,vit_z&gt;=0),"Apogée","") &amp; IF(AND(Poussee=0,Q805&gt;0),"Fin de propulsion","") &amp; IF(AND(L807&gt;L_rampe,pos_xz&lt;=L_rampe),"Sortie de rampe","")</f>
        <v/>
      </c>
      <c r="Z806" s="423" t="str">
        <f aca="false">IF(ABS(t-T_para)&lt;pas/2,"Para","")</f>
        <v/>
      </c>
      <c r="AA806" s="424" t="str">
        <f aca="false">IF(ABS(t-T_satellite)&lt;pas/2,"Satellite","")</f>
        <v/>
      </c>
      <c r="AB806" s="412"/>
      <c r="AC806" s="420" t="e">
        <f aca="false">IF(ABS(t-ROUND(t,0))&lt;0.001,t,NA())</f>
        <v>#N/A</v>
      </c>
      <c r="AD806" s="425" t="e">
        <f aca="false">IF(ABS(t-ROUND(t,0))&lt;0.001,pos_x,NA())</f>
        <v>#N/A</v>
      </c>
      <c r="AE806" s="426" t="e">
        <f aca="false">IF(t&lt;T_para, pos_z, NA())</f>
        <v>#N/A</v>
      </c>
      <c r="AF806" s="412"/>
      <c r="AG806" s="418" t="n">
        <f aca="false">IF(AND(L805&lt;L_rampe,Poussee&lt;Poids*SIN(M805)),0,(-W805+Poussee)/m-Poids*SIN(M805)/m)</f>
        <v>1.88927370422639</v>
      </c>
      <c r="AH806" s="417" t="n">
        <f aca="false">IF(AND(L805&lt;L_rampe,Poussee&lt;Poids*SIN(M805)), g*SIN(M805), (-W805+Poussee)/m)</f>
        <v>-7.87107271268823</v>
      </c>
    </row>
    <row r="807" customFormat="false" ht="12" hidden="false" customHeight="false" outlineLevel="0" collapsed="false">
      <c r="A807" s="416" t="n">
        <f aca="false">IF(B806+0.01&lt;=T_ini+ROUNDUP(Temps_fin_propu,0), 0.01, IF(K806&gt;0, 0.1, 0.0001))</f>
        <v>0.0001</v>
      </c>
      <c r="B807" s="417" t="n">
        <f aca="false">B806+pas</f>
        <v>36.3080000000005</v>
      </c>
      <c r="C807" s="401"/>
      <c r="D807" s="418" t="n">
        <f aca="false">IF(AND(L806&lt;L_rampe,Poussee&lt;Poids*SIN(M806)),0,(-W806+Poussee)/m*COS(M806)-U806/m*SIN(M806))</f>
        <v>-0.790929753498432</v>
      </c>
      <c r="E807" s="419" t="n">
        <f aca="false">IF(AND(L806&lt;L_rampe,Poussee&lt;Poids*SIN(M806)),0,(-W806+Poussee)/m*SIN(M806)+U806/m*COS(M806)-Poids/m)</f>
        <v>-1.97873279565321</v>
      </c>
      <c r="F807" s="417" t="n">
        <f aca="false">SQRT(acc_x^2+acc_z^2)</f>
        <v>2.13095127855206</v>
      </c>
      <c r="G807" s="418" t="n">
        <f aca="false">G806+acc_x*pas</f>
        <v>12.4706893809432</v>
      </c>
      <c r="H807" s="419" t="n">
        <f aca="false">H806+acc_z*pas</f>
        <v>-123.477560724814</v>
      </c>
      <c r="I807" s="417" t="n">
        <f aca="false">SQRT(vit_x^2+vit_z^2)</f>
        <v>124.105705332938</v>
      </c>
      <c r="J807" s="418" t="n">
        <f aca="false">J806+0.5*(vit_x+G806)*pas*(K806&gt;=0)</f>
        <v>913.614336176273</v>
      </c>
      <c r="K807" s="419" t="n">
        <f aca="false">K806+0.5*(vit_z+H806)*pas</f>
        <v>-9.69381681631211</v>
      </c>
      <c r="L807" s="417" t="n">
        <f aca="false">SQRT(pos_x^2+pos_z^2)</f>
        <v>913.665762383204</v>
      </c>
      <c r="M807" s="418" t="n">
        <f aca="false">IF(AND(L806&gt;L_rampe,G807&gt;0),ATAN2(G807,H807),$M$4)</f>
        <v>-1.47014203683193</v>
      </c>
      <c r="N807" s="417" t="n">
        <f aca="false">DEGREES(Beta)</f>
        <v>-84.232933995236</v>
      </c>
      <c r="O807" s="401"/>
      <c r="P807" s="420" t="n">
        <f aca="false">MATCH(t-pas/2-T_ini,CdP_t)</f>
        <v>23</v>
      </c>
      <c r="Q807" s="417" t="n">
        <f aca="false">(INDEX(CdP,2,i_P+1)-INDEX(CdP,2,i_P+0))/(INDEX(CdP,1,i_P+1)-INDEX(CdP,1,i_P+0))*(t-pas/2-T_ini-INDEX(CdP,1,i_P+0))+INDEX(CdP,2,i_P+0)</f>
        <v>0</v>
      </c>
      <c r="R807" s="418" t="n">
        <f aca="false">Poussee/(g*ISP)</f>
        <v>0</v>
      </c>
      <c r="S807" s="419" t="n">
        <f aca="false">S806-Débit*pas</f>
        <v>7.37799999999998</v>
      </c>
      <c r="T807" s="417" t="n">
        <f aca="false">m*g</f>
        <v>72.3781799999998</v>
      </c>
      <c r="U807" s="421" t="n">
        <f aca="false">IF(pos_xz&lt;L_rampe,Poids*COS(Beta),0)</f>
        <v>0</v>
      </c>
      <c r="V807" s="418" t="n">
        <f aca="false">Rho_moyen*(20000-Alt_rampe-pos_z)/(20000+Alt_rampe+pos_z)</f>
        <v>1.22618806840587</v>
      </c>
      <c r="W807" s="417" t="n">
        <f aca="false">1/2*Rho*Sref*Cx*vit_xz^2</f>
        <v>58.0732715064554</v>
      </c>
      <c r="X807" s="401"/>
      <c r="Y807" s="422" t="str">
        <f aca="false">IF(AND(pos_z&lt;=0,K806&gt;0),"Impact balistique","") &amp; IF(AND(H808&lt;0,vit_z&gt;=0),"Apogée","") &amp; IF(AND(Poussee=0,Q806&gt;0),"Fin de propulsion","") &amp; IF(AND(L808&gt;L_rampe,pos_xz&lt;=L_rampe),"Sortie de rampe","")</f>
        <v/>
      </c>
      <c r="Z807" s="423" t="str">
        <f aca="false">IF(ABS(t-T_para)&lt;pas/2,"Para","")</f>
        <v/>
      </c>
      <c r="AA807" s="424" t="str">
        <f aca="false">IF(ABS(t-T_satellite)&lt;pas/2,"Satellite","")</f>
        <v/>
      </c>
      <c r="AB807" s="412"/>
      <c r="AC807" s="420" t="e">
        <f aca="false">IF(ABS(t-ROUND(t,0))&lt;0.001,t,NA())</f>
        <v>#N/A</v>
      </c>
      <c r="AD807" s="425" t="e">
        <f aca="false">IF(ABS(t-ROUND(t,0))&lt;0.001,pos_x,NA())</f>
        <v>#N/A</v>
      </c>
      <c r="AE807" s="426" t="e">
        <f aca="false">IF(t&lt;T_para, pos_z, NA())</f>
        <v>#N/A</v>
      </c>
      <c r="AF807" s="412"/>
      <c r="AG807" s="418" t="n">
        <f aca="false">IF(AND(L806&lt;L_rampe,Poussee&lt;Poids*SIN(M806)),0,(-W806+Poussee)/m-Poids*SIN(M806)/m)</f>
        <v>1.88924080367011</v>
      </c>
      <c r="AH807" s="417" t="n">
        <f aca="false">IF(AND(L806&lt;L_rampe,Poussee&lt;Poids*SIN(M806)), g*SIN(M806), (-W806+Poussee)/m)</f>
        <v>-7.87110639623469</v>
      </c>
    </row>
    <row r="808" customFormat="false" ht="12" hidden="false" customHeight="false" outlineLevel="0" collapsed="false">
      <c r="A808" s="416" t="n">
        <f aca="false">IF(B807+0.01&lt;=T_ini+ROUNDUP(Temps_fin_propu,0), 0.01, IF(K807&gt;0, 0.1, 0.0001))</f>
        <v>0.0001</v>
      </c>
      <c r="B808" s="417" t="n">
        <f aca="false">B807+pas</f>
        <v>36.3081000000005</v>
      </c>
      <c r="C808" s="401"/>
      <c r="D808" s="418" t="n">
        <f aca="false">IF(AND(L807&lt;L_rampe,Poussee&lt;Poids*SIN(M807)),0,(-W807+Poussee)/m*COS(M807)-U807/m*SIN(M807))</f>
        <v>-0.790926917838679</v>
      </c>
      <c r="E808" s="419" t="n">
        <f aca="false">IF(AND(L807&lt;L_rampe,Poussee&lt;Poids*SIN(M807)),0,(-W807+Poussee)/m*SIN(M807)+U807/m*COS(M807)-Poids/m)</f>
        <v>-1.97869865465862</v>
      </c>
      <c r="F808" s="417" t="n">
        <f aca="false">SQRT(acc_x^2+acc_z^2)</f>
        <v>2.13091852385529</v>
      </c>
      <c r="G808" s="418" t="n">
        <f aca="false">G807+acc_x*pas</f>
        <v>12.4706102882515</v>
      </c>
      <c r="H808" s="419" t="n">
        <f aca="false">H807+acc_z*pas</f>
        <v>-123.477758594679</v>
      </c>
      <c r="I808" s="417" t="n">
        <f aca="false">SQRT(vit_x^2+vit_z^2)</f>
        <v>124.105894253768</v>
      </c>
      <c r="J808" s="418" t="n">
        <f aca="false">J807+0.5*(vit_x+G807)*pas*(K807&gt;=0)</f>
        <v>913.614336176273</v>
      </c>
      <c r="K808" s="419" t="n">
        <f aca="false">K807+0.5*(vit_z+H807)*pas</f>
        <v>-9.70616458227809</v>
      </c>
      <c r="L808" s="417" t="n">
        <f aca="false">SQRT(pos_x^2+pos_z^2)</f>
        <v>913.665893474037</v>
      </c>
      <c r="M808" s="418" t="n">
        <f aca="false">IF(AND(L807&gt;L_rampe,G808&gt;0),ATAN2(G808,H808),$M$4)</f>
        <v>-1.47014283111502</v>
      </c>
      <c r="N808" s="417" t="n">
        <f aca="false">DEGREES(Beta)</f>
        <v>-84.2329795043045</v>
      </c>
      <c r="O808" s="401"/>
      <c r="P808" s="420" t="n">
        <f aca="false">MATCH(t-pas/2-T_ini,CdP_t)</f>
        <v>23</v>
      </c>
      <c r="Q808" s="417" t="n">
        <f aca="false">(INDEX(CdP,2,i_P+1)-INDEX(CdP,2,i_P+0))/(INDEX(CdP,1,i_P+1)-INDEX(CdP,1,i_P+0))*(t-pas/2-T_ini-INDEX(CdP,1,i_P+0))+INDEX(CdP,2,i_P+0)</f>
        <v>0</v>
      </c>
      <c r="R808" s="418" t="n">
        <f aca="false">Poussee/(g*ISP)</f>
        <v>0</v>
      </c>
      <c r="S808" s="419" t="n">
        <f aca="false">S807-Débit*pas</f>
        <v>7.37799999999998</v>
      </c>
      <c r="T808" s="417" t="n">
        <f aca="false">m*g</f>
        <v>72.3781799999998</v>
      </c>
      <c r="U808" s="421" t="n">
        <f aca="false">IF(pos_xz&lt;L_rampe,Poids*COS(Beta),0)</f>
        <v>0</v>
      </c>
      <c r="V808" s="418" t="n">
        <f aca="false">Rho_moyen*(20000-Alt_rampe-pos_z)/(20000+Alt_rampe+pos_z)</f>
        <v>1.22618958247549</v>
      </c>
      <c r="W808" s="417" t="n">
        <f aca="false">1/2*Rho*Sref*Cx*vit_xz^2</f>
        <v>58.0735200193217</v>
      </c>
      <c r="X808" s="401"/>
      <c r="Y808" s="422" t="str">
        <f aca="false">IF(AND(pos_z&lt;=0,K807&gt;0),"Impact balistique","") &amp; IF(AND(H809&lt;0,vit_z&gt;=0),"Apogée","") &amp; IF(AND(Poussee=0,Q807&gt;0),"Fin de propulsion","") &amp; IF(AND(L809&gt;L_rampe,pos_xz&lt;=L_rampe),"Sortie de rampe","")</f>
        <v/>
      </c>
      <c r="Z808" s="423" t="str">
        <f aca="false">IF(ABS(t-T_para)&lt;pas/2,"Para","")</f>
        <v/>
      </c>
      <c r="AA808" s="424" t="str">
        <f aca="false">IF(ABS(t-T_satellite)&lt;pas/2,"Satellite","")</f>
        <v/>
      </c>
      <c r="AB808" s="412"/>
      <c r="AC808" s="420" t="e">
        <f aca="false">IF(ABS(t-ROUND(t,0))&lt;0.001,t,NA())</f>
        <v>#N/A</v>
      </c>
      <c r="AD808" s="425" t="e">
        <f aca="false">IF(ABS(t-ROUND(t,0))&lt;0.001,pos_x,NA())</f>
        <v>#N/A</v>
      </c>
      <c r="AE808" s="426" t="e">
        <f aca="false">IF(t&lt;T_para, pos_z, NA())</f>
        <v>#N/A</v>
      </c>
      <c r="AF808" s="412"/>
      <c r="AG808" s="418" t="n">
        <f aca="false">IF(AND(L807&lt;L_rampe,Poussee&lt;Poids*SIN(M807)),0,(-W807+Poussee)/m-Poids*SIN(M807)/m)</f>
        <v>1.8892079033944</v>
      </c>
      <c r="AH808" s="417" t="n">
        <f aca="false">IF(AND(L807&lt;L_rampe,Poussee&lt;Poids*SIN(M807)), g*SIN(M807), (-W807+Poussee)/m)</f>
        <v>-7.87114007948706</v>
      </c>
    </row>
    <row r="809" customFormat="false" ht="12" hidden="false" customHeight="false" outlineLevel="0" collapsed="false">
      <c r="A809" s="416" t="n">
        <f aca="false">IF(B808+0.01&lt;=T_ini+ROUNDUP(Temps_fin_propu,0), 0.01, IF(K808&gt;0, 0.1, 0.0001))</f>
        <v>0.0001</v>
      </c>
      <c r="B809" s="417" t="n">
        <f aca="false">B808+pas</f>
        <v>36.3082000000005</v>
      </c>
      <c r="C809" s="401"/>
      <c r="D809" s="418" t="n">
        <f aca="false">IF(AND(L808&lt;L_rampe,Poussee&lt;Poids*SIN(M808)),0,(-W808+Poussee)/m*COS(M808)-U808/m*SIN(M808))</f>
        <v>-0.790924082154026</v>
      </c>
      <c r="E809" s="419" t="n">
        <f aca="false">IF(AND(L808&lt;L_rampe,Poussee&lt;Poids*SIN(M808)),0,(-W808+Poussee)/m*SIN(M808)+U808/m*COS(M808)-Poids/m)</f>
        <v>-1.97866451396207</v>
      </c>
      <c r="F809" s="417" t="n">
        <f aca="false">SQRT(acc_x^2+acc_z^2)</f>
        <v>2.13088576947333</v>
      </c>
      <c r="G809" s="418" t="n">
        <f aca="false">G808+acc_x*pas</f>
        <v>12.4705311958432</v>
      </c>
      <c r="H809" s="419" t="n">
        <f aca="false">H808+acc_z*pas</f>
        <v>-123.477956461131</v>
      </c>
      <c r="I809" s="417" t="n">
        <f aca="false">SQRT(vit_x^2+vit_z^2)</f>
        <v>124.106083171307</v>
      </c>
      <c r="J809" s="418" t="n">
        <f aca="false">J808+0.5*(vit_x+G808)*pas*(K808&gt;=0)</f>
        <v>913.614336176273</v>
      </c>
      <c r="K809" s="419" t="n">
        <f aca="false">K808+0.5*(vit_z+H808)*pas</f>
        <v>-9.71851236803088</v>
      </c>
      <c r="L809" s="417" t="n">
        <f aca="false">SQRT(pos_x^2+pos_z^2)</f>
        <v>913.666024731937</v>
      </c>
      <c r="M809" s="418" t="n">
        <f aca="false">IF(AND(L808&gt;L_rampe,G809&gt;0),ATAN2(G809,H809),$M$4)</f>
        <v>-1.47014362539064</v>
      </c>
      <c r="N809" s="417" t="n">
        <f aca="false">DEGREES(Beta)</f>
        <v>-84.2330250129459</v>
      </c>
      <c r="O809" s="401"/>
      <c r="P809" s="420" t="n">
        <f aca="false">MATCH(t-pas/2-T_ini,CdP_t)</f>
        <v>23</v>
      </c>
      <c r="Q809" s="417" t="n">
        <f aca="false">(INDEX(CdP,2,i_P+1)-INDEX(CdP,2,i_P+0))/(INDEX(CdP,1,i_P+1)-INDEX(CdP,1,i_P+0))*(t-pas/2-T_ini-INDEX(CdP,1,i_P+0))+INDEX(CdP,2,i_P+0)</f>
        <v>0</v>
      </c>
      <c r="R809" s="418" t="n">
        <f aca="false">Poussee/(g*ISP)</f>
        <v>0</v>
      </c>
      <c r="S809" s="419" t="n">
        <f aca="false">S808-Débit*pas</f>
        <v>7.37799999999998</v>
      </c>
      <c r="T809" s="417" t="n">
        <f aca="false">m*g</f>
        <v>72.3781799999998</v>
      </c>
      <c r="U809" s="421" t="n">
        <f aca="false">IF(pos_xz&lt;L_rampe,Poids*COS(Beta),0)</f>
        <v>0</v>
      </c>
      <c r="V809" s="418" t="n">
        <f aca="false">Rho_moyen*(20000-Alt_rampe-pos_z)/(20000+Alt_rampe+pos_z)</f>
        <v>1.22619109654941</v>
      </c>
      <c r="W809" s="417" t="n">
        <f aca="false">1/2*Rho*Sref*Cx*vit_xz^2</f>
        <v>58.0737685300182</v>
      </c>
      <c r="X809" s="401"/>
      <c r="Y809" s="422" t="str">
        <f aca="false">IF(AND(pos_z&lt;=0,K808&gt;0),"Impact balistique","") &amp; IF(AND(H810&lt;0,vit_z&gt;=0),"Apogée","") &amp; IF(AND(Poussee=0,Q808&gt;0),"Fin de propulsion","") &amp; IF(AND(L810&gt;L_rampe,pos_xz&lt;=L_rampe),"Sortie de rampe","")</f>
        <v/>
      </c>
      <c r="Z809" s="423" t="str">
        <f aca="false">IF(ABS(t-T_para)&lt;pas/2,"Para","")</f>
        <v/>
      </c>
      <c r="AA809" s="424" t="str">
        <f aca="false">IF(ABS(t-T_satellite)&lt;pas/2,"Satellite","")</f>
        <v/>
      </c>
      <c r="AB809" s="412"/>
      <c r="AC809" s="420" t="e">
        <f aca="false">IF(ABS(t-ROUND(t,0))&lt;0.001,t,NA())</f>
        <v>#N/A</v>
      </c>
      <c r="AD809" s="425" t="e">
        <f aca="false">IF(ABS(t-ROUND(t,0))&lt;0.001,pos_x,NA())</f>
        <v>#N/A</v>
      </c>
      <c r="AE809" s="426" t="e">
        <f aca="false">IF(t&lt;T_para, pos_z, NA())</f>
        <v>#N/A</v>
      </c>
      <c r="AF809" s="412"/>
      <c r="AG809" s="418" t="n">
        <f aca="false">IF(AND(L808&lt;L_rampe,Poussee&lt;Poids*SIN(M808)),0,(-W808+Poussee)/m-Poids*SIN(M808)/m)</f>
        <v>1.88917500339928</v>
      </c>
      <c r="AH809" s="417" t="n">
        <f aca="false">IF(AND(L808&lt;L_rampe,Poussee&lt;Poids*SIN(M808)), g*SIN(M808), (-W808+Poussee)/m)</f>
        <v>-7.87117376244535</v>
      </c>
    </row>
    <row r="810" customFormat="false" ht="12" hidden="false" customHeight="false" outlineLevel="0" collapsed="false">
      <c r="A810" s="416" t="n">
        <f aca="false">IF(B809+0.01&lt;=T_ini+ROUNDUP(Temps_fin_propu,0), 0.01, IF(K809&gt;0, 0.1, 0.0001))</f>
        <v>0.0001</v>
      </c>
      <c r="B810" s="417" t="n">
        <f aca="false">B809+pas</f>
        <v>36.3083000000005</v>
      </c>
      <c r="C810" s="401"/>
      <c r="D810" s="418" t="n">
        <f aca="false">IF(AND(L809&lt;L_rampe,Poussee&lt;Poids*SIN(M809)),0,(-W809+Poussee)/m*COS(M809)-U809/m*SIN(M809))</f>
        <v>-0.790921246444477</v>
      </c>
      <c r="E810" s="419" t="n">
        <f aca="false">IF(AND(L809&lt;L_rampe,Poussee&lt;Poids*SIN(M809)),0,(-W809+Poussee)/m*SIN(M809)+U809/m*COS(M809)-Poids/m)</f>
        <v>-1.97863037356359</v>
      </c>
      <c r="F810" s="417" t="n">
        <f aca="false">SQRT(acc_x^2+acc_z^2)</f>
        <v>2.13085301540619</v>
      </c>
      <c r="G810" s="418" t="n">
        <f aca="false">G809+acc_x*pas</f>
        <v>12.4704521037186</v>
      </c>
      <c r="H810" s="419" t="n">
        <f aca="false">H809+acc_z*pas</f>
        <v>-123.478154324168</v>
      </c>
      <c r="I810" s="417" t="n">
        <f aca="false">SQRT(vit_x^2+vit_z^2)</f>
        <v>124.106272085557</v>
      </c>
      <c r="J810" s="418" t="n">
        <f aca="false">J809+0.5*(vit_x+G809)*pas*(K809&gt;=0)</f>
        <v>913.614336176273</v>
      </c>
      <c r="K810" s="419" t="n">
        <f aca="false">K809+0.5*(vit_z+H809)*pas</f>
        <v>-9.73086017357014</v>
      </c>
      <c r="L810" s="417" t="n">
        <f aca="false">SQRT(pos_x^2+pos_z^2)</f>
        <v>913.666156156903</v>
      </c>
      <c r="M810" s="418" t="n">
        <f aca="false">IF(AND(L809&gt;L_rampe,G810&gt;0),ATAN2(G810,H810),$M$4)</f>
        <v>-1.47014441965882</v>
      </c>
      <c r="N810" s="417" t="n">
        <f aca="false">DEGREES(Beta)</f>
        <v>-84.23307052116</v>
      </c>
      <c r="O810" s="401"/>
      <c r="P810" s="420" t="n">
        <f aca="false">MATCH(t-pas/2-T_ini,CdP_t)</f>
        <v>23</v>
      </c>
      <c r="Q810" s="417" t="n">
        <f aca="false">(INDEX(CdP,2,i_P+1)-INDEX(CdP,2,i_P+0))/(INDEX(CdP,1,i_P+1)-INDEX(CdP,1,i_P+0))*(t-pas/2-T_ini-INDEX(CdP,1,i_P+0))+INDEX(CdP,2,i_P+0)</f>
        <v>0</v>
      </c>
      <c r="R810" s="418" t="n">
        <f aca="false">Poussee/(g*ISP)</f>
        <v>0</v>
      </c>
      <c r="S810" s="419" t="n">
        <f aca="false">S809-Débit*pas</f>
        <v>7.37799999999998</v>
      </c>
      <c r="T810" s="417" t="n">
        <f aca="false">m*g</f>
        <v>72.3781799999998</v>
      </c>
      <c r="U810" s="421" t="n">
        <f aca="false">IF(pos_xz&lt;L_rampe,Poids*COS(Beta),0)</f>
        <v>0</v>
      </c>
      <c r="V810" s="418" t="n">
        <f aca="false">Rho_moyen*(20000-Alt_rampe-pos_z)/(20000+Alt_rampe+pos_z)</f>
        <v>1.22619261062763</v>
      </c>
      <c r="W810" s="417" t="n">
        <f aca="false">1/2*Rho*Sref*Cx*vit_xz^2</f>
        <v>58.0740170385449</v>
      </c>
      <c r="X810" s="401"/>
      <c r="Y810" s="422" t="str">
        <f aca="false">IF(AND(pos_z&lt;=0,K809&gt;0),"Impact balistique","") &amp; IF(AND(H811&lt;0,vit_z&gt;=0),"Apogée","") &amp; IF(AND(Poussee=0,Q809&gt;0),"Fin de propulsion","") &amp; IF(AND(L811&gt;L_rampe,pos_xz&lt;=L_rampe),"Sortie de rampe","")</f>
        <v/>
      </c>
      <c r="Z810" s="423" t="str">
        <f aca="false">IF(ABS(t-T_para)&lt;pas/2,"Para","")</f>
        <v/>
      </c>
      <c r="AA810" s="424" t="str">
        <f aca="false">IF(ABS(t-T_satellite)&lt;pas/2,"Satellite","")</f>
        <v/>
      </c>
      <c r="AB810" s="412"/>
      <c r="AC810" s="420" t="e">
        <f aca="false">IF(ABS(t-ROUND(t,0))&lt;0.001,t,NA())</f>
        <v>#N/A</v>
      </c>
      <c r="AD810" s="425" t="e">
        <f aca="false">IF(ABS(t-ROUND(t,0))&lt;0.001,pos_x,NA())</f>
        <v>#N/A</v>
      </c>
      <c r="AE810" s="426" t="e">
        <f aca="false">IF(t&lt;T_para, pos_z, NA())</f>
        <v>#N/A</v>
      </c>
      <c r="AF810" s="412"/>
      <c r="AG810" s="418" t="n">
        <f aca="false">IF(AND(L809&lt;L_rampe,Poussee&lt;Poids*SIN(M809)),0,(-W809+Poussee)/m-Poids*SIN(M809)/m)</f>
        <v>1.88914210368473</v>
      </c>
      <c r="AH810" s="417" t="n">
        <f aca="false">IF(AND(L809&lt;L_rampe,Poussee&lt;Poids*SIN(M809)), g*SIN(M809), (-W809+Poussee)/m)</f>
        <v>-7.87120744510955</v>
      </c>
    </row>
    <row r="811" customFormat="false" ht="12" hidden="false" customHeight="false" outlineLevel="0" collapsed="false">
      <c r="A811" s="416" t="n">
        <f aca="false">IF(B810+0.01&lt;=T_ini+ROUNDUP(Temps_fin_propu,0), 0.01, IF(K810&gt;0, 0.1, 0.0001))</f>
        <v>0.0001</v>
      </c>
      <c r="B811" s="417" t="n">
        <f aca="false">B810+pas</f>
        <v>36.3084000000005</v>
      </c>
      <c r="C811" s="401"/>
      <c r="D811" s="418" t="n">
        <f aca="false">IF(AND(L810&lt;L_rampe,Poussee&lt;Poids*SIN(M810)),0,(-W810+Poussee)/m*COS(M810)-U810/m*SIN(M810))</f>
        <v>-0.790918410710031</v>
      </c>
      <c r="E811" s="419" t="n">
        <f aca="false">IF(AND(L810&lt;L_rampe,Poussee&lt;Poids*SIN(M810)),0,(-W810+Poussee)/m*SIN(M810)+U810/m*COS(M810)-Poids/m)</f>
        <v>-1.97859623346316</v>
      </c>
      <c r="F811" s="417" t="n">
        <f aca="false">SQRT(acc_x^2+acc_z^2)</f>
        <v>2.13082026165388</v>
      </c>
      <c r="G811" s="418" t="n">
        <f aca="false">G810+acc_x*pas</f>
        <v>12.4703730118775</v>
      </c>
      <c r="H811" s="419" t="n">
        <f aca="false">H810+acc_z*pas</f>
        <v>-123.478352183791</v>
      </c>
      <c r="I811" s="417" t="n">
        <f aca="false">SQRT(vit_x^2+vit_z^2)</f>
        <v>124.106460996516</v>
      </c>
      <c r="J811" s="418" t="n">
        <f aca="false">J810+0.5*(vit_x+G810)*pas*(K810&gt;=0)</f>
        <v>913.614336176273</v>
      </c>
      <c r="K811" s="419" t="n">
        <f aca="false">K810+0.5*(vit_z+H810)*pas</f>
        <v>-9.74320799889554</v>
      </c>
      <c r="L811" s="417" t="n">
        <f aca="false">SQRT(pos_x^2+pos_z^2)</f>
        <v>913.666287748936</v>
      </c>
      <c r="M811" s="418" t="n">
        <f aca="false">IF(AND(L810&gt;L_rampe,G811&gt;0),ATAN2(G811,H811),$M$4)</f>
        <v>-1.47014521391954</v>
      </c>
      <c r="N811" s="417" t="n">
        <f aca="false">DEGREES(Beta)</f>
        <v>-84.233116028947</v>
      </c>
      <c r="O811" s="401"/>
      <c r="P811" s="420" t="n">
        <f aca="false">MATCH(t-pas/2-T_ini,CdP_t)</f>
        <v>23</v>
      </c>
      <c r="Q811" s="417" t="n">
        <f aca="false">(INDEX(CdP,2,i_P+1)-INDEX(CdP,2,i_P+0))/(INDEX(CdP,1,i_P+1)-INDEX(CdP,1,i_P+0))*(t-pas/2-T_ini-INDEX(CdP,1,i_P+0))+INDEX(CdP,2,i_P+0)</f>
        <v>0</v>
      </c>
      <c r="R811" s="418" t="n">
        <f aca="false">Poussee/(g*ISP)</f>
        <v>0</v>
      </c>
      <c r="S811" s="419" t="n">
        <f aca="false">S810-Débit*pas</f>
        <v>7.37799999999998</v>
      </c>
      <c r="T811" s="417" t="n">
        <f aca="false">m*g</f>
        <v>72.3781799999998</v>
      </c>
      <c r="U811" s="421" t="n">
        <f aca="false">IF(pos_xz&lt;L_rampe,Poids*COS(Beta),0)</f>
        <v>0</v>
      </c>
      <c r="V811" s="418" t="n">
        <f aca="false">Rho_moyen*(20000-Alt_rampe-pos_z)/(20000+Alt_rampe+pos_z)</f>
        <v>1.22619412471014</v>
      </c>
      <c r="W811" s="417" t="n">
        <f aca="false">1/2*Rho*Sref*Cx*vit_xz^2</f>
        <v>58.0742655449019</v>
      </c>
      <c r="X811" s="401"/>
      <c r="Y811" s="422" t="str">
        <f aca="false">IF(AND(pos_z&lt;=0,K810&gt;0),"Impact balistique","") &amp; IF(AND(H812&lt;0,vit_z&gt;=0),"Apogée","") &amp; IF(AND(Poussee=0,Q810&gt;0),"Fin de propulsion","") &amp; IF(AND(L812&gt;L_rampe,pos_xz&lt;=L_rampe),"Sortie de rampe","")</f>
        <v/>
      </c>
      <c r="Z811" s="423" t="str">
        <f aca="false">IF(ABS(t-T_para)&lt;pas/2,"Para","")</f>
        <v/>
      </c>
      <c r="AA811" s="424" t="str">
        <f aca="false">IF(ABS(t-T_satellite)&lt;pas/2,"Satellite","")</f>
        <v/>
      </c>
      <c r="AB811" s="412"/>
      <c r="AC811" s="420" t="e">
        <f aca="false">IF(ABS(t-ROUND(t,0))&lt;0.001,t,NA())</f>
        <v>#N/A</v>
      </c>
      <c r="AD811" s="425" t="e">
        <f aca="false">IF(ABS(t-ROUND(t,0))&lt;0.001,pos_x,NA())</f>
        <v>#N/A</v>
      </c>
      <c r="AE811" s="426" t="e">
        <f aca="false">IF(t&lt;T_para, pos_z, NA())</f>
        <v>#N/A</v>
      </c>
      <c r="AF811" s="412"/>
      <c r="AG811" s="418" t="n">
        <f aca="false">IF(AND(L810&lt;L_rampe,Poussee&lt;Poids*SIN(M810)),0,(-W810+Poussee)/m-Poids*SIN(M810)/m)</f>
        <v>1.88910920425075</v>
      </c>
      <c r="AH811" s="417" t="n">
        <f aca="false">IF(AND(L810&lt;L_rampe,Poussee&lt;Poids*SIN(M810)), g*SIN(M810), (-W810+Poussee)/m)</f>
        <v>-7.87124112747967</v>
      </c>
    </row>
    <row r="812" customFormat="false" ht="12" hidden="false" customHeight="false" outlineLevel="0" collapsed="false">
      <c r="A812" s="416" t="n">
        <f aca="false">IF(B811+0.01&lt;=T_ini+ROUNDUP(Temps_fin_propu,0), 0.01, IF(K811&gt;0, 0.1, 0.0001))</f>
        <v>0.0001</v>
      </c>
      <c r="B812" s="417" t="n">
        <f aca="false">B811+pas</f>
        <v>36.3085000000005</v>
      </c>
      <c r="C812" s="401"/>
      <c r="D812" s="418" t="n">
        <f aca="false">IF(AND(L811&lt;L_rampe,Poussee&lt;Poids*SIN(M811)),0,(-W811+Poussee)/m*COS(M811)-U811/m*SIN(M811))</f>
        <v>-0.790915574950689</v>
      </c>
      <c r="E812" s="419" t="n">
        <f aca="false">IF(AND(L811&lt;L_rampe,Poussee&lt;Poids*SIN(M811)),0,(-W811+Poussee)/m*SIN(M811)+U811/m*COS(M811)-Poids/m)</f>
        <v>-1.97856209366079</v>
      </c>
      <c r="F812" s="417" t="n">
        <f aca="false">SQRT(acc_x^2+acc_z^2)</f>
        <v>2.13078750821638</v>
      </c>
      <c r="G812" s="418" t="n">
        <f aca="false">G811+acc_x*pas</f>
        <v>12.47029392032</v>
      </c>
      <c r="H812" s="419" t="n">
        <f aca="false">H811+acc_z*pas</f>
        <v>-123.478550040001</v>
      </c>
      <c r="I812" s="417" t="n">
        <f aca="false">SQRT(vit_x^2+vit_z^2)</f>
        <v>124.106649904186</v>
      </c>
      <c r="J812" s="418" t="n">
        <f aca="false">J811+0.5*(vit_x+G811)*pas*(K811&gt;=0)</f>
        <v>913.614336176273</v>
      </c>
      <c r="K812" s="419" t="n">
        <f aca="false">K811+0.5*(vit_z+H811)*pas</f>
        <v>-9.75555584400673</v>
      </c>
      <c r="L812" s="417" t="n">
        <f aca="false">SQRT(pos_x^2+pos_z^2)</f>
        <v>913.666419508038</v>
      </c>
      <c r="M812" s="418" t="n">
        <f aca="false">IF(AND(L811&gt;L_rampe,G812&gt;0),ATAN2(G812,H812),$M$4)</f>
        <v>-1.4701460081728</v>
      </c>
      <c r="N812" s="417" t="n">
        <f aca="false">DEGREES(Beta)</f>
        <v>-84.2331615363068</v>
      </c>
      <c r="O812" s="401"/>
      <c r="P812" s="420" t="n">
        <f aca="false">MATCH(t-pas/2-T_ini,CdP_t)</f>
        <v>23</v>
      </c>
      <c r="Q812" s="417" t="n">
        <f aca="false">(INDEX(CdP,2,i_P+1)-INDEX(CdP,2,i_P+0))/(INDEX(CdP,1,i_P+1)-INDEX(CdP,1,i_P+0))*(t-pas/2-T_ini-INDEX(CdP,1,i_P+0))+INDEX(CdP,2,i_P+0)</f>
        <v>0</v>
      </c>
      <c r="R812" s="418" t="n">
        <f aca="false">Poussee/(g*ISP)</f>
        <v>0</v>
      </c>
      <c r="S812" s="419" t="n">
        <f aca="false">S811-Débit*pas</f>
        <v>7.37799999999998</v>
      </c>
      <c r="T812" s="417" t="n">
        <f aca="false">m*g</f>
        <v>72.3781799999998</v>
      </c>
      <c r="U812" s="421" t="n">
        <f aca="false">IF(pos_xz&lt;L_rampe,Poids*COS(Beta),0)</f>
        <v>0</v>
      </c>
      <c r="V812" s="418" t="n">
        <f aca="false">Rho_moyen*(20000-Alt_rampe-pos_z)/(20000+Alt_rampe+pos_z)</f>
        <v>1.22619563879694</v>
      </c>
      <c r="W812" s="417" t="n">
        <f aca="false">1/2*Rho*Sref*Cx*vit_xz^2</f>
        <v>58.0745140490891</v>
      </c>
      <c r="X812" s="401"/>
      <c r="Y812" s="422" t="str">
        <f aca="false">IF(AND(pos_z&lt;=0,K811&gt;0),"Impact balistique","") &amp; IF(AND(H813&lt;0,vit_z&gt;=0),"Apogée","") &amp; IF(AND(Poussee=0,Q811&gt;0),"Fin de propulsion","") &amp; IF(AND(L813&gt;L_rampe,pos_xz&lt;=L_rampe),"Sortie de rampe","")</f>
        <v/>
      </c>
      <c r="Z812" s="423" t="str">
        <f aca="false">IF(ABS(t-T_para)&lt;pas/2,"Para","")</f>
        <v/>
      </c>
      <c r="AA812" s="424" t="str">
        <f aca="false">IF(ABS(t-T_satellite)&lt;pas/2,"Satellite","")</f>
        <v/>
      </c>
      <c r="AB812" s="412"/>
      <c r="AC812" s="420" t="e">
        <f aca="false">IF(ABS(t-ROUND(t,0))&lt;0.001,t,NA())</f>
        <v>#N/A</v>
      </c>
      <c r="AD812" s="425" t="e">
        <f aca="false">IF(ABS(t-ROUND(t,0))&lt;0.001,pos_x,NA())</f>
        <v>#N/A</v>
      </c>
      <c r="AE812" s="426" t="e">
        <f aca="false">IF(t&lt;T_para, pos_z, NA())</f>
        <v>#N/A</v>
      </c>
      <c r="AF812" s="412"/>
      <c r="AG812" s="418" t="n">
        <f aca="false">IF(AND(L811&lt;L_rampe,Poussee&lt;Poids*SIN(M811)),0,(-W811+Poussee)/m-Poids*SIN(M811)/m)</f>
        <v>1.88907630509736</v>
      </c>
      <c r="AH812" s="417" t="n">
        <f aca="false">IF(AND(L811&lt;L_rampe,Poussee&lt;Poids*SIN(M811)), g*SIN(M811), (-W811+Poussee)/m)</f>
        <v>-7.87127480955571</v>
      </c>
    </row>
    <row r="813" customFormat="false" ht="12" hidden="false" customHeight="false" outlineLevel="0" collapsed="false">
      <c r="A813" s="416" t="n">
        <f aca="false">IF(B812+0.01&lt;=T_ini+ROUNDUP(Temps_fin_propu,0), 0.01, IF(K812&gt;0, 0.1, 0.0001))</f>
        <v>0.0001</v>
      </c>
      <c r="B813" s="417" t="n">
        <f aca="false">B812+pas</f>
        <v>36.3086000000005</v>
      </c>
      <c r="C813" s="401"/>
      <c r="D813" s="418" t="n">
        <f aca="false">IF(AND(L812&lt;L_rampe,Poussee&lt;Poids*SIN(M812)),0,(-W812+Poussee)/m*COS(M812)-U812/m*SIN(M812))</f>
        <v>-0.790912739166451</v>
      </c>
      <c r="E813" s="419" t="n">
        <f aca="false">IF(AND(L812&lt;L_rampe,Poussee&lt;Poids*SIN(M812)),0,(-W812+Poussee)/m*SIN(M812)+U812/m*COS(M812)-Poids/m)</f>
        <v>-1.97852795415647</v>
      </c>
      <c r="F813" s="417" t="n">
        <f aca="false">SQRT(acc_x^2+acc_z^2)</f>
        <v>2.13075475509369</v>
      </c>
      <c r="G813" s="418" t="n">
        <f aca="false">G812+acc_x*pas</f>
        <v>12.4702148290461</v>
      </c>
      <c r="H813" s="419" t="n">
        <f aca="false">H812+acc_z*pas</f>
        <v>-123.478747892796</v>
      </c>
      <c r="I813" s="417" t="n">
        <f aca="false">SQRT(vit_x^2+vit_z^2)</f>
        <v>124.106838808566</v>
      </c>
      <c r="J813" s="418" t="n">
        <f aca="false">J812+0.5*(vit_x+G812)*pas*(K812&gt;=0)</f>
        <v>913.614336176273</v>
      </c>
      <c r="K813" s="419" t="n">
        <f aca="false">K812+0.5*(vit_z+H812)*pas</f>
        <v>-9.76790370890337</v>
      </c>
      <c r="L813" s="417" t="n">
        <f aca="false">SQRT(pos_x^2+pos_z^2)</f>
        <v>913.666551434208</v>
      </c>
      <c r="M813" s="418" t="n">
        <f aca="false">IF(AND(L812&gt;L_rampe,G813&gt;0),ATAN2(G813,H813),$M$4)</f>
        <v>-1.47014680241861</v>
      </c>
      <c r="N813" s="417" t="n">
        <f aca="false">DEGREES(Beta)</f>
        <v>-84.2332070432395</v>
      </c>
      <c r="O813" s="401"/>
      <c r="P813" s="420" t="n">
        <f aca="false">MATCH(t-pas/2-T_ini,CdP_t)</f>
        <v>23</v>
      </c>
      <c r="Q813" s="417" t="n">
        <f aca="false">(INDEX(CdP,2,i_P+1)-INDEX(CdP,2,i_P+0))/(INDEX(CdP,1,i_P+1)-INDEX(CdP,1,i_P+0))*(t-pas/2-T_ini-INDEX(CdP,1,i_P+0))+INDEX(CdP,2,i_P+0)</f>
        <v>0</v>
      </c>
      <c r="R813" s="418" t="n">
        <f aca="false">Poussee/(g*ISP)</f>
        <v>0</v>
      </c>
      <c r="S813" s="419" t="n">
        <f aca="false">S812-Débit*pas</f>
        <v>7.37799999999998</v>
      </c>
      <c r="T813" s="417" t="n">
        <f aca="false">m*g</f>
        <v>72.3781799999998</v>
      </c>
      <c r="U813" s="421" t="n">
        <f aca="false">IF(pos_xz&lt;L_rampe,Poids*COS(Beta),0)</f>
        <v>0</v>
      </c>
      <c r="V813" s="418" t="n">
        <f aca="false">Rho_moyen*(20000-Alt_rampe-pos_z)/(20000+Alt_rampe+pos_z)</f>
        <v>1.22619715288805</v>
      </c>
      <c r="W813" s="417" t="n">
        <f aca="false">1/2*Rho*Sref*Cx*vit_xz^2</f>
        <v>58.0747625511066</v>
      </c>
      <c r="X813" s="401"/>
      <c r="Y813" s="422" t="str">
        <f aca="false">IF(AND(pos_z&lt;=0,K812&gt;0),"Impact balistique","") &amp; IF(AND(H814&lt;0,vit_z&gt;=0),"Apogée","") &amp; IF(AND(Poussee=0,Q812&gt;0),"Fin de propulsion","") &amp; IF(AND(L814&gt;L_rampe,pos_xz&lt;=L_rampe),"Sortie de rampe","")</f>
        <v/>
      </c>
      <c r="Z813" s="423" t="str">
        <f aca="false">IF(ABS(t-T_para)&lt;pas/2,"Para","")</f>
        <v/>
      </c>
      <c r="AA813" s="424" t="str">
        <f aca="false">IF(ABS(t-T_satellite)&lt;pas/2,"Satellite","")</f>
        <v/>
      </c>
      <c r="AB813" s="412"/>
      <c r="AC813" s="420" t="e">
        <f aca="false">IF(ABS(t-ROUND(t,0))&lt;0.001,t,NA())</f>
        <v>#N/A</v>
      </c>
      <c r="AD813" s="425" t="e">
        <f aca="false">IF(ABS(t-ROUND(t,0))&lt;0.001,pos_x,NA())</f>
        <v>#N/A</v>
      </c>
      <c r="AE813" s="426" t="e">
        <f aca="false">IF(t&lt;T_para, pos_z, NA())</f>
        <v>#N/A</v>
      </c>
      <c r="AF813" s="412"/>
      <c r="AG813" s="418" t="n">
        <f aca="false">IF(AND(L812&lt;L_rampe,Poussee&lt;Poids*SIN(M812)),0,(-W812+Poussee)/m-Poids*SIN(M812)/m)</f>
        <v>1.88904340622454</v>
      </c>
      <c r="AH813" s="417" t="n">
        <f aca="false">IF(AND(L812&lt;L_rampe,Poussee&lt;Poids*SIN(M812)), g*SIN(M812), (-W812+Poussee)/m)</f>
        <v>-7.87130849133766</v>
      </c>
    </row>
    <row r="814" customFormat="false" ht="12" hidden="false" customHeight="false" outlineLevel="0" collapsed="false">
      <c r="A814" s="416" t="n">
        <f aca="false">IF(B813+0.01&lt;=T_ini+ROUNDUP(Temps_fin_propu,0), 0.01, IF(K813&gt;0, 0.1, 0.0001))</f>
        <v>0.0001</v>
      </c>
      <c r="B814" s="417" t="n">
        <f aca="false">B813+pas</f>
        <v>36.3087000000005</v>
      </c>
      <c r="C814" s="401"/>
      <c r="D814" s="418" t="n">
        <f aca="false">IF(AND(L813&lt;L_rampe,Poussee&lt;Poids*SIN(M813)),0,(-W813+Poussee)/m*COS(M813)-U813/m*SIN(M813))</f>
        <v>-0.790909903357318</v>
      </c>
      <c r="E814" s="419" t="n">
        <f aca="false">IF(AND(L813&lt;L_rampe,Poussee&lt;Poids*SIN(M813)),0,(-W813+Poussee)/m*SIN(M813)+U813/m*COS(M813)-Poids/m)</f>
        <v>-1.97849381495022</v>
      </c>
      <c r="F814" s="417" t="n">
        <f aca="false">SQRT(acc_x^2+acc_z^2)</f>
        <v>2.13072200228583</v>
      </c>
      <c r="G814" s="418" t="n">
        <f aca="false">G813+acc_x*pas</f>
        <v>12.4701357380558</v>
      </c>
      <c r="H814" s="419" t="n">
        <f aca="false">H813+acc_z*pas</f>
        <v>-123.478945742178</v>
      </c>
      <c r="I814" s="417" t="n">
        <f aca="false">SQRT(vit_x^2+vit_z^2)</f>
        <v>124.107027709656</v>
      </c>
      <c r="J814" s="418" t="n">
        <f aca="false">J813+0.5*(vit_x+G813)*pas*(K813&gt;=0)</f>
        <v>913.614336176273</v>
      </c>
      <c r="K814" s="419" t="n">
        <f aca="false">K813+0.5*(vit_z+H813)*pas</f>
        <v>-9.78025159358512</v>
      </c>
      <c r="L814" s="417" t="n">
        <f aca="false">SQRT(pos_x^2+pos_z^2)</f>
        <v>913.666683527448</v>
      </c>
      <c r="M814" s="418" t="n">
        <f aca="false">IF(AND(L813&gt;L_rampe,G814&gt;0),ATAN2(G814,H814),$M$4)</f>
        <v>-1.47014759665696</v>
      </c>
      <c r="N814" s="417" t="n">
        <f aca="false">DEGREES(Beta)</f>
        <v>-84.233252549745</v>
      </c>
      <c r="O814" s="401"/>
      <c r="P814" s="420" t="n">
        <f aca="false">MATCH(t-pas/2-T_ini,CdP_t)</f>
        <v>23</v>
      </c>
      <c r="Q814" s="417" t="n">
        <f aca="false">(INDEX(CdP,2,i_P+1)-INDEX(CdP,2,i_P+0))/(INDEX(CdP,1,i_P+1)-INDEX(CdP,1,i_P+0))*(t-pas/2-T_ini-INDEX(CdP,1,i_P+0))+INDEX(CdP,2,i_P+0)</f>
        <v>0</v>
      </c>
      <c r="R814" s="418" t="n">
        <f aca="false">Poussee/(g*ISP)</f>
        <v>0</v>
      </c>
      <c r="S814" s="419" t="n">
        <f aca="false">S813-Débit*pas</f>
        <v>7.37799999999998</v>
      </c>
      <c r="T814" s="417" t="n">
        <f aca="false">m*g</f>
        <v>72.3781799999998</v>
      </c>
      <c r="U814" s="421" t="n">
        <f aca="false">IF(pos_xz&lt;L_rampe,Poids*COS(Beta),0)</f>
        <v>0</v>
      </c>
      <c r="V814" s="418" t="n">
        <f aca="false">Rho_moyen*(20000-Alt_rampe-pos_z)/(20000+Alt_rampe+pos_z)</f>
        <v>1.22619866698345</v>
      </c>
      <c r="W814" s="417" t="n">
        <f aca="false">1/2*Rho*Sref*Cx*vit_xz^2</f>
        <v>58.0750110509544</v>
      </c>
      <c r="X814" s="401"/>
      <c r="Y814" s="422" t="str">
        <f aca="false">IF(AND(pos_z&lt;=0,K813&gt;0),"Impact balistique","") &amp; IF(AND(H815&lt;0,vit_z&gt;=0),"Apogée","") &amp; IF(AND(Poussee=0,Q813&gt;0),"Fin de propulsion","") &amp; IF(AND(L815&gt;L_rampe,pos_xz&lt;=L_rampe),"Sortie de rampe","")</f>
        <v/>
      </c>
      <c r="Z814" s="423" t="str">
        <f aca="false">IF(ABS(t-T_para)&lt;pas/2,"Para","")</f>
        <v/>
      </c>
      <c r="AA814" s="424" t="str">
        <f aca="false">IF(ABS(t-T_satellite)&lt;pas/2,"Satellite","")</f>
        <v/>
      </c>
      <c r="AB814" s="412"/>
      <c r="AC814" s="420" t="e">
        <f aca="false">IF(ABS(t-ROUND(t,0))&lt;0.001,t,NA())</f>
        <v>#N/A</v>
      </c>
      <c r="AD814" s="425" t="e">
        <f aca="false">IF(ABS(t-ROUND(t,0))&lt;0.001,pos_x,NA())</f>
        <v>#N/A</v>
      </c>
      <c r="AE814" s="426" t="e">
        <f aca="false">IF(t&lt;T_para, pos_z, NA())</f>
        <v>#N/A</v>
      </c>
      <c r="AF814" s="412"/>
      <c r="AG814" s="418" t="n">
        <f aca="false">IF(AND(L813&lt;L_rampe,Poussee&lt;Poids*SIN(M813)),0,(-W813+Poussee)/m-Poids*SIN(M813)/m)</f>
        <v>1.8890105076323</v>
      </c>
      <c r="AH814" s="417" t="n">
        <f aca="false">IF(AND(L813&lt;L_rampe,Poussee&lt;Poids*SIN(M813)), g*SIN(M813), (-W813+Poussee)/m)</f>
        <v>-7.87134217282553</v>
      </c>
    </row>
    <row r="815" customFormat="false" ht="12" hidden="false" customHeight="false" outlineLevel="0" collapsed="false">
      <c r="A815" s="416" t="n">
        <f aca="false">IF(B814+0.01&lt;=T_ini+ROUNDUP(Temps_fin_propu,0), 0.01, IF(K814&gt;0, 0.1, 0.0001))</f>
        <v>0.0001</v>
      </c>
      <c r="B815" s="417" t="n">
        <f aca="false">B814+pas</f>
        <v>36.3088000000005</v>
      </c>
      <c r="C815" s="401"/>
      <c r="D815" s="418" t="n">
        <f aca="false">IF(AND(L814&lt;L_rampe,Poussee&lt;Poids*SIN(M814)),0,(-W814+Poussee)/m*COS(M814)-U814/m*SIN(M814))</f>
        <v>-0.790907067523292</v>
      </c>
      <c r="E815" s="419" t="n">
        <f aca="false">IF(AND(L814&lt;L_rampe,Poussee&lt;Poids*SIN(M814)),0,(-W814+Poussee)/m*SIN(M814)+U814/m*COS(M814)-Poids/m)</f>
        <v>-1.97845967604201</v>
      </c>
      <c r="F815" s="417" t="n">
        <f aca="false">SQRT(acc_x^2+acc_z^2)</f>
        <v>2.13068924979279</v>
      </c>
      <c r="G815" s="418" t="n">
        <f aca="false">G814+acc_x*pas</f>
        <v>12.470056647349</v>
      </c>
      <c r="H815" s="419" t="n">
        <f aca="false">H814+acc_z*pas</f>
        <v>-123.479143588145</v>
      </c>
      <c r="I815" s="417" t="n">
        <f aca="false">SQRT(vit_x^2+vit_z^2)</f>
        <v>124.107216607456</v>
      </c>
      <c r="J815" s="418" t="n">
        <f aca="false">J814+0.5*(vit_x+G814)*pas*(K814&gt;=0)</f>
        <v>913.614336176273</v>
      </c>
      <c r="K815" s="419" t="n">
        <f aca="false">K814+0.5*(vit_z+H814)*pas</f>
        <v>-9.79259949805163</v>
      </c>
      <c r="L815" s="417" t="n">
        <f aca="false">SQRT(pos_x^2+pos_z^2)</f>
        <v>913.666815787758</v>
      </c>
      <c r="M815" s="418" t="n">
        <f aca="false">IF(AND(L814&gt;L_rampe,G815&gt;0),ATAN2(G815,H815),$M$4)</f>
        <v>-1.47014839088786</v>
      </c>
      <c r="N815" s="417" t="n">
        <f aca="false">DEGREES(Beta)</f>
        <v>-84.2332980558233</v>
      </c>
      <c r="O815" s="401"/>
      <c r="P815" s="420" t="n">
        <f aca="false">MATCH(t-pas/2-T_ini,CdP_t)</f>
        <v>23</v>
      </c>
      <c r="Q815" s="417" t="n">
        <f aca="false">(INDEX(CdP,2,i_P+1)-INDEX(CdP,2,i_P+0))/(INDEX(CdP,1,i_P+1)-INDEX(CdP,1,i_P+0))*(t-pas/2-T_ini-INDEX(CdP,1,i_P+0))+INDEX(CdP,2,i_P+0)</f>
        <v>0</v>
      </c>
      <c r="R815" s="418" t="n">
        <f aca="false">Poussee/(g*ISP)</f>
        <v>0</v>
      </c>
      <c r="S815" s="419" t="n">
        <f aca="false">S814-Débit*pas</f>
        <v>7.37799999999998</v>
      </c>
      <c r="T815" s="417" t="n">
        <f aca="false">m*g</f>
        <v>72.3781799999998</v>
      </c>
      <c r="U815" s="421" t="n">
        <f aca="false">IF(pos_xz&lt;L_rampe,Poids*COS(Beta),0)</f>
        <v>0</v>
      </c>
      <c r="V815" s="418" t="n">
        <f aca="false">Rho_moyen*(20000-Alt_rampe-pos_z)/(20000+Alt_rampe+pos_z)</f>
        <v>1.22620018108314</v>
      </c>
      <c r="W815" s="417" t="n">
        <f aca="false">1/2*Rho*Sref*Cx*vit_xz^2</f>
        <v>58.0752595486324</v>
      </c>
      <c r="X815" s="401"/>
      <c r="Y815" s="422" t="str">
        <f aca="false">IF(AND(pos_z&lt;=0,K814&gt;0),"Impact balistique","") &amp; IF(AND(H816&lt;0,vit_z&gt;=0),"Apogée","") &amp; IF(AND(Poussee=0,Q814&gt;0),"Fin de propulsion","") &amp; IF(AND(L816&gt;L_rampe,pos_xz&lt;=L_rampe),"Sortie de rampe","")</f>
        <v/>
      </c>
      <c r="Z815" s="423" t="str">
        <f aca="false">IF(ABS(t-T_para)&lt;pas/2,"Para","")</f>
        <v/>
      </c>
      <c r="AA815" s="424" t="str">
        <f aca="false">IF(ABS(t-T_satellite)&lt;pas/2,"Satellite","")</f>
        <v/>
      </c>
      <c r="AB815" s="412"/>
      <c r="AC815" s="420" t="e">
        <f aca="false">IF(ABS(t-ROUND(t,0))&lt;0.001,t,NA())</f>
        <v>#N/A</v>
      </c>
      <c r="AD815" s="425" t="e">
        <f aca="false">IF(ABS(t-ROUND(t,0))&lt;0.001,pos_x,NA())</f>
        <v>#N/A</v>
      </c>
      <c r="AE815" s="426" t="e">
        <f aca="false">IF(t&lt;T_para, pos_z, NA())</f>
        <v>#N/A</v>
      </c>
      <c r="AF815" s="412"/>
      <c r="AG815" s="418" t="n">
        <f aca="false">IF(AND(L814&lt;L_rampe,Poussee&lt;Poids*SIN(M814)),0,(-W814+Poussee)/m-Poids*SIN(M814)/m)</f>
        <v>1.88897760932064</v>
      </c>
      <c r="AH815" s="417" t="n">
        <f aca="false">IF(AND(L814&lt;L_rampe,Poussee&lt;Poids*SIN(M814)), g*SIN(M814), (-W814+Poussee)/m)</f>
        <v>-7.87137585401931</v>
      </c>
    </row>
    <row r="816" customFormat="false" ht="12" hidden="false" customHeight="false" outlineLevel="0" collapsed="false">
      <c r="A816" s="416" t="n">
        <f aca="false">IF(B815+0.01&lt;=T_ini+ROUNDUP(Temps_fin_propu,0), 0.01, IF(K815&gt;0, 0.1, 0.0001))</f>
        <v>0.0001</v>
      </c>
      <c r="B816" s="417" t="n">
        <f aca="false">B815+pas</f>
        <v>36.3089000000005</v>
      </c>
      <c r="C816" s="401"/>
      <c r="D816" s="418" t="n">
        <f aca="false">IF(AND(L815&lt;L_rampe,Poussee&lt;Poids*SIN(M815)),0,(-W815+Poussee)/m*COS(M815)-U815/m*SIN(M815))</f>
        <v>-0.790904231664372</v>
      </c>
      <c r="E816" s="419" t="n">
        <f aca="false">IF(AND(L815&lt;L_rampe,Poussee&lt;Poids*SIN(M815)),0,(-W815+Poussee)/m*SIN(M815)+U815/m*COS(M815)-Poids/m)</f>
        <v>-1.97842553743186</v>
      </c>
      <c r="F816" s="417" t="n">
        <f aca="false">SQRT(acc_x^2+acc_z^2)</f>
        <v>2.13065649761457</v>
      </c>
      <c r="G816" s="418" t="n">
        <f aca="false">G815+acc_x*pas</f>
        <v>12.4699775569259</v>
      </c>
      <c r="H816" s="419" t="n">
        <f aca="false">H815+acc_z*pas</f>
        <v>-123.479341430699</v>
      </c>
      <c r="I816" s="417" t="n">
        <f aca="false">SQRT(vit_x^2+vit_z^2)</f>
        <v>124.107405501966</v>
      </c>
      <c r="J816" s="418" t="n">
        <f aca="false">J815+0.5*(vit_x+G815)*pas*(K815&gt;=0)</f>
        <v>913.614336176273</v>
      </c>
      <c r="K816" s="419" t="n">
        <f aca="false">K815+0.5*(vit_z+H815)*pas</f>
        <v>-9.80494742230258</v>
      </c>
      <c r="L816" s="417" t="n">
        <f aca="false">SQRT(pos_x^2+pos_z^2)</f>
        <v>913.666948215139</v>
      </c>
      <c r="M816" s="418" t="n">
        <f aca="false">IF(AND(L815&gt;L_rampe,G816&gt;0),ATAN2(G816,H816),$M$4)</f>
        <v>-1.4701491851113</v>
      </c>
      <c r="N816" s="417" t="n">
        <f aca="false">DEGREES(Beta)</f>
        <v>-84.2333435614745</v>
      </c>
      <c r="O816" s="401"/>
      <c r="P816" s="420" t="n">
        <f aca="false">MATCH(t-pas/2-T_ini,CdP_t)</f>
        <v>23</v>
      </c>
      <c r="Q816" s="417" t="n">
        <f aca="false">(INDEX(CdP,2,i_P+1)-INDEX(CdP,2,i_P+0))/(INDEX(CdP,1,i_P+1)-INDEX(CdP,1,i_P+0))*(t-pas/2-T_ini-INDEX(CdP,1,i_P+0))+INDEX(CdP,2,i_P+0)</f>
        <v>0</v>
      </c>
      <c r="R816" s="418" t="n">
        <f aca="false">Poussee/(g*ISP)</f>
        <v>0</v>
      </c>
      <c r="S816" s="419" t="n">
        <f aca="false">S815-Débit*pas</f>
        <v>7.37799999999998</v>
      </c>
      <c r="T816" s="417" t="n">
        <f aca="false">m*g</f>
        <v>72.3781799999998</v>
      </c>
      <c r="U816" s="421" t="n">
        <f aca="false">IF(pos_xz&lt;L_rampe,Poids*COS(Beta),0)</f>
        <v>0</v>
      </c>
      <c r="V816" s="418" t="n">
        <f aca="false">Rho_moyen*(20000-Alt_rampe-pos_z)/(20000+Alt_rampe+pos_z)</f>
        <v>1.22620169518714</v>
      </c>
      <c r="W816" s="417" t="n">
        <f aca="false">1/2*Rho*Sref*Cx*vit_xz^2</f>
        <v>58.0755080441407</v>
      </c>
      <c r="X816" s="401"/>
      <c r="Y816" s="422" t="str">
        <f aca="false">IF(AND(pos_z&lt;=0,K815&gt;0),"Impact balistique","") &amp; IF(AND(H817&lt;0,vit_z&gt;=0),"Apogée","") &amp; IF(AND(Poussee=0,Q815&gt;0),"Fin de propulsion","") &amp; IF(AND(L817&gt;L_rampe,pos_xz&lt;=L_rampe),"Sortie de rampe","")</f>
        <v/>
      </c>
      <c r="Z816" s="423" t="str">
        <f aca="false">IF(ABS(t-T_para)&lt;pas/2,"Para","")</f>
        <v/>
      </c>
      <c r="AA816" s="424" t="str">
        <f aca="false">IF(ABS(t-T_satellite)&lt;pas/2,"Satellite","")</f>
        <v/>
      </c>
      <c r="AB816" s="412"/>
      <c r="AC816" s="420" t="e">
        <f aca="false">IF(ABS(t-ROUND(t,0))&lt;0.001,t,NA())</f>
        <v>#N/A</v>
      </c>
      <c r="AD816" s="425" t="e">
        <f aca="false">IF(ABS(t-ROUND(t,0))&lt;0.001,pos_x,NA())</f>
        <v>#N/A</v>
      </c>
      <c r="AE816" s="426" t="e">
        <f aca="false">IF(t&lt;T_para, pos_z, NA())</f>
        <v>#N/A</v>
      </c>
      <c r="AF816" s="412"/>
      <c r="AG816" s="418" t="n">
        <f aca="false">IF(AND(L815&lt;L_rampe,Poussee&lt;Poids*SIN(M815)),0,(-W815+Poussee)/m-Poids*SIN(M815)/m)</f>
        <v>1.88894471128955</v>
      </c>
      <c r="AH816" s="417" t="n">
        <f aca="false">IF(AND(L815&lt;L_rampe,Poussee&lt;Poids*SIN(M815)), g*SIN(M815), (-W815+Poussee)/m)</f>
        <v>-7.87140953491902</v>
      </c>
    </row>
    <row r="817" customFormat="false" ht="12" hidden="false" customHeight="false" outlineLevel="0" collapsed="false">
      <c r="A817" s="416" t="n">
        <f aca="false">IF(B816+0.01&lt;=T_ini+ROUNDUP(Temps_fin_propu,0), 0.01, IF(K816&gt;0, 0.1, 0.0001))</f>
        <v>0.0001</v>
      </c>
      <c r="B817" s="417" t="n">
        <f aca="false">B816+pas</f>
        <v>36.3090000000005</v>
      </c>
      <c r="C817" s="401"/>
      <c r="D817" s="418" t="n">
        <f aca="false">IF(AND(L816&lt;L_rampe,Poussee&lt;Poids*SIN(M816)),0,(-W816+Poussee)/m*COS(M816)-U816/m*SIN(M816))</f>
        <v>-0.790901395780558</v>
      </c>
      <c r="E817" s="419" t="n">
        <f aca="false">IF(AND(L816&lt;L_rampe,Poussee&lt;Poids*SIN(M816)),0,(-W816+Poussee)/m*SIN(M816)+U816/m*COS(M816)-Poids/m)</f>
        <v>-1.97839139911977</v>
      </c>
      <c r="F817" s="417" t="n">
        <f aca="false">SQRT(acc_x^2+acc_z^2)</f>
        <v>2.13062374575116</v>
      </c>
      <c r="G817" s="418" t="n">
        <f aca="false">G816+acc_x*pas</f>
        <v>12.4698984667863</v>
      </c>
      <c r="H817" s="419" t="n">
        <f aca="false">H816+acc_z*pas</f>
        <v>-123.479539269839</v>
      </c>
      <c r="I817" s="417" t="n">
        <f aca="false">SQRT(vit_x^2+vit_z^2)</f>
        <v>124.107594393186</v>
      </c>
      <c r="J817" s="418" t="n">
        <f aca="false">J816+0.5*(vit_x+G816)*pas*(K816&gt;=0)</f>
        <v>913.614336176273</v>
      </c>
      <c r="K817" s="419" t="n">
        <f aca="false">K816+0.5*(vit_z+H816)*pas</f>
        <v>-9.8172953663376</v>
      </c>
      <c r="L817" s="417" t="n">
        <f aca="false">SQRT(pos_x^2+pos_z^2)</f>
        <v>913.667080809592</v>
      </c>
      <c r="M817" s="418" t="n">
        <f aca="false">IF(AND(L816&gt;L_rampe,G817&gt;0),ATAN2(G817,H817),$M$4)</f>
        <v>-1.47014997932728</v>
      </c>
      <c r="N817" s="417" t="n">
        <f aca="false">DEGREES(Beta)</f>
        <v>-84.2333890666986</v>
      </c>
      <c r="O817" s="401"/>
      <c r="P817" s="420" t="n">
        <f aca="false">MATCH(t-pas/2-T_ini,CdP_t)</f>
        <v>23</v>
      </c>
      <c r="Q817" s="417" t="n">
        <f aca="false">(INDEX(CdP,2,i_P+1)-INDEX(CdP,2,i_P+0))/(INDEX(CdP,1,i_P+1)-INDEX(CdP,1,i_P+0))*(t-pas/2-T_ini-INDEX(CdP,1,i_P+0))+INDEX(CdP,2,i_P+0)</f>
        <v>0</v>
      </c>
      <c r="R817" s="418" t="n">
        <f aca="false">Poussee/(g*ISP)</f>
        <v>0</v>
      </c>
      <c r="S817" s="419" t="n">
        <f aca="false">S816-Débit*pas</f>
        <v>7.37799999999998</v>
      </c>
      <c r="T817" s="417" t="n">
        <f aca="false">m*g</f>
        <v>72.3781799999998</v>
      </c>
      <c r="U817" s="421" t="n">
        <f aca="false">IF(pos_xz&lt;L_rampe,Poids*COS(Beta),0)</f>
        <v>0</v>
      </c>
      <c r="V817" s="418" t="n">
        <f aca="false">Rho_moyen*(20000-Alt_rampe-pos_z)/(20000+Alt_rampe+pos_z)</f>
        <v>1.22620320929543</v>
      </c>
      <c r="W817" s="417" t="n">
        <f aca="false">1/2*Rho*Sref*Cx*vit_xz^2</f>
        <v>58.0757565374792</v>
      </c>
      <c r="X817" s="401"/>
      <c r="Y817" s="422" t="str">
        <f aca="false">IF(AND(pos_z&lt;=0,K816&gt;0),"Impact balistique","") &amp; IF(AND(H818&lt;0,vit_z&gt;=0),"Apogée","") &amp; IF(AND(Poussee=0,Q816&gt;0),"Fin de propulsion","") &amp; IF(AND(L818&gt;L_rampe,pos_xz&lt;=L_rampe),"Sortie de rampe","")</f>
        <v/>
      </c>
      <c r="Z817" s="423" t="str">
        <f aca="false">IF(ABS(t-T_para)&lt;pas/2,"Para","")</f>
        <v/>
      </c>
      <c r="AA817" s="424" t="str">
        <f aca="false">IF(ABS(t-T_satellite)&lt;pas/2,"Satellite","")</f>
        <v/>
      </c>
      <c r="AB817" s="412"/>
      <c r="AC817" s="420" t="e">
        <f aca="false">IF(ABS(t-ROUND(t,0))&lt;0.001,t,NA())</f>
        <v>#N/A</v>
      </c>
      <c r="AD817" s="425" t="e">
        <f aca="false">IF(ABS(t-ROUND(t,0))&lt;0.001,pos_x,NA())</f>
        <v>#N/A</v>
      </c>
      <c r="AE817" s="426" t="e">
        <f aca="false">IF(t&lt;T_para, pos_z, NA())</f>
        <v>#N/A</v>
      </c>
      <c r="AF817" s="412"/>
      <c r="AG817" s="418" t="n">
        <f aca="false">IF(AND(L816&lt;L_rampe,Poussee&lt;Poids*SIN(M816)),0,(-W816+Poussee)/m-Poids*SIN(M816)/m)</f>
        <v>1.88891181353904</v>
      </c>
      <c r="AH817" s="417" t="n">
        <f aca="false">IF(AND(L816&lt;L_rampe,Poussee&lt;Poids*SIN(M816)), g*SIN(M816), (-W816+Poussee)/m)</f>
        <v>-7.87144321552464</v>
      </c>
    </row>
    <row r="818" customFormat="false" ht="12" hidden="false" customHeight="false" outlineLevel="0" collapsed="false">
      <c r="A818" s="416" t="n">
        <f aca="false">IF(B817+0.01&lt;=T_ini+ROUNDUP(Temps_fin_propu,0), 0.01, IF(K817&gt;0, 0.1, 0.0001))</f>
        <v>0.0001</v>
      </c>
      <c r="B818" s="417" t="n">
        <f aca="false">B817+pas</f>
        <v>36.3091000000005</v>
      </c>
      <c r="C818" s="401"/>
      <c r="D818" s="418" t="n">
        <f aca="false">IF(AND(L817&lt;L_rampe,Poussee&lt;Poids*SIN(M817)),0,(-W817+Poussee)/m*COS(M817)-U817/m*SIN(M817))</f>
        <v>-0.790898559871854</v>
      </c>
      <c r="E818" s="419" t="n">
        <f aca="false">IF(AND(L817&lt;L_rampe,Poussee&lt;Poids*SIN(M817)),0,(-W817+Poussee)/m*SIN(M817)+U817/m*COS(M817)-Poids/m)</f>
        <v>-1.97835726110572</v>
      </c>
      <c r="F818" s="417" t="n">
        <f aca="false">SQRT(acc_x^2+acc_z^2)</f>
        <v>2.13059099420257</v>
      </c>
      <c r="G818" s="418" t="n">
        <f aca="false">G817+acc_x*pas</f>
        <v>12.4698193769303</v>
      </c>
      <c r="H818" s="419" t="n">
        <f aca="false">H817+acc_z*pas</f>
        <v>-123.479737105565</v>
      </c>
      <c r="I818" s="417" t="n">
        <f aca="false">SQRT(vit_x^2+vit_z^2)</f>
        <v>124.107783281117</v>
      </c>
      <c r="J818" s="418" t="n">
        <f aca="false">J817+0.5*(vit_x+G817)*pas*(K817&gt;=0)</f>
        <v>913.614336176273</v>
      </c>
      <c r="K818" s="419" t="n">
        <f aca="false">K817+0.5*(vit_z+H817)*pas</f>
        <v>-9.82964333015637</v>
      </c>
      <c r="L818" s="417" t="n">
        <f aca="false">SQRT(pos_x^2+pos_z^2)</f>
        <v>913.667213571118</v>
      </c>
      <c r="M818" s="418" t="n">
        <f aca="false">IF(AND(L817&gt;L_rampe,G818&gt;0),ATAN2(G818,H818),$M$4)</f>
        <v>-1.47015077353582</v>
      </c>
      <c r="N818" s="417" t="n">
        <f aca="false">DEGREES(Beta)</f>
        <v>-84.2334345714956</v>
      </c>
      <c r="O818" s="401"/>
      <c r="P818" s="420" t="n">
        <f aca="false">MATCH(t-pas/2-T_ini,CdP_t)</f>
        <v>23</v>
      </c>
      <c r="Q818" s="417" t="n">
        <f aca="false">(INDEX(CdP,2,i_P+1)-INDEX(CdP,2,i_P+0))/(INDEX(CdP,1,i_P+1)-INDEX(CdP,1,i_P+0))*(t-pas/2-T_ini-INDEX(CdP,1,i_P+0))+INDEX(CdP,2,i_P+0)</f>
        <v>0</v>
      </c>
      <c r="R818" s="418" t="n">
        <f aca="false">Poussee/(g*ISP)</f>
        <v>0</v>
      </c>
      <c r="S818" s="419" t="n">
        <f aca="false">S817-Débit*pas</f>
        <v>7.37799999999998</v>
      </c>
      <c r="T818" s="417" t="n">
        <f aca="false">m*g</f>
        <v>72.3781799999998</v>
      </c>
      <c r="U818" s="421" t="n">
        <f aca="false">IF(pos_xz&lt;L_rampe,Poids*COS(Beta),0)</f>
        <v>0</v>
      </c>
      <c r="V818" s="418" t="n">
        <f aca="false">Rho_moyen*(20000-Alt_rampe-pos_z)/(20000+Alt_rampe+pos_z)</f>
        <v>1.22620472340801</v>
      </c>
      <c r="W818" s="417" t="n">
        <f aca="false">1/2*Rho*Sref*Cx*vit_xz^2</f>
        <v>58.076005028648</v>
      </c>
      <c r="X818" s="401"/>
      <c r="Y818" s="422" t="str">
        <f aca="false">IF(AND(pos_z&lt;=0,K817&gt;0),"Impact balistique","") &amp; IF(AND(H819&lt;0,vit_z&gt;=0),"Apogée","") &amp; IF(AND(Poussee=0,Q817&gt;0),"Fin de propulsion","") &amp; IF(AND(L819&gt;L_rampe,pos_xz&lt;=L_rampe),"Sortie de rampe","")</f>
        <v/>
      </c>
      <c r="Z818" s="423" t="str">
        <f aca="false">IF(ABS(t-T_para)&lt;pas/2,"Para","")</f>
        <v/>
      </c>
      <c r="AA818" s="424" t="str">
        <f aca="false">IF(ABS(t-T_satellite)&lt;pas/2,"Satellite","")</f>
        <v/>
      </c>
      <c r="AB818" s="412"/>
      <c r="AC818" s="420" t="e">
        <f aca="false">IF(ABS(t-ROUND(t,0))&lt;0.001,t,NA())</f>
        <v>#N/A</v>
      </c>
      <c r="AD818" s="425" t="e">
        <f aca="false">IF(ABS(t-ROUND(t,0))&lt;0.001,pos_x,NA())</f>
        <v>#N/A</v>
      </c>
      <c r="AE818" s="426" t="e">
        <f aca="false">IF(t&lt;T_para, pos_z, NA())</f>
        <v>#N/A</v>
      </c>
      <c r="AF818" s="412"/>
      <c r="AG818" s="418" t="n">
        <f aca="false">IF(AND(L817&lt;L_rampe,Poussee&lt;Poids*SIN(M817)),0,(-W817+Poussee)/m-Poids*SIN(M817)/m)</f>
        <v>1.8888789160691</v>
      </c>
      <c r="AH818" s="417" t="n">
        <f aca="false">IF(AND(L817&lt;L_rampe,Poussee&lt;Poids*SIN(M817)), g*SIN(M817), (-W817+Poussee)/m)</f>
        <v>-7.87147689583618</v>
      </c>
    </row>
    <row r="819" customFormat="false" ht="12" hidden="false" customHeight="false" outlineLevel="0" collapsed="false">
      <c r="A819" s="416" t="n">
        <f aca="false">IF(B818+0.01&lt;=T_ini+ROUNDUP(Temps_fin_propu,0), 0.01, IF(K818&gt;0, 0.1, 0.0001))</f>
        <v>0.0001</v>
      </c>
      <c r="B819" s="417" t="n">
        <f aca="false">B818+pas</f>
        <v>36.3092000000005</v>
      </c>
      <c r="C819" s="401"/>
      <c r="D819" s="418" t="n">
        <f aca="false">IF(AND(L818&lt;L_rampe,Poussee&lt;Poids*SIN(M818)),0,(-W818+Poussee)/m*COS(M818)-U818/m*SIN(M818))</f>
        <v>-0.790895723938257</v>
      </c>
      <c r="E819" s="419" t="n">
        <f aca="false">IF(AND(L818&lt;L_rampe,Poussee&lt;Poids*SIN(M818)),0,(-W818+Poussee)/m*SIN(M818)+U818/m*COS(M818)-Poids/m)</f>
        <v>-1.97832312338974</v>
      </c>
      <c r="F819" s="417" t="n">
        <f aca="false">SQRT(acc_x^2+acc_z^2)</f>
        <v>2.13055824296881</v>
      </c>
      <c r="G819" s="418" t="n">
        <f aca="false">G818+acc_x*pas</f>
        <v>12.4697402873579</v>
      </c>
      <c r="H819" s="419" t="n">
        <f aca="false">H818+acc_z*pas</f>
        <v>-123.479934937877</v>
      </c>
      <c r="I819" s="417" t="n">
        <f aca="false">SQRT(vit_x^2+vit_z^2)</f>
        <v>124.107972165758</v>
      </c>
      <c r="J819" s="418" t="n">
        <f aca="false">J818+0.5*(vit_x+G818)*pas*(K818&gt;=0)</f>
        <v>913.614336176273</v>
      </c>
      <c r="K819" s="419" t="n">
        <f aca="false">K818+0.5*(vit_z+H818)*pas</f>
        <v>-9.84199131375855</v>
      </c>
      <c r="L819" s="417" t="n">
        <f aca="false">SQRT(pos_x^2+pos_z^2)</f>
        <v>913.667346499716</v>
      </c>
      <c r="M819" s="418" t="n">
        <f aca="false">IF(AND(L818&gt;L_rampe,G819&gt;0),ATAN2(G819,H819),$M$4)</f>
        <v>-1.47015156773689</v>
      </c>
      <c r="N819" s="417" t="n">
        <f aca="false">DEGREES(Beta)</f>
        <v>-84.2334800758654</v>
      </c>
      <c r="O819" s="401"/>
      <c r="P819" s="420" t="n">
        <f aca="false">MATCH(t-pas/2-T_ini,CdP_t)</f>
        <v>23</v>
      </c>
      <c r="Q819" s="417" t="n">
        <f aca="false">(INDEX(CdP,2,i_P+1)-INDEX(CdP,2,i_P+0))/(INDEX(CdP,1,i_P+1)-INDEX(CdP,1,i_P+0))*(t-pas/2-T_ini-INDEX(CdP,1,i_P+0))+INDEX(CdP,2,i_P+0)</f>
        <v>0</v>
      </c>
      <c r="R819" s="418" t="n">
        <f aca="false">Poussee/(g*ISP)</f>
        <v>0</v>
      </c>
      <c r="S819" s="419" t="n">
        <f aca="false">S818-Débit*pas</f>
        <v>7.37799999999998</v>
      </c>
      <c r="T819" s="417" t="n">
        <f aca="false">m*g</f>
        <v>72.3781799999998</v>
      </c>
      <c r="U819" s="421" t="n">
        <f aca="false">IF(pos_xz&lt;L_rampe,Poids*COS(Beta),0)</f>
        <v>0</v>
      </c>
      <c r="V819" s="418" t="n">
        <f aca="false">Rho_moyen*(20000-Alt_rampe-pos_z)/(20000+Alt_rampe+pos_z)</f>
        <v>1.2262062375249</v>
      </c>
      <c r="W819" s="417" t="n">
        <f aca="false">1/2*Rho*Sref*Cx*vit_xz^2</f>
        <v>58.0762535176471</v>
      </c>
      <c r="X819" s="401"/>
      <c r="Y819" s="422" t="str">
        <f aca="false">IF(AND(pos_z&lt;=0,K818&gt;0),"Impact balistique","") &amp; IF(AND(H820&lt;0,vit_z&gt;=0),"Apogée","") &amp; IF(AND(Poussee=0,Q818&gt;0),"Fin de propulsion","") &amp; IF(AND(L820&gt;L_rampe,pos_xz&lt;=L_rampe),"Sortie de rampe","")</f>
        <v/>
      </c>
      <c r="Z819" s="423" t="str">
        <f aca="false">IF(ABS(t-T_para)&lt;pas/2,"Para","")</f>
        <v/>
      </c>
      <c r="AA819" s="424" t="str">
        <f aca="false">IF(ABS(t-T_satellite)&lt;pas/2,"Satellite","")</f>
        <v/>
      </c>
      <c r="AB819" s="412"/>
      <c r="AC819" s="420" t="e">
        <f aca="false">IF(ABS(t-ROUND(t,0))&lt;0.001,t,NA())</f>
        <v>#N/A</v>
      </c>
      <c r="AD819" s="425" t="e">
        <f aca="false">IF(ABS(t-ROUND(t,0))&lt;0.001,pos_x,NA())</f>
        <v>#N/A</v>
      </c>
      <c r="AE819" s="426" t="e">
        <f aca="false">IF(t&lt;T_para, pos_z, NA())</f>
        <v>#N/A</v>
      </c>
      <c r="AF819" s="412"/>
      <c r="AG819" s="418" t="n">
        <f aca="false">IF(AND(L818&lt;L_rampe,Poussee&lt;Poids*SIN(M818)),0,(-W818+Poussee)/m-Poids*SIN(M818)/m)</f>
        <v>1.88884601887975</v>
      </c>
      <c r="AH819" s="417" t="n">
        <f aca="false">IF(AND(L818&lt;L_rampe,Poussee&lt;Poids*SIN(M818)), g*SIN(M818), (-W818+Poussee)/m)</f>
        <v>-7.87151057585364</v>
      </c>
    </row>
    <row r="820" customFormat="false" ht="12" hidden="false" customHeight="false" outlineLevel="0" collapsed="false">
      <c r="A820" s="416" t="n">
        <f aca="false">IF(B819+0.01&lt;=T_ini+ROUNDUP(Temps_fin_propu,0), 0.01, IF(K819&gt;0, 0.1, 0.0001))</f>
        <v>0.0001</v>
      </c>
      <c r="B820" s="417" t="n">
        <f aca="false">B819+pas</f>
        <v>36.3093000000005</v>
      </c>
      <c r="C820" s="401"/>
      <c r="D820" s="418" t="n">
        <f aca="false">IF(AND(L819&lt;L_rampe,Poussee&lt;Poids*SIN(M819)),0,(-W819+Poussee)/m*COS(M819)-U819/m*SIN(M819))</f>
        <v>-0.79089288797977</v>
      </c>
      <c r="E820" s="419" t="n">
        <f aca="false">IF(AND(L819&lt;L_rampe,Poussee&lt;Poids*SIN(M819)),0,(-W819+Poussee)/m*SIN(M819)+U819/m*COS(M819)-Poids/m)</f>
        <v>-1.9782889859718</v>
      </c>
      <c r="F820" s="417" t="n">
        <f aca="false">SQRT(acc_x^2+acc_z^2)</f>
        <v>2.13052549204987</v>
      </c>
      <c r="G820" s="418" t="n">
        <f aca="false">G819+acc_x*pas</f>
        <v>12.4696611980691</v>
      </c>
      <c r="H820" s="419" t="n">
        <f aca="false">H819+acc_z*pas</f>
        <v>-123.480132766776</v>
      </c>
      <c r="I820" s="417" t="n">
        <f aca="false">SQRT(vit_x^2+vit_z^2)</f>
        <v>124.10816104711</v>
      </c>
      <c r="J820" s="418" t="n">
        <f aca="false">J819+0.5*(vit_x+G819)*pas*(K819&gt;=0)</f>
        <v>913.614336176273</v>
      </c>
      <c r="K820" s="419" t="n">
        <f aca="false">K819+0.5*(vit_z+H819)*pas</f>
        <v>-9.85433931714378</v>
      </c>
      <c r="L820" s="417" t="n">
        <f aca="false">SQRT(pos_x^2+pos_z^2)</f>
        <v>913.667479595389</v>
      </c>
      <c r="M820" s="418" t="n">
        <f aca="false">IF(AND(L819&gt;L_rampe,G820&gt;0),ATAN2(G820,H820),$M$4)</f>
        <v>-1.47015236193052</v>
      </c>
      <c r="N820" s="417" t="n">
        <f aca="false">DEGREES(Beta)</f>
        <v>-84.2335255798081</v>
      </c>
      <c r="O820" s="401"/>
      <c r="P820" s="420" t="n">
        <f aca="false">MATCH(t-pas/2-T_ini,CdP_t)</f>
        <v>23</v>
      </c>
      <c r="Q820" s="417" t="n">
        <f aca="false">(INDEX(CdP,2,i_P+1)-INDEX(CdP,2,i_P+0))/(INDEX(CdP,1,i_P+1)-INDEX(CdP,1,i_P+0))*(t-pas/2-T_ini-INDEX(CdP,1,i_P+0))+INDEX(CdP,2,i_P+0)</f>
        <v>0</v>
      </c>
      <c r="R820" s="418" t="n">
        <f aca="false">Poussee/(g*ISP)</f>
        <v>0</v>
      </c>
      <c r="S820" s="419" t="n">
        <f aca="false">S819-Débit*pas</f>
        <v>7.37799999999998</v>
      </c>
      <c r="T820" s="417" t="n">
        <f aca="false">m*g</f>
        <v>72.3781799999998</v>
      </c>
      <c r="U820" s="421" t="n">
        <f aca="false">IF(pos_xz&lt;L_rampe,Poids*COS(Beta),0)</f>
        <v>0</v>
      </c>
      <c r="V820" s="418" t="n">
        <f aca="false">Rho_moyen*(20000-Alt_rampe-pos_z)/(20000+Alt_rampe+pos_z)</f>
        <v>1.22620775164608</v>
      </c>
      <c r="W820" s="417" t="n">
        <f aca="false">1/2*Rho*Sref*Cx*vit_xz^2</f>
        <v>58.0765020044765</v>
      </c>
      <c r="X820" s="401"/>
      <c r="Y820" s="422" t="str">
        <f aca="false">IF(AND(pos_z&lt;=0,K819&gt;0),"Impact balistique","") &amp; IF(AND(H821&lt;0,vit_z&gt;=0),"Apogée","") &amp; IF(AND(Poussee=0,Q819&gt;0),"Fin de propulsion","") &amp; IF(AND(L821&gt;L_rampe,pos_xz&lt;=L_rampe),"Sortie de rampe","")</f>
        <v/>
      </c>
      <c r="Z820" s="423" t="str">
        <f aca="false">IF(ABS(t-T_para)&lt;pas/2,"Para","")</f>
        <v/>
      </c>
      <c r="AA820" s="424" t="str">
        <f aca="false">IF(ABS(t-T_satellite)&lt;pas/2,"Satellite","")</f>
        <v/>
      </c>
      <c r="AB820" s="412"/>
      <c r="AC820" s="420" t="e">
        <f aca="false">IF(ABS(t-ROUND(t,0))&lt;0.001,t,NA())</f>
        <v>#N/A</v>
      </c>
      <c r="AD820" s="425" t="e">
        <f aca="false">IF(ABS(t-ROUND(t,0))&lt;0.001,pos_x,NA())</f>
        <v>#N/A</v>
      </c>
      <c r="AE820" s="426" t="e">
        <f aca="false">IF(t&lt;T_para, pos_z, NA())</f>
        <v>#N/A</v>
      </c>
      <c r="AF820" s="412"/>
      <c r="AG820" s="418" t="n">
        <f aca="false">IF(AND(L819&lt;L_rampe,Poussee&lt;Poids*SIN(M819)),0,(-W819+Poussee)/m-Poids*SIN(M819)/m)</f>
        <v>1.88881312197097</v>
      </c>
      <c r="AH820" s="417" t="n">
        <f aca="false">IF(AND(L819&lt;L_rampe,Poussee&lt;Poids*SIN(M819)), g*SIN(M819), (-W819+Poussee)/m)</f>
        <v>-7.87154425557702</v>
      </c>
    </row>
    <row r="821" customFormat="false" ht="12" hidden="false" customHeight="false" outlineLevel="0" collapsed="false">
      <c r="A821" s="416" t="n">
        <f aca="false">IF(B820+0.01&lt;=T_ini+ROUNDUP(Temps_fin_propu,0), 0.01, IF(K820&gt;0, 0.1, 0.0001))</f>
        <v>0.0001</v>
      </c>
      <c r="B821" s="417" t="n">
        <f aca="false">B820+pas</f>
        <v>36.3094000000005</v>
      </c>
      <c r="C821" s="401"/>
      <c r="D821" s="418" t="n">
        <f aca="false">IF(AND(L820&lt;L_rampe,Poussee&lt;Poids*SIN(M820)),0,(-W820+Poussee)/m*COS(M820)-U820/m*SIN(M820))</f>
        <v>-0.790890051996394</v>
      </c>
      <c r="E821" s="419" t="n">
        <f aca="false">IF(AND(L820&lt;L_rampe,Poussee&lt;Poids*SIN(M820)),0,(-W820+Poussee)/m*SIN(M820)+U820/m*COS(M820)-Poids/m)</f>
        <v>-1.97825484885192</v>
      </c>
      <c r="F821" s="417" t="n">
        <f aca="false">SQRT(acc_x^2+acc_z^2)</f>
        <v>2.13049274144574</v>
      </c>
      <c r="G821" s="418" t="n">
        <f aca="false">G820+acc_x*pas</f>
        <v>12.4695821090639</v>
      </c>
      <c r="H821" s="419" t="n">
        <f aca="false">H820+acc_z*pas</f>
        <v>-123.480330592261</v>
      </c>
      <c r="I821" s="417" t="n">
        <f aca="false">SQRT(vit_x^2+vit_z^2)</f>
        <v>124.108349925171</v>
      </c>
      <c r="J821" s="418" t="n">
        <f aca="false">J820+0.5*(vit_x+G820)*pas*(K820&gt;=0)</f>
        <v>913.614336176273</v>
      </c>
      <c r="K821" s="419" t="n">
        <f aca="false">K820+0.5*(vit_z+H820)*pas</f>
        <v>-9.86668734031173</v>
      </c>
      <c r="L821" s="417" t="n">
        <f aca="false">SQRT(pos_x^2+pos_z^2)</f>
        <v>913.667612858136</v>
      </c>
      <c r="M821" s="418" t="n">
        <f aca="false">IF(AND(L820&gt;L_rampe,G821&gt;0),ATAN2(G821,H821),$M$4)</f>
        <v>-1.47015315611669</v>
      </c>
      <c r="N821" s="417" t="n">
        <f aca="false">DEGREES(Beta)</f>
        <v>-84.2335710833237</v>
      </c>
      <c r="O821" s="401"/>
      <c r="P821" s="420" t="n">
        <f aca="false">MATCH(t-pas/2-T_ini,CdP_t)</f>
        <v>23</v>
      </c>
      <c r="Q821" s="417" t="n">
        <f aca="false">(INDEX(CdP,2,i_P+1)-INDEX(CdP,2,i_P+0))/(INDEX(CdP,1,i_P+1)-INDEX(CdP,1,i_P+0))*(t-pas/2-T_ini-INDEX(CdP,1,i_P+0))+INDEX(CdP,2,i_P+0)</f>
        <v>0</v>
      </c>
      <c r="R821" s="418" t="n">
        <f aca="false">Poussee/(g*ISP)</f>
        <v>0</v>
      </c>
      <c r="S821" s="419" t="n">
        <f aca="false">S820-Débit*pas</f>
        <v>7.37799999999998</v>
      </c>
      <c r="T821" s="417" t="n">
        <f aca="false">m*g</f>
        <v>72.3781799999998</v>
      </c>
      <c r="U821" s="421" t="n">
        <f aca="false">IF(pos_xz&lt;L_rampe,Poids*COS(Beta),0)</f>
        <v>0</v>
      </c>
      <c r="V821" s="418" t="n">
        <f aca="false">Rho_moyen*(20000-Alt_rampe-pos_z)/(20000+Alt_rampe+pos_z)</f>
        <v>1.22620926577155</v>
      </c>
      <c r="W821" s="417" t="n">
        <f aca="false">1/2*Rho*Sref*Cx*vit_xz^2</f>
        <v>58.0767504891361</v>
      </c>
      <c r="X821" s="401"/>
      <c r="Y821" s="422" t="str">
        <f aca="false">IF(AND(pos_z&lt;=0,K820&gt;0),"Impact balistique","") &amp; IF(AND(H822&lt;0,vit_z&gt;=0),"Apogée","") &amp; IF(AND(Poussee=0,Q820&gt;0),"Fin de propulsion","") &amp; IF(AND(L822&gt;L_rampe,pos_xz&lt;=L_rampe),"Sortie de rampe","")</f>
        <v/>
      </c>
      <c r="Z821" s="423" t="str">
        <f aca="false">IF(ABS(t-T_para)&lt;pas/2,"Para","")</f>
        <v/>
      </c>
      <c r="AA821" s="424" t="str">
        <f aca="false">IF(ABS(t-T_satellite)&lt;pas/2,"Satellite","")</f>
        <v/>
      </c>
      <c r="AB821" s="412"/>
      <c r="AC821" s="420" t="e">
        <f aca="false">IF(ABS(t-ROUND(t,0))&lt;0.001,t,NA())</f>
        <v>#N/A</v>
      </c>
      <c r="AD821" s="425" t="e">
        <f aca="false">IF(ABS(t-ROUND(t,0))&lt;0.001,pos_x,NA())</f>
        <v>#N/A</v>
      </c>
      <c r="AE821" s="426" t="e">
        <f aca="false">IF(t&lt;T_para, pos_z, NA())</f>
        <v>#N/A</v>
      </c>
      <c r="AF821" s="412"/>
      <c r="AG821" s="418" t="n">
        <f aca="false">IF(AND(L820&lt;L_rampe,Poussee&lt;Poids*SIN(M820)),0,(-W820+Poussee)/m-Poids*SIN(M820)/m)</f>
        <v>1.88878022534276</v>
      </c>
      <c r="AH821" s="417" t="n">
        <f aca="false">IF(AND(L820&lt;L_rampe,Poussee&lt;Poids*SIN(M820)), g*SIN(M820), (-W820+Poussee)/m)</f>
        <v>-7.87157793500631</v>
      </c>
    </row>
    <row r="822" customFormat="false" ht="12" hidden="false" customHeight="false" outlineLevel="0" collapsed="false">
      <c r="A822" s="416" t="n">
        <f aca="false">IF(B821+0.01&lt;=T_ini+ROUNDUP(Temps_fin_propu,0), 0.01, IF(K821&gt;0, 0.1, 0.0001))</f>
        <v>0.0001</v>
      </c>
      <c r="B822" s="417" t="n">
        <f aca="false">B821+pas</f>
        <v>36.3095000000005</v>
      </c>
      <c r="C822" s="401"/>
      <c r="D822" s="418" t="n">
        <f aca="false">IF(AND(L821&lt;L_rampe,Poussee&lt;Poids*SIN(M821)),0,(-W821+Poussee)/m*COS(M821)-U821/m*SIN(M821))</f>
        <v>-0.790887215988128</v>
      </c>
      <c r="E822" s="419" t="n">
        <f aca="false">IF(AND(L821&lt;L_rampe,Poussee&lt;Poids*SIN(M821)),0,(-W821+Poussee)/m*SIN(M821)+U821/m*COS(M821)-Poids/m)</f>
        <v>-1.97822071203009</v>
      </c>
      <c r="F822" s="417" t="n">
        <f aca="false">SQRT(acc_x^2+acc_z^2)</f>
        <v>2.13045999115644</v>
      </c>
      <c r="G822" s="418" t="n">
        <f aca="false">G821+acc_x*pas</f>
        <v>12.4695030203423</v>
      </c>
      <c r="H822" s="419" t="n">
        <f aca="false">H821+acc_z*pas</f>
        <v>-123.480528414332</v>
      </c>
      <c r="I822" s="417" t="n">
        <f aca="false">SQRT(vit_x^2+vit_z^2)</f>
        <v>124.108538799943</v>
      </c>
      <c r="J822" s="418" t="n">
        <f aca="false">J821+0.5*(vit_x+G821)*pas*(K821&gt;=0)</f>
        <v>913.614336176273</v>
      </c>
      <c r="K822" s="419" t="n">
        <f aca="false">K821+0.5*(vit_z+H821)*pas</f>
        <v>-9.87903538326206</v>
      </c>
      <c r="L822" s="417" t="n">
        <f aca="false">SQRT(pos_x^2+pos_z^2)</f>
        <v>913.667746287958</v>
      </c>
      <c r="M822" s="418" t="n">
        <f aca="false">IF(AND(L821&gt;L_rampe,G822&gt;0),ATAN2(G822,H822),$M$4)</f>
        <v>-1.4701539502954</v>
      </c>
      <c r="N822" s="417" t="n">
        <f aca="false">DEGREES(Beta)</f>
        <v>-84.2336165864122</v>
      </c>
      <c r="O822" s="401"/>
      <c r="P822" s="420" t="n">
        <f aca="false">MATCH(t-pas/2-T_ini,CdP_t)</f>
        <v>23</v>
      </c>
      <c r="Q822" s="417" t="n">
        <f aca="false">(INDEX(CdP,2,i_P+1)-INDEX(CdP,2,i_P+0))/(INDEX(CdP,1,i_P+1)-INDEX(CdP,1,i_P+0))*(t-pas/2-T_ini-INDEX(CdP,1,i_P+0))+INDEX(CdP,2,i_P+0)</f>
        <v>0</v>
      </c>
      <c r="R822" s="418" t="n">
        <f aca="false">Poussee/(g*ISP)</f>
        <v>0</v>
      </c>
      <c r="S822" s="419" t="n">
        <f aca="false">S821-Débit*pas</f>
        <v>7.37799999999998</v>
      </c>
      <c r="T822" s="417" t="n">
        <f aca="false">m*g</f>
        <v>72.3781799999998</v>
      </c>
      <c r="U822" s="421" t="n">
        <f aca="false">IF(pos_xz&lt;L_rampe,Poids*COS(Beta),0)</f>
        <v>0</v>
      </c>
      <c r="V822" s="418" t="n">
        <f aca="false">Rho_moyen*(20000-Alt_rampe-pos_z)/(20000+Alt_rampe+pos_z)</f>
        <v>1.22621077990132</v>
      </c>
      <c r="W822" s="417" t="n">
        <f aca="false">1/2*Rho*Sref*Cx*vit_xz^2</f>
        <v>58.076998971626</v>
      </c>
      <c r="X822" s="401"/>
      <c r="Y822" s="422" t="str">
        <f aca="false">IF(AND(pos_z&lt;=0,K821&gt;0),"Impact balistique","") &amp; IF(AND(H823&lt;0,vit_z&gt;=0),"Apogée","") &amp; IF(AND(Poussee=0,Q821&gt;0),"Fin de propulsion","") &amp; IF(AND(L823&gt;L_rampe,pos_xz&lt;=L_rampe),"Sortie de rampe","")</f>
        <v/>
      </c>
      <c r="Z822" s="423" t="str">
        <f aca="false">IF(ABS(t-T_para)&lt;pas/2,"Para","")</f>
        <v/>
      </c>
      <c r="AA822" s="424" t="str">
        <f aca="false">IF(ABS(t-T_satellite)&lt;pas/2,"Satellite","")</f>
        <v/>
      </c>
      <c r="AB822" s="412"/>
      <c r="AC822" s="420" t="e">
        <f aca="false">IF(ABS(t-ROUND(t,0))&lt;0.001,t,NA())</f>
        <v>#N/A</v>
      </c>
      <c r="AD822" s="425" t="e">
        <f aca="false">IF(ABS(t-ROUND(t,0))&lt;0.001,pos_x,NA())</f>
        <v>#N/A</v>
      </c>
      <c r="AE822" s="426" t="e">
        <f aca="false">IF(t&lt;T_para, pos_z, NA())</f>
        <v>#N/A</v>
      </c>
      <c r="AF822" s="412"/>
      <c r="AG822" s="418" t="n">
        <f aca="false">IF(AND(L821&lt;L_rampe,Poussee&lt;Poids*SIN(M821)),0,(-W821+Poussee)/m-Poids*SIN(M821)/m)</f>
        <v>1.88874732899514</v>
      </c>
      <c r="AH822" s="417" t="n">
        <f aca="false">IF(AND(L821&lt;L_rampe,Poussee&lt;Poids*SIN(M821)), g*SIN(M821), (-W821+Poussee)/m)</f>
        <v>-7.87161161414153</v>
      </c>
    </row>
    <row r="823" customFormat="false" ht="12" hidden="false" customHeight="false" outlineLevel="0" collapsed="false">
      <c r="A823" s="416" t="n">
        <f aca="false">IF(B822+0.01&lt;=T_ini+ROUNDUP(Temps_fin_propu,0), 0.01, IF(K822&gt;0, 0.1, 0.0001))</f>
        <v>0.0001</v>
      </c>
      <c r="B823" s="417" t="n">
        <f aca="false">B822+pas</f>
        <v>36.3096000000005</v>
      </c>
      <c r="C823" s="401"/>
      <c r="D823" s="418" t="n">
        <f aca="false">IF(AND(L822&lt;L_rampe,Poussee&lt;Poids*SIN(M822)),0,(-W822+Poussee)/m*COS(M822)-U822/m*SIN(M822))</f>
        <v>-0.790884379954972</v>
      </c>
      <c r="E823" s="419" t="n">
        <f aca="false">IF(AND(L822&lt;L_rampe,Poussee&lt;Poids*SIN(M822)),0,(-W822+Poussee)/m*SIN(M822)+U822/m*COS(M822)-Poids/m)</f>
        <v>-1.97818657550632</v>
      </c>
      <c r="F823" s="417" t="n">
        <f aca="false">SQRT(acc_x^2+acc_z^2)</f>
        <v>2.13042724118196</v>
      </c>
      <c r="G823" s="418" t="n">
        <f aca="false">G822+acc_x*pas</f>
        <v>12.4694239319043</v>
      </c>
      <c r="H823" s="419" t="n">
        <f aca="false">H822+acc_z*pas</f>
        <v>-123.48072623299</v>
      </c>
      <c r="I823" s="417" t="n">
        <f aca="false">SQRT(vit_x^2+vit_z^2)</f>
        <v>124.108727671426</v>
      </c>
      <c r="J823" s="418" t="n">
        <f aca="false">J822+0.5*(vit_x+G822)*pas*(K822&gt;=0)</f>
        <v>913.614336176273</v>
      </c>
      <c r="K823" s="419" t="n">
        <f aca="false">K822+0.5*(vit_z+H822)*pas</f>
        <v>-9.89138344599443</v>
      </c>
      <c r="L823" s="417" t="n">
        <f aca="false">SQRT(pos_x^2+pos_z^2)</f>
        <v>913.667879884856</v>
      </c>
      <c r="M823" s="418" t="n">
        <f aca="false">IF(AND(L822&gt;L_rampe,G823&gt;0),ATAN2(G823,H823),$M$4)</f>
        <v>-1.47015474446666</v>
      </c>
      <c r="N823" s="417" t="n">
        <f aca="false">DEGREES(Beta)</f>
        <v>-84.2336620890736</v>
      </c>
      <c r="O823" s="401"/>
      <c r="P823" s="420" t="n">
        <f aca="false">MATCH(t-pas/2-T_ini,CdP_t)</f>
        <v>23</v>
      </c>
      <c r="Q823" s="417" t="n">
        <f aca="false">(INDEX(CdP,2,i_P+1)-INDEX(CdP,2,i_P+0))/(INDEX(CdP,1,i_P+1)-INDEX(CdP,1,i_P+0))*(t-pas/2-T_ini-INDEX(CdP,1,i_P+0))+INDEX(CdP,2,i_P+0)</f>
        <v>0</v>
      </c>
      <c r="R823" s="418" t="n">
        <f aca="false">Poussee/(g*ISP)</f>
        <v>0</v>
      </c>
      <c r="S823" s="419" t="n">
        <f aca="false">S822-Débit*pas</f>
        <v>7.37799999999998</v>
      </c>
      <c r="T823" s="417" t="n">
        <f aca="false">m*g</f>
        <v>72.3781799999998</v>
      </c>
      <c r="U823" s="421" t="n">
        <f aca="false">IF(pos_xz&lt;L_rampe,Poids*COS(Beta),0)</f>
        <v>0</v>
      </c>
      <c r="V823" s="418" t="n">
        <f aca="false">Rho_moyen*(20000-Alt_rampe-pos_z)/(20000+Alt_rampe+pos_z)</f>
        <v>1.22621229403539</v>
      </c>
      <c r="W823" s="417" t="n">
        <f aca="false">1/2*Rho*Sref*Cx*vit_xz^2</f>
        <v>58.0772474519462</v>
      </c>
      <c r="X823" s="401"/>
      <c r="Y823" s="422" t="str">
        <f aca="false">IF(AND(pos_z&lt;=0,K822&gt;0),"Impact balistique","") &amp; IF(AND(H824&lt;0,vit_z&gt;=0),"Apogée","") &amp; IF(AND(Poussee=0,Q822&gt;0),"Fin de propulsion","") &amp; IF(AND(L824&gt;L_rampe,pos_xz&lt;=L_rampe),"Sortie de rampe","")</f>
        <v/>
      </c>
      <c r="Z823" s="423" t="str">
        <f aca="false">IF(ABS(t-T_para)&lt;pas/2,"Para","")</f>
        <v/>
      </c>
      <c r="AA823" s="424" t="str">
        <f aca="false">IF(ABS(t-T_satellite)&lt;pas/2,"Satellite","")</f>
        <v/>
      </c>
      <c r="AB823" s="412"/>
      <c r="AC823" s="420" t="e">
        <f aca="false">IF(ABS(t-ROUND(t,0))&lt;0.001,t,NA())</f>
        <v>#N/A</v>
      </c>
      <c r="AD823" s="425" t="e">
        <f aca="false">IF(ABS(t-ROUND(t,0))&lt;0.001,pos_x,NA())</f>
        <v>#N/A</v>
      </c>
      <c r="AE823" s="426" t="e">
        <f aca="false">IF(t&lt;T_para, pos_z, NA())</f>
        <v>#N/A</v>
      </c>
      <c r="AF823" s="412"/>
      <c r="AG823" s="418" t="n">
        <f aca="false">IF(AND(L822&lt;L_rampe,Poussee&lt;Poids*SIN(M822)),0,(-W822+Poussee)/m-Poids*SIN(M822)/m)</f>
        <v>1.88871443292809</v>
      </c>
      <c r="AH823" s="417" t="n">
        <f aca="false">IF(AND(L822&lt;L_rampe,Poussee&lt;Poids*SIN(M822)), g*SIN(M822), (-W822+Poussee)/m)</f>
        <v>-7.87164529298267</v>
      </c>
    </row>
    <row r="824" customFormat="false" ht="12" hidden="false" customHeight="false" outlineLevel="0" collapsed="false">
      <c r="A824" s="416" t="n">
        <f aca="false">IF(B823+0.01&lt;=T_ini+ROUNDUP(Temps_fin_propu,0), 0.01, IF(K823&gt;0, 0.1, 0.0001))</f>
        <v>0.0001</v>
      </c>
      <c r="B824" s="417" t="n">
        <f aca="false">B823+pas</f>
        <v>36.3097000000005</v>
      </c>
      <c r="C824" s="401"/>
      <c r="D824" s="418" t="n">
        <f aca="false">IF(AND(L823&lt;L_rampe,Poussee&lt;Poids*SIN(M823)),0,(-W823+Poussee)/m*COS(M823)-U823/m*SIN(M823))</f>
        <v>-0.790881543896929</v>
      </c>
      <c r="E824" s="419" t="n">
        <f aca="false">IF(AND(L823&lt;L_rampe,Poussee&lt;Poids*SIN(M823)),0,(-W823+Poussee)/m*SIN(M823)+U823/m*COS(M823)-Poids/m)</f>
        <v>-1.9781524392806</v>
      </c>
      <c r="F824" s="417" t="n">
        <f aca="false">SQRT(acc_x^2+acc_z^2)</f>
        <v>2.13039449152231</v>
      </c>
      <c r="G824" s="418" t="n">
        <f aca="false">G823+acc_x*pas</f>
        <v>12.4693448437499</v>
      </c>
      <c r="H824" s="419" t="n">
        <f aca="false">H823+acc_z*pas</f>
        <v>-123.480924048234</v>
      </c>
      <c r="I824" s="417" t="n">
        <f aca="false">SQRT(vit_x^2+vit_z^2)</f>
        <v>124.108916539618</v>
      </c>
      <c r="J824" s="418" t="n">
        <f aca="false">J823+0.5*(vit_x+G823)*pas*(K823&gt;=0)</f>
        <v>913.614336176273</v>
      </c>
      <c r="K824" s="419" t="n">
        <f aca="false">K823+0.5*(vit_z+H823)*pas</f>
        <v>-9.90373152850849</v>
      </c>
      <c r="L824" s="417" t="n">
        <f aca="false">SQRT(pos_x^2+pos_z^2)</f>
        <v>913.668013648831</v>
      </c>
      <c r="M824" s="418" t="n">
        <f aca="false">IF(AND(L823&gt;L_rampe,G824&gt;0),ATAN2(G824,H824),$M$4)</f>
        <v>-1.47015553863046</v>
      </c>
      <c r="N824" s="417" t="n">
        <f aca="false">DEGREES(Beta)</f>
        <v>-84.2337075913079</v>
      </c>
      <c r="O824" s="401"/>
      <c r="P824" s="420" t="n">
        <f aca="false">MATCH(t-pas/2-T_ini,CdP_t)</f>
        <v>23</v>
      </c>
      <c r="Q824" s="417" t="n">
        <f aca="false">(INDEX(CdP,2,i_P+1)-INDEX(CdP,2,i_P+0))/(INDEX(CdP,1,i_P+1)-INDEX(CdP,1,i_P+0))*(t-pas/2-T_ini-INDEX(CdP,1,i_P+0))+INDEX(CdP,2,i_P+0)</f>
        <v>0</v>
      </c>
      <c r="R824" s="418" t="n">
        <f aca="false">Poussee/(g*ISP)</f>
        <v>0</v>
      </c>
      <c r="S824" s="419" t="n">
        <f aca="false">S823-Débit*pas</f>
        <v>7.37799999999998</v>
      </c>
      <c r="T824" s="417" t="n">
        <f aca="false">m*g</f>
        <v>72.3781799999998</v>
      </c>
      <c r="U824" s="421" t="n">
        <f aca="false">IF(pos_xz&lt;L_rampe,Poids*COS(Beta),0)</f>
        <v>0</v>
      </c>
      <c r="V824" s="418" t="n">
        <f aca="false">Rho_moyen*(20000-Alt_rampe-pos_z)/(20000+Alt_rampe+pos_z)</f>
        <v>1.22621380817376</v>
      </c>
      <c r="W824" s="417" t="n">
        <f aca="false">1/2*Rho*Sref*Cx*vit_xz^2</f>
        <v>58.0774959300966</v>
      </c>
      <c r="X824" s="401"/>
      <c r="Y824" s="422" t="str">
        <f aca="false">IF(AND(pos_z&lt;=0,K823&gt;0),"Impact balistique","") &amp; IF(AND(H825&lt;0,vit_z&gt;=0),"Apogée","") &amp; IF(AND(Poussee=0,Q823&gt;0),"Fin de propulsion","") &amp; IF(AND(L825&gt;L_rampe,pos_xz&lt;=L_rampe),"Sortie de rampe","")</f>
        <v/>
      </c>
      <c r="Z824" s="423" t="str">
        <f aca="false">IF(ABS(t-T_para)&lt;pas/2,"Para","")</f>
        <v/>
      </c>
      <c r="AA824" s="424" t="str">
        <f aca="false">IF(ABS(t-T_satellite)&lt;pas/2,"Satellite","")</f>
        <v/>
      </c>
      <c r="AB824" s="412"/>
      <c r="AC824" s="420" t="e">
        <f aca="false">IF(ABS(t-ROUND(t,0))&lt;0.001,t,NA())</f>
        <v>#N/A</v>
      </c>
      <c r="AD824" s="425" t="e">
        <f aca="false">IF(ABS(t-ROUND(t,0))&lt;0.001,pos_x,NA())</f>
        <v>#N/A</v>
      </c>
      <c r="AE824" s="426" t="e">
        <f aca="false">IF(t&lt;T_para, pos_z, NA())</f>
        <v>#N/A</v>
      </c>
      <c r="AF824" s="412"/>
      <c r="AG824" s="418" t="n">
        <f aca="false">IF(AND(L823&lt;L_rampe,Poussee&lt;Poids*SIN(M823)),0,(-W823+Poussee)/m-Poids*SIN(M823)/m)</f>
        <v>1.88868153714162</v>
      </c>
      <c r="AH824" s="417" t="n">
        <f aca="false">IF(AND(L823&lt;L_rampe,Poussee&lt;Poids*SIN(M823)), g*SIN(M823), (-W823+Poussee)/m)</f>
        <v>-7.87167897152972</v>
      </c>
    </row>
    <row r="825" customFormat="false" ht="12" hidden="false" customHeight="false" outlineLevel="0" collapsed="false">
      <c r="A825" s="416" t="n">
        <f aca="false">IF(B824+0.01&lt;=T_ini+ROUNDUP(Temps_fin_propu,0), 0.01, IF(K824&gt;0, 0.1, 0.0001))</f>
        <v>0.0001</v>
      </c>
      <c r="B825" s="417" t="n">
        <f aca="false">B824+pas</f>
        <v>36.3098000000005</v>
      </c>
      <c r="C825" s="401"/>
      <c r="D825" s="418" t="n">
        <f aca="false">IF(AND(L824&lt;L_rampe,Poussee&lt;Poids*SIN(M824)),0,(-W824+Poussee)/m*COS(M824)-U824/m*SIN(M824))</f>
        <v>-0.790878707813999</v>
      </c>
      <c r="E825" s="419" t="n">
        <f aca="false">IF(AND(L824&lt;L_rampe,Poussee&lt;Poids*SIN(M824)),0,(-W824+Poussee)/m*SIN(M824)+U824/m*COS(M824)-Poids/m)</f>
        <v>-1.97811830335293</v>
      </c>
      <c r="F825" s="417" t="n">
        <f aca="false">SQRT(acc_x^2+acc_z^2)</f>
        <v>2.13036174217746</v>
      </c>
      <c r="G825" s="418" t="n">
        <f aca="false">G824+acc_x*pas</f>
        <v>12.4692657558791</v>
      </c>
      <c r="H825" s="419" t="n">
        <f aca="false">H824+acc_z*pas</f>
        <v>-123.481121860064</v>
      </c>
      <c r="I825" s="417" t="n">
        <f aca="false">SQRT(vit_x^2+vit_z^2)</f>
        <v>124.109105404522</v>
      </c>
      <c r="J825" s="418" t="n">
        <f aca="false">J824+0.5*(vit_x+G824)*pas*(K824&gt;=0)</f>
        <v>913.614336176273</v>
      </c>
      <c r="K825" s="419" t="n">
        <f aca="false">K824+0.5*(vit_z+H824)*pas</f>
        <v>-9.9160796308039</v>
      </c>
      <c r="L825" s="417" t="n">
        <f aca="false">SQRT(pos_x^2+pos_z^2)</f>
        <v>913.668147579884</v>
      </c>
      <c r="M825" s="418" t="n">
        <f aca="false">IF(AND(L824&gt;L_rampe,G825&gt;0),ATAN2(G825,H825),$M$4)</f>
        <v>-1.47015633278682</v>
      </c>
      <c r="N825" s="417" t="n">
        <f aca="false">DEGREES(Beta)</f>
        <v>-84.2337530931151</v>
      </c>
      <c r="O825" s="401"/>
      <c r="P825" s="420" t="n">
        <f aca="false">MATCH(t-pas/2-T_ini,CdP_t)</f>
        <v>23</v>
      </c>
      <c r="Q825" s="417" t="n">
        <f aca="false">(INDEX(CdP,2,i_P+1)-INDEX(CdP,2,i_P+0))/(INDEX(CdP,1,i_P+1)-INDEX(CdP,1,i_P+0))*(t-pas/2-T_ini-INDEX(CdP,1,i_P+0))+INDEX(CdP,2,i_P+0)</f>
        <v>0</v>
      </c>
      <c r="R825" s="418" t="n">
        <f aca="false">Poussee/(g*ISP)</f>
        <v>0</v>
      </c>
      <c r="S825" s="419" t="n">
        <f aca="false">S824-Débit*pas</f>
        <v>7.37799999999998</v>
      </c>
      <c r="T825" s="417" t="n">
        <f aca="false">m*g</f>
        <v>72.3781799999998</v>
      </c>
      <c r="U825" s="421" t="n">
        <f aca="false">IF(pos_xz&lt;L_rampe,Poids*COS(Beta),0)</f>
        <v>0</v>
      </c>
      <c r="V825" s="418" t="n">
        <f aca="false">Rho_moyen*(20000-Alt_rampe-pos_z)/(20000+Alt_rampe+pos_z)</f>
        <v>1.22621532231642</v>
      </c>
      <c r="W825" s="417" t="n">
        <f aca="false">1/2*Rho*Sref*Cx*vit_xz^2</f>
        <v>58.0777444060774</v>
      </c>
      <c r="X825" s="401"/>
      <c r="Y825" s="422" t="str">
        <f aca="false">IF(AND(pos_z&lt;=0,K824&gt;0),"Impact balistique","") &amp; IF(AND(H826&lt;0,vit_z&gt;=0),"Apogée","") &amp; IF(AND(Poussee=0,Q824&gt;0),"Fin de propulsion","") &amp; IF(AND(L826&gt;L_rampe,pos_xz&lt;=L_rampe),"Sortie de rampe","")</f>
        <v/>
      </c>
      <c r="Z825" s="423" t="str">
        <f aca="false">IF(ABS(t-T_para)&lt;pas/2,"Para","")</f>
        <v/>
      </c>
      <c r="AA825" s="424" t="str">
        <f aca="false">IF(ABS(t-T_satellite)&lt;pas/2,"Satellite","")</f>
        <v/>
      </c>
      <c r="AB825" s="412"/>
      <c r="AC825" s="420" t="e">
        <f aca="false">IF(ABS(t-ROUND(t,0))&lt;0.001,t,NA())</f>
        <v>#N/A</v>
      </c>
      <c r="AD825" s="425" t="e">
        <f aca="false">IF(ABS(t-ROUND(t,0))&lt;0.001,pos_x,NA())</f>
        <v>#N/A</v>
      </c>
      <c r="AE825" s="426" t="e">
        <f aca="false">IF(t&lt;T_para, pos_z, NA())</f>
        <v>#N/A</v>
      </c>
      <c r="AF825" s="412"/>
      <c r="AG825" s="418" t="n">
        <f aca="false">IF(AND(L824&lt;L_rampe,Poussee&lt;Poids*SIN(M824)),0,(-W824+Poussee)/m-Poids*SIN(M824)/m)</f>
        <v>1.88864864163572</v>
      </c>
      <c r="AH825" s="417" t="n">
        <f aca="false">IF(AND(L824&lt;L_rampe,Poussee&lt;Poids*SIN(M824)), g*SIN(M824), (-W824+Poussee)/m)</f>
        <v>-7.8717126497827</v>
      </c>
    </row>
    <row r="826" customFormat="false" ht="12" hidden="false" customHeight="false" outlineLevel="0" collapsed="false">
      <c r="A826" s="416" t="n">
        <f aca="false">IF(B825+0.01&lt;=T_ini+ROUNDUP(Temps_fin_propu,0), 0.01, IF(K825&gt;0, 0.1, 0.0001))</f>
        <v>0.0001</v>
      </c>
      <c r="B826" s="417" t="n">
        <f aca="false">B825+pas</f>
        <v>36.3099000000005</v>
      </c>
      <c r="C826" s="401"/>
      <c r="D826" s="418" t="n">
        <f aca="false">IF(AND(L825&lt;L_rampe,Poussee&lt;Poids*SIN(M825)),0,(-W825+Poussee)/m*COS(M825)-U825/m*SIN(M825))</f>
        <v>-0.790875871706182</v>
      </c>
      <c r="E826" s="419" t="n">
        <f aca="false">IF(AND(L825&lt;L_rampe,Poussee&lt;Poids*SIN(M825)),0,(-W825+Poussee)/m*SIN(M825)+U825/m*COS(M825)-Poids/m)</f>
        <v>-1.97808416772331</v>
      </c>
      <c r="F826" s="417" t="n">
        <f aca="false">SQRT(acc_x^2+acc_z^2)</f>
        <v>2.13032899314745</v>
      </c>
      <c r="G826" s="418" t="n">
        <f aca="false">G825+acc_x*pas</f>
        <v>12.469186668292</v>
      </c>
      <c r="H826" s="419" t="n">
        <f aca="false">H825+acc_z*pas</f>
        <v>-123.481319668481</v>
      </c>
      <c r="I826" s="417" t="n">
        <f aca="false">SQRT(vit_x^2+vit_z^2)</f>
        <v>124.109294266136</v>
      </c>
      <c r="J826" s="418" t="n">
        <f aca="false">J825+0.5*(vit_x+G825)*pas*(K825&gt;=0)</f>
        <v>913.614336176273</v>
      </c>
      <c r="K826" s="419" t="n">
        <f aca="false">K825+0.5*(vit_z+H825)*pas</f>
        <v>-9.92842775288033</v>
      </c>
      <c r="L826" s="417" t="n">
        <f aca="false">SQRT(pos_x^2+pos_z^2)</f>
        <v>913.668281678015</v>
      </c>
      <c r="M826" s="418" t="n">
        <f aca="false">IF(AND(L825&gt;L_rampe,G826&gt;0),ATAN2(G826,H826),$M$4)</f>
        <v>-1.47015712693571</v>
      </c>
      <c r="N826" s="417" t="n">
        <f aca="false">DEGREES(Beta)</f>
        <v>-84.2337985944952</v>
      </c>
      <c r="O826" s="401"/>
      <c r="P826" s="420" t="n">
        <f aca="false">MATCH(t-pas/2-T_ini,CdP_t)</f>
        <v>23</v>
      </c>
      <c r="Q826" s="417" t="n">
        <f aca="false">(INDEX(CdP,2,i_P+1)-INDEX(CdP,2,i_P+0))/(INDEX(CdP,1,i_P+1)-INDEX(CdP,1,i_P+0))*(t-pas/2-T_ini-INDEX(CdP,1,i_P+0))+INDEX(CdP,2,i_P+0)</f>
        <v>0</v>
      </c>
      <c r="R826" s="418" t="n">
        <f aca="false">Poussee/(g*ISP)</f>
        <v>0</v>
      </c>
      <c r="S826" s="419" t="n">
        <f aca="false">S825-Débit*pas</f>
        <v>7.37799999999998</v>
      </c>
      <c r="T826" s="417" t="n">
        <f aca="false">m*g</f>
        <v>72.3781799999998</v>
      </c>
      <c r="U826" s="421" t="n">
        <f aca="false">IF(pos_xz&lt;L_rampe,Poids*COS(Beta),0)</f>
        <v>0</v>
      </c>
      <c r="V826" s="418" t="n">
        <f aca="false">Rho_moyen*(20000-Alt_rampe-pos_z)/(20000+Alt_rampe+pos_z)</f>
        <v>1.22621683646337</v>
      </c>
      <c r="W826" s="417" t="n">
        <f aca="false">1/2*Rho*Sref*Cx*vit_xz^2</f>
        <v>58.0779928798884</v>
      </c>
      <c r="X826" s="401"/>
      <c r="Y826" s="422" t="str">
        <f aca="false">IF(AND(pos_z&lt;=0,K825&gt;0),"Impact balistique","") &amp; IF(AND(H827&lt;0,vit_z&gt;=0),"Apogée","") &amp; IF(AND(Poussee=0,Q825&gt;0),"Fin de propulsion","") &amp; IF(AND(L827&gt;L_rampe,pos_xz&lt;=L_rampe),"Sortie de rampe","")</f>
        <v/>
      </c>
      <c r="Z826" s="423" t="str">
        <f aca="false">IF(ABS(t-T_para)&lt;pas/2,"Para","")</f>
        <v/>
      </c>
      <c r="AA826" s="424" t="str">
        <f aca="false">IF(ABS(t-T_satellite)&lt;pas/2,"Satellite","")</f>
        <v/>
      </c>
      <c r="AB826" s="412"/>
      <c r="AC826" s="420" t="e">
        <f aca="false">IF(ABS(t-ROUND(t,0))&lt;0.001,t,NA())</f>
        <v>#N/A</v>
      </c>
      <c r="AD826" s="425" t="e">
        <f aca="false">IF(ABS(t-ROUND(t,0))&lt;0.001,pos_x,NA())</f>
        <v>#N/A</v>
      </c>
      <c r="AE826" s="426" t="e">
        <f aca="false">IF(t&lt;T_para, pos_z, NA())</f>
        <v>#N/A</v>
      </c>
      <c r="AF826" s="412"/>
      <c r="AG826" s="418" t="n">
        <f aca="false">IF(AND(L825&lt;L_rampe,Poussee&lt;Poids*SIN(M825)),0,(-W825+Poussee)/m-Poids*SIN(M825)/m)</f>
        <v>1.8886157464104</v>
      </c>
      <c r="AH826" s="417" t="n">
        <f aca="false">IF(AND(L825&lt;L_rampe,Poussee&lt;Poids*SIN(M825)), g*SIN(M825), (-W825+Poussee)/m)</f>
        <v>-7.87174632774159</v>
      </c>
    </row>
    <row r="827" customFormat="false" ht="12" hidden="false" customHeight="false" outlineLevel="0" collapsed="false">
      <c r="A827" s="416" t="n">
        <f aca="false">IF(B826+0.01&lt;=T_ini+ROUNDUP(Temps_fin_propu,0), 0.01, IF(K826&gt;0, 0.1, 0.0001))</f>
        <v>0.0001</v>
      </c>
      <c r="B827" s="417" t="n">
        <f aca="false">B826+pas</f>
        <v>36.3100000000005</v>
      </c>
      <c r="C827" s="401"/>
      <c r="D827" s="418" t="n">
        <f aca="false">IF(AND(L826&lt;L_rampe,Poussee&lt;Poids*SIN(M826)),0,(-W826+Poussee)/m*COS(M826)-U826/m*SIN(M826))</f>
        <v>-0.79087303557348</v>
      </c>
      <c r="E827" s="419" t="n">
        <f aca="false">IF(AND(L826&lt;L_rampe,Poussee&lt;Poids*SIN(M826)),0,(-W826+Poussee)/m*SIN(M826)+U826/m*COS(M826)-Poids/m)</f>
        <v>-1.97805003239175</v>
      </c>
      <c r="F827" s="417" t="n">
        <f aca="false">SQRT(acc_x^2+acc_z^2)</f>
        <v>2.13029624443226</v>
      </c>
      <c r="G827" s="418" t="n">
        <f aca="false">G826+acc_x*pas</f>
        <v>12.4691075809884</v>
      </c>
      <c r="H827" s="419" t="n">
        <f aca="false">H826+acc_z*pas</f>
        <v>-123.481517473484</v>
      </c>
      <c r="I827" s="417" t="n">
        <f aca="false">SQRT(vit_x^2+vit_z^2)</f>
        <v>124.10948312446</v>
      </c>
      <c r="J827" s="418" t="n">
        <f aca="false">J826+0.5*(vit_x+G826)*pas*(K826&gt;=0)</f>
        <v>913.614336176273</v>
      </c>
      <c r="K827" s="419" t="n">
        <f aca="false">K826+0.5*(vit_z+H826)*pas</f>
        <v>-9.94077589473742</v>
      </c>
      <c r="L827" s="417" t="n">
        <f aca="false">SQRT(pos_x^2+pos_z^2)</f>
        <v>913.668415943225</v>
      </c>
      <c r="M827" s="418" t="n">
        <f aca="false">IF(AND(L826&gt;L_rampe,G827&gt;0),ATAN2(G827,H827),$M$4)</f>
        <v>-1.47015792107716</v>
      </c>
      <c r="N827" s="417" t="n">
        <f aca="false">DEGREES(Beta)</f>
        <v>-84.2338440954483</v>
      </c>
      <c r="O827" s="401"/>
      <c r="P827" s="420" t="n">
        <f aca="false">MATCH(t-pas/2-T_ini,CdP_t)</f>
        <v>23</v>
      </c>
      <c r="Q827" s="417" t="n">
        <f aca="false">(INDEX(CdP,2,i_P+1)-INDEX(CdP,2,i_P+0))/(INDEX(CdP,1,i_P+1)-INDEX(CdP,1,i_P+0))*(t-pas/2-T_ini-INDEX(CdP,1,i_P+0))+INDEX(CdP,2,i_P+0)</f>
        <v>0</v>
      </c>
      <c r="R827" s="418" t="n">
        <f aca="false">Poussee/(g*ISP)</f>
        <v>0</v>
      </c>
      <c r="S827" s="419" t="n">
        <f aca="false">S826-Débit*pas</f>
        <v>7.37799999999998</v>
      </c>
      <c r="T827" s="417" t="n">
        <f aca="false">m*g</f>
        <v>72.3781799999998</v>
      </c>
      <c r="U827" s="421" t="n">
        <f aca="false">IF(pos_xz&lt;L_rampe,Poids*COS(Beta),0)</f>
        <v>0</v>
      </c>
      <c r="V827" s="418" t="n">
        <f aca="false">Rho_moyen*(20000-Alt_rampe-pos_z)/(20000+Alt_rampe+pos_z)</f>
        <v>1.22621835061463</v>
      </c>
      <c r="W827" s="417" t="n">
        <f aca="false">1/2*Rho*Sref*Cx*vit_xz^2</f>
        <v>58.0782413515297</v>
      </c>
      <c r="X827" s="401"/>
      <c r="Y827" s="422" t="str">
        <f aca="false">IF(AND(pos_z&lt;=0,K826&gt;0),"Impact balistique","") &amp; IF(AND(H828&lt;0,vit_z&gt;=0),"Apogée","") &amp; IF(AND(Poussee=0,Q826&gt;0),"Fin de propulsion","") &amp; IF(AND(L828&gt;L_rampe,pos_xz&lt;=L_rampe),"Sortie de rampe","")</f>
        <v/>
      </c>
      <c r="Z827" s="423" t="str">
        <f aca="false">IF(ABS(t-T_para)&lt;pas/2,"Para","")</f>
        <v/>
      </c>
      <c r="AA827" s="424" t="str">
        <f aca="false">IF(ABS(t-T_satellite)&lt;pas/2,"Satellite","")</f>
        <v/>
      </c>
      <c r="AB827" s="412"/>
      <c r="AC827" s="420" t="e">
        <f aca="false">IF(ABS(t-ROUND(t,0))&lt;0.001,t,NA())</f>
        <v>#N/A</v>
      </c>
      <c r="AD827" s="425" t="e">
        <f aca="false">IF(ABS(t-ROUND(t,0))&lt;0.001,pos_x,NA())</f>
        <v>#N/A</v>
      </c>
      <c r="AE827" s="426" t="e">
        <f aca="false">IF(t&lt;T_para, pos_z, NA())</f>
        <v>#N/A</v>
      </c>
      <c r="AF827" s="412"/>
      <c r="AG827" s="418" t="n">
        <f aca="false">IF(AND(L826&lt;L_rampe,Poussee&lt;Poids*SIN(M826)),0,(-W826+Poussee)/m-Poids*SIN(M826)/m)</f>
        <v>1.88858285146566</v>
      </c>
      <c r="AH827" s="417" t="n">
        <f aca="false">IF(AND(L826&lt;L_rampe,Poussee&lt;Poids*SIN(M826)), g*SIN(M826), (-W826+Poussee)/m)</f>
        <v>-7.87178000540641</v>
      </c>
    </row>
    <row r="828" customFormat="false" ht="12" hidden="false" customHeight="false" outlineLevel="0" collapsed="false">
      <c r="A828" s="416" t="n">
        <f aca="false">IF(B827+0.01&lt;=T_ini+ROUNDUP(Temps_fin_propu,0), 0.01, IF(K827&gt;0, 0.1, 0.0001))</f>
        <v>0.0001</v>
      </c>
      <c r="B828" s="417" t="n">
        <f aca="false">B827+pas</f>
        <v>36.3101000000005</v>
      </c>
      <c r="C828" s="401"/>
      <c r="D828" s="418" t="n">
        <f aca="false">IF(AND(L827&lt;L_rampe,Poussee&lt;Poids*SIN(M827)),0,(-W827+Poussee)/m*COS(M827)-U827/m*SIN(M827))</f>
        <v>-0.790870199415893</v>
      </c>
      <c r="E828" s="419" t="n">
        <f aca="false">IF(AND(L827&lt;L_rampe,Poussee&lt;Poids*SIN(M827)),0,(-W827+Poussee)/m*SIN(M827)+U827/m*COS(M827)-Poids/m)</f>
        <v>-1.97801589735823</v>
      </c>
      <c r="F828" s="417" t="n">
        <f aca="false">SQRT(acc_x^2+acc_z^2)</f>
        <v>2.13026349603189</v>
      </c>
      <c r="G828" s="418" t="n">
        <f aca="false">G827+acc_x*pas</f>
        <v>12.4690284939685</v>
      </c>
      <c r="H828" s="419" t="n">
        <f aca="false">H827+acc_z*pas</f>
        <v>-123.481715275074</v>
      </c>
      <c r="I828" s="417" t="n">
        <f aca="false">SQRT(vit_x^2+vit_z^2)</f>
        <v>124.109671979495</v>
      </c>
      <c r="J828" s="418" t="n">
        <f aca="false">J827+0.5*(vit_x+G827)*pas*(K827&gt;=0)</f>
        <v>913.614336176273</v>
      </c>
      <c r="K828" s="419" t="n">
        <f aca="false">K827+0.5*(vit_z+H827)*pas</f>
        <v>-9.95312405637485</v>
      </c>
      <c r="L828" s="417" t="n">
        <f aca="false">SQRT(pos_x^2+pos_z^2)</f>
        <v>913.668550375514</v>
      </c>
      <c r="M828" s="418" t="n">
        <f aca="false">IF(AND(L827&gt;L_rampe,G828&gt;0),ATAN2(G828,H828),$M$4)</f>
        <v>-1.47015871521115</v>
      </c>
      <c r="N828" s="417" t="n">
        <f aca="false">DEGREES(Beta)</f>
        <v>-84.2338895959743</v>
      </c>
      <c r="O828" s="401"/>
      <c r="P828" s="420" t="n">
        <f aca="false">MATCH(t-pas/2-T_ini,CdP_t)</f>
        <v>23</v>
      </c>
      <c r="Q828" s="417" t="n">
        <f aca="false">(INDEX(CdP,2,i_P+1)-INDEX(CdP,2,i_P+0))/(INDEX(CdP,1,i_P+1)-INDEX(CdP,1,i_P+0))*(t-pas/2-T_ini-INDEX(CdP,1,i_P+0))+INDEX(CdP,2,i_P+0)</f>
        <v>0</v>
      </c>
      <c r="R828" s="418" t="n">
        <f aca="false">Poussee/(g*ISP)</f>
        <v>0</v>
      </c>
      <c r="S828" s="419" t="n">
        <f aca="false">S827-Débit*pas</f>
        <v>7.37799999999998</v>
      </c>
      <c r="T828" s="417" t="n">
        <f aca="false">m*g</f>
        <v>72.3781799999998</v>
      </c>
      <c r="U828" s="421" t="n">
        <f aca="false">IF(pos_xz&lt;L_rampe,Poids*COS(Beta),0)</f>
        <v>0</v>
      </c>
      <c r="V828" s="418" t="n">
        <f aca="false">Rho_moyen*(20000-Alt_rampe-pos_z)/(20000+Alt_rampe+pos_z)</f>
        <v>1.22621986477018</v>
      </c>
      <c r="W828" s="417" t="n">
        <f aca="false">1/2*Rho*Sref*Cx*vit_xz^2</f>
        <v>58.0784898210013</v>
      </c>
      <c r="X828" s="401"/>
      <c r="Y828" s="422" t="str">
        <f aca="false">IF(AND(pos_z&lt;=0,K827&gt;0),"Impact balistique","") &amp; IF(AND(H829&lt;0,vit_z&gt;=0),"Apogée","") &amp; IF(AND(Poussee=0,Q827&gt;0),"Fin de propulsion","") &amp; IF(AND(L829&gt;L_rampe,pos_xz&lt;=L_rampe),"Sortie de rampe","")</f>
        <v/>
      </c>
      <c r="Z828" s="423" t="str">
        <f aca="false">IF(ABS(t-T_para)&lt;pas/2,"Para","")</f>
        <v/>
      </c>
      <c r="AA828" s="424" t="str">
        <f aca="false">IF(ABS(t-T_satellite)&lt;pas/2,"Satellite","")</f>
        <v/>
      </c>
      <c r="AB828" s="412"/>
      <c r="AC828" s="420" t="e">
        <f aca="false">IF(ABS(t-ROUND(t,0))&lt;0.001,t,NA())</f>
        <v>#N/A</v>
      </c>
      <c r="AD828" s="425" t="e">
        <f aca="false">IF(ABS(t-ROUND(t,0))&lt;0.001,pos_x,NA())</f>
        <v>#N/A</v>
      </c>
      <c r="AE828" s="426" t="e">
        <f aca="false">IF(t&lt;T_para, pos_z, NA())</f>
        <v>#N/A</v>
      </c>
      <c r="AF828" s="412"/>
      <c r="AG828" s="418" t="n">
        <f aca="false">IF(AND(L827&lt;L_rampe,Poussee&lt;Poids*SIN(M827)),0,(-W827+Poussee)/m-Poids*SIN(M827)/m)</f>
        <v>1.88854995680149</v>
      </c>
      <c r="AH828" s="417" t="n">
        <f aca="false">IF(AND(L827&lt;L_rampe,Poussee&lt;Poids*SIN(M827)), g*SIN(M827), (-W827+Poussee)/m)</f>
        <v>-7.87181368277715</v>
      </c>
    </row>
    <row r="829" customFormat="false" ht="12" hidden="false" customHeight="false" outlineLevel="0" collapsed="false">
      <c r="A829" s="416" t="n">
        <f aca="false">IF(B828+0.01&lt;=T_ini+ROUNDUP(Temps_fin_propu,0), 0.01, IF(K828&gt;0, 0.1, 0.0001))</f>
        <v>0.0001</v>
      </c>
      <c r="B829" s="417" t="n">
        <f aca="false">B828+pas</f>
        <v>36.3102000000005</v>
      </c>
      <c r="C829" s="401"/>
      <c r="D829" s="418" t="n">
        <f aca="false">IF(AND(L828&lt;L_rampe,Poussee&lt;Poids*SIN(M828)),0,(-W828+Poussee)/m*COS(M828)-U828/m*SIN(M828))</f>
        <v>-0.790867363233421</v>
      </c>
      <c r="E829" s="419" t="n">
        <f aca="false">IF(AND(L828&lt;L_rampe,Poussee&lt;Poids*SIN(M828)),0,(-W828+Poussee)/m*SIN(M828)+U828/m*COS(M828)-Poids/m)</f>
        <v>-1.97798176262276</v>
      </c>
      <c r="F829" s="417" t="n">
        <f aca="false">SQRT(acc_x^2+acc_z^2)</f>
        <v>2.13023074794634</v>
      </c>
      <c r="G829" s="418" t="n">
        <f aca="false">G828+acc_x*pas</f>
        <v>12.4689494072321</v>
      </c>
      <c r="H829" s="419" t="n">
        <f aca="false">H828+acc_z*pas</f>
        <v>-123.48191307325</v>
      </c>
      <c r="I829" s="417" t="n">
        <f aca="false">SQRT(vit_x^2+vit_z^2)</f>
        <v>124.10986083124</v>
      </c>
      <c r="J829" s="418" t="n">
        <f aca="false">J828+0.5*(vit_x+G828)*pas*(K828&gt;=0)</f>
        <v>913.614336176273</v>
      </c>
      <c r="K829" s="419" t="n">
        <f aca="false">K828+0.5*(vit_z+H828)*pas</f>
        <v>-9.96547223779227</v>
      </c>
      <c r="L829" s="417" t="n">
        <f aca="false">SQRT(pos_x^2+pos_z^2)</f>
        <v>913.668684974884</v>
      </c>
      <c r="M829" s="418" t="n">
        <f aca="false">IF(AND(L828&gt;L_rampe,G829&gt;0),ATAN2(G829,H829),$M$4)</f>
        <v>-1.47015950933768</v>
      </c>
      <c r="N829" s="417" t="n">
        <f aca="false">DEGREES(Beta)</f>
        <v>-84.2339350960732</v>
      </c>
      <c r="O829" s="401"/>
      <c r="P829" s="420" t="n">
        <f aca="false">MATCH(t-pas/2-T_ini,CdP_t)</f>
        <v>23</v>
      </c>
      <c r="Q829" s="417" t="n">
        <f aca="false">(INDEX(CdP,2,i_P+1)-INDEX(CdP,2,i_P+0))/(INDEX(CdP,1,i_P+1)-INDEX(CdP,1,i_P+0))*(t-pas/2-T_ini-INDEX(CdP,1,i_P+0))+INDEX(CdP,2,i_P+0)</f>
        <v>0</v>
      </c>
      <c r="R829" s="418" t="n">
        <f aca="false">Poussee/(g*ISP)</f>
        <v>0</v>
      </c>
      <c r="S829" s="419" t="n">
        <f aca="false">S828-Débit*pas</f>
        <v>7.37799999999998</v>
      </c>
      <c r="T829" s="417" t="n">
        <f aca="false">m*g</f>
        <v>72.3781799999998</v>
      </c>
      <c r="U829" s="421" t="n">
        <f aca="false">IF(pos_xz&lt;L_rampe,Poids*COS(Beta),0)</f>
        <v>0</v>
      </c>
      <c r="V829" s="418" t="n">
        <f aca="false">Rho_moyen*(20000-Alt_rampe-pos_z)/(20000+Alt_rampe+pos_z)</f>
        <v>1.22622137893002</v>
      </c>
      <c r="W829" s="417" t="n">
        <f aca="false">1/2*Rho*Sref*Cx*vit_xz^2</f>
        <v>58.0787382883032</v>
      </c>
      <c r="X829" s="401"/>
      <c r="Y829" s="422" t="str">
        <f aca="false">IF(AND(pos_z&lt;=0,K828&gt;0),"Impact balistique","") &amp; IF(AND(H830&lt;0,vit_z&gt;=0),"Apogée","") &amp; IF(AND(Poussee=0,Q828&gt;0),"Fin de propulsion","") &amp; IF(AND(L830&gt;L_rampe,pos_xz&lt;=L_rampe),"Sortie de rampe","")</f>
        <v/>
      </c>
      <c r="Z829" s="423" t="str">
        <f aca="false">IF(ABS(t-T_para)&lt;pas/2,"Para","")</f>
        <v/>
      </c>
      <c r="AA829" s="424" t="str">
        <f aca="false">IF(ABS(t-T_satellite)&lt;pas/2,"Satellite","")</f>
        <v/>
      </c>
      <c r="AB829" s="412"/>
      <c r="AC829" s="420" t="e">
        <f aca="false">IF(ABS(t-ROUND(t,0))&lt;0.001,t,NA())</f>
        <v>#N/A</v>
      </c>
      <c r="AD829" s="425" t="e">
        <f aca="false">IF(ABS(t-ROUND(t,0))&lt;0.001,pos_x,NA())</f>
        <v>#N/A</v>
      </c>
      <c r="AE829" s="426" t="e">
        <f aca="false">IF(t&lt;T_para, pos_z, NA())</f>
        <v>#N/A</v>
      </c>
      <c r="AF829" s="412"/>
      <c r="AG829" s="418" t="n">
        <f aca="false">IF(AND(L828&lt;L_rampe,Poussee&lt;Poids*SIN(M828)),0,(-W828+Poussee)/m-Poids*SIN(M828)/m)</f>
        <v>1.8885170624179</v>
      </c>
      <c r="AH829" s="417" t="n">
        <f aca="false">IF(AND(L828&lt;L_rampe,Poussee&lt;Poids*SIN(M828)), g*SIN(M828), (-W828+Poussee)/m)</f>
        <v>-7.87184735985381</v>
      </c>
    </row>
    <row r="830" customFormat="false" ht="12" hidden="false" customHeight="false" outlineLevel="0" collapsed="false">
      <c r="A830" s="416" t="n">
        <f aca="false">IF(B829+0.01&lt;=T_ini+ROUNDUP(Temps_fin_propu,0), 0.01, IF(K829&gt;0, 0.1, 0.0001))</f>
        <v>0.0001</v>
      </c>
      <c r="B830" s="417" t="n">
        <f aca="false">B829+pas</f>
        <v>36.3103000000005</v>
      </c>
      <c r="C830" s="401"/>
      <c r="D830" s="418" t="n">
        <f aca="false">IF(AND(L829&lt;L_rampe,Poussee&lt;Poids*SIN(M829)),0,(-W829+Poussee)/m*COS(M829)-U829/m*SIN(M829))</f>
        <v>-0.790864527026065</v>
      </c>
      <c r="E830" s="419" t="n">
        <f aca="false">IF(AND(L829&lt;L_rampe,Poussee&lt;Poids*SIN(M829)),0,(-W829+Poussee)/m*SIN(M829)+U829/m*COS(M829)-Poids/m)</f>
        <v>-1.97794762818535</v>
      </c>
      <c r="F830" s="417" t="n">
        <f aca="false">SQRT(acc_x^2+acc_z^2)</f>
        <v>2.13019800017562</v>
      </c>
      <c r="G830" s="418" t="n">
        <f aca="false">G829+acc_x*pas</f>
        <v>12.4688703207794</v>
      </c>
      <c r="H830" s="419" t="n">
        <f aca="false">H829+acc_z*pas</f>
        <v>-123.482110868013</v>
      </c>
      <c r="I830" s="417" t="n">
        <f aca="false">SQRT(vit_x^2+vit_z^2)</f>
        <v>124.110049679696</v>
      </c>
      <c r="J830" s="418" t="n">
        <f aca="false">J829+0.5*(vit_x+G829)*pas*(K829&gt;=0)</f>
        <v>913.614336176273</v>
      </c>
      <c r="K830" s="419" t="n">
        <f aca="false">K829+0.5*(vit_z+H829)*pas</f>
        <v>-9.97782043898933</v>
      </c>
      <c r="L830" s="417" t="n">
        <f aca="false">SQRT(pos_x^2+pos_z^2)</f>
        <v>913.668819741335</v>
      </c>
      <c r="M830" s="418" t="n">
        <f aca="false">IF(AND(L829&gt;L_rampe,G830&gt;0),ATAN2(G830,H830),$M$4)</f>
        <v>-1.47016030345677</v>
      </c>
      <c r="N830" s="417" t="n">
        <f aca="false">DEGREES(Beta)</f>
        <v>-84.233980595745</v>
      </c>
      <c r="O830" s="401"/>
      <c r="P830" s="420" t="n">
        <f aca="false">MATCH(t-pas/2-T_ini,CdP_t)</f>
        <v>23</v>
      </c>
      <c r="Q830" s="417" t="n">
        <f aca="false">(INDEX(CdP,2,i_P+1)-INDEX(CdP,2,i_P+0))/(INDEX(CdP,1,i_P+1)-INDEX(CdP,1,i_P+0))*(t-pas/2-T_ini-INDEX(CdP,1,i_P+0))+INDEX(CdP,2,i_P+0)</f>
        <v>0</v>
      </c>
      <c r="R830" s="418" t="n">
        <f aca="false">Poussee/(g*ISP)</f>
        <v>0</v>
      </c>
      <c r="S830" s="419" t="n">
        <f aca="false">S829-Débit*pas</f>
        <v>7.37799999999998</v>
      </c>
      <c r="T830" s="417" t="n">
        <f aca="false">m*g</f>
        <v>72.3781799999998</v>
      </c>
      <c r="U830" s="421" t="n">
        <f aca="false">IF(pos_xz&lt;L_rampe,Poids*COS(Beta),0)</f>
        <v>0</v>
      </c>
      <c r="V830" s="418" t="n">
        <f aca="false">Rho_moyen*(20000-Alt_rampe-pos_z)/(20000+Alt_rampe+pos_z)</f>
        <v>1.22622289309416</v>
      </c>
      <c r="W830" s="417" t="n">
        <f aca="false">1/2*Rho*Sref*Cx*vit_xz^2</f>
        <v>58.0789867534354</v>
      </c>
      <c r="X830" s="401"/>
      <c r="Y830" s="422" t="str">
        <f aca="false">IF(AND(pos_z&lt;=0,K829&gt;0),"Impact balistique","") &amp; IF(AND(H831&lt;0,vit_z&gt;=0),"Apogée","") &amp; IF(AND(Poussee=0,Q829&gt;0),"Fin de propulsion","") &amp; IF(AND(L831&gt;L_rampe,pos_xz&lt;=L_rampe),"Sortie de rampe","")</f>
        <v/>
      </c>
      <c r="Z830" s="423" t="str">
        <f aca="false">IF(ABS(t-T_para)&lt;pas/2,"Para","")</f>
        <v/>
      </c>
      <c r="AA830" s="424" t="str">
        <f aca="false">IF(ABS(t-T_satellite)&lt;pas/2,"Satellite","")</f>
        <v/>
      </c>
      <c r="AB830" s="412"/>
      <c r="AC830" s="420" t="e">
        <f aca="false">IF(ABS(t-ROUND(t,0))&lt;0.001,t,NA())</f>
        <v>#N/A</v>
      </c>
      <c r="AD830" s="425" t="e">
        <f aca="false">IF(ABS(t-ROUND(t,0))&lt;0.001,pos_x,NA())</f>
        <v>#N/A</v>
      </c>
      <c r="AE830" s="426" t="e">
        <f aca="false">IF(t&lt;T_para, pos_z, NA())</f>
        <v>#N/A</v>
      </c>
      <c r="AF830" s="412"/>
      <c r="AG830" s="418" t="n">
        <f aca="false">IF(AND(L829&lt;L_rampe,Poussee&lt;Poids*SIN(M829)),0,(-W829+Poussee)/m-Poids*SIN(M829)/m)</f>
        <v>1.88848416831489</v>
      </c>
      <c r="AH830" s="417" t="n">
        <f aca="false">IF(AND(L829&lt;L_rampe,Poussee&lt;Poids*SIN(M829)), g*SIN(M829), (-W829+Poussee)/m)</f>
        <v>-7.8718810366364</v>
      </c>
    </row>
    <row r="831" customFormat="false" ht="12" hidden="false" customHeight="false" outlineLevel="0" collapsed="false">
      <c r="A831" s="416" t="n">
        <f aca="false">IF(B830+0.01&lt;=T_ini+ROUNDUP(Temps_fin_propu,0), 0.01, IF(K830&gt;0, 0.1, 0.0001))</f>
        <v>0.0001</v>
      </c>
      <c r="B831" s="417" t="n">
        <f aca="false">B830+pas</f>
        <v>36.3104000000006</v>
      </c>
      <c r="C831" s="401"/>
      <c r="D831" s="418" t="n">
        <f aca="false">IF(AND(L830&lt;L_rampe,Poussee&lt;Poids*SIN(M830)),0,(-W830+Poussee)/m*COS(M830)-U830/m*SIN(M830))</f>
        <v>-0.790861690793826</v>
      </c>
      <c r="E831" s="419" t="n">
        <f aca="false">IF(AND(L830&lt;L_rampe,Poussee&lt;Poids*SIN(M830)),0,(-W830+Poussee)/m*SIN(M830)+U830/m*COS(M830)-Poids/m)</f>
        <v>-1.97791349404599</v>
      </c>
      <c r="F831" s="417" t="n">
        <f aca="false">SQRT(acc_x^2+acc_z^2)</f>
        <v>2.13016525271972</v>
      </c>
      <c r="G831" s="418" t="n">
        <f aca="false">G830+acc_x*pas</f>
        <v>12.4687912346104</v>
      </c>
      <c r="H831" s="419" t="n">
        <f aca="false">H830+acc_z*pas</f>
        <v>-123.482308659362</v>
      </c>
      <c r="I831" s="417" t="n">
        <f aca="false">SQRT(vit_x^2+vit_z^2)</f>
        <v>124.110238524863</v>
      </c>
      <c r="J831" s="418" t="n">
        <f aca="false">J830+0.5*(vit_x+G830)*pas*(K830&gt;=0)</f>
        <v>913.614336176273</v>
      </c>
      <c r="K831" s="419" t="n">
        <f aca="false">K830+0.5*(vit_z+H830)*pas</f>
        <v>-9.9901686599657</v>
      </c>
      <c r="L831" s="417" t="n">
        <f aca="false">SQRT(pos_x^2+pos_z^2)</f>
        <v>913.668954674868</v>
      </c>
      <c r="M831" s="418" t="n">
        <f aca="false">IF(AND(L830&gt;L_rampe,G831&gt;0),ATAN2(G831,H831),$M$4)</f>
        <v>-1.47016109756839</v>
      </c>
      <c r="N831" s="417" t="n">
        <f aca="false">DEGREES(Beta)</f>
        <v>-84.2340260949898</v>
      </c>
      <c r="O831" s="401"/>
      <c r="P831" s="420" t="n">
        <f aca="false">MATCH(t-pas/2-T_ini,CdP_t)</f>
        <v>23</v>
      </c>
      <c r="Q831" s="417" t="n">
        <f aca="false">(INDEX(CdP,2,i_P+1)-INDEX(CdP,2,i_P+0))/(INDEX(CdP,1,i_P+1)-INDEX(CdP,1,i_P+0))*(t-pas/2-T_ini-INDEX(CdP,1,i_P+0))+INDEX(CdP,2,i_P+0)</f>
        <v>0</v>
      </c>
      <c r="R831" s="418" t="n">
        <f aca="false">Poussee/(g*ISP)</f>
        <v>0</v>
      </c>
      <c r="S831" s="419" t="n">
        <f aca="false">S830-Débit*pas</f>
        <v>7.37799999999998</v>
      </c>
      <c r="T831" s="417" t="n">
        <f aca="false">m*g</f>
        <v>72.3781799999998</v>
      </c>
      <c r="U831" s="421" t="n">
        <f aca="false">IF(pos_xz&lt;L_rampe,Poids*COS(Beta),0)</f>
        <v>0</v>
      </c>
      <c r="V831" s="418" t="n">
        <f aca="false">Rho_moyen*(20000-Alt_rampe-pos_z)/(20000+Alt_rampe+pos_z)</f>
        <v>1.2262244072626</v>
      </c>
      <c r="W831" s="417" t="n">
        <f aca="false">1/2*Rho*Sref*Cx*vit_xz^2</f>
        <v>58.0792352163979</v>
      </c>
      <c r="X831" s="401"/>
      <c r="Y831" s="422" t="str">
        <f aca="false">IF(AND(pos_z&lt;=0,K830&gt;0),"Impact balistique","") &amp; IF(AND(H832&lt;0,vit_z&gt;=0),"Apogée","") &amp; IF(AND(Poussee=0,Q830&gt;0),"Fin de propulsion","") &amp; IF(AND(L832&gt;L_rampe,pos_xz&lt;=L_rampe),"Sortie de rampe","")</f>
        <v/>
      </c>
      <c r="Z831" s="423" t="str">
        <f aca="false">IF(ABS(t-T_para)&lt;pas/2,"Para","")</f>
        <v/>
      </c>
      <c r="AA831" s="424" t="str">
        <f aca="false">IF(ABS(t-T_satellite)&lt;pas/2,"Satellite","")</f>
        <v/>
      </c>
      <c r="AB831" s="412"/>
      <c r="AC831" s="420" t="e">
        <f aca="false">IF(ABS(t-ROUND(t,0))&lt;0.001,t,NA())</f>
        <v>#N/A</v>
      </c>
      <c r="AD831" s="425" t="e">
        <f aca="false">IF(ABS(t-ROUND(t,0))&lt;0.001,pos_x,NA())</f>
        <v>#N/A</v>
      </c>
      <c r="AE831" s="426" t="e">
        <f aca="false">IF(t&lt;T_para, pos_z, NA())</f>
        <v>#N/A</v>
      </c>
      <c r="AF831" s="412"/>
      <c r="AG831" s="418" t="n">
        <f aca="false">IF(AND(L830&lt;L_rampe,Poussee&lt;Poids*SIN(M830)),0,(-W830+Poussee)/m-Poids*SIN(M830)/m)</f>
        <v>1.88845127449246</v>
      </c>
      <c r="AH831" s="417" t="n">
        <f aca="false">IF(AND(L830&lt;L_rampe,Poussee&lt;Poids*SIN(M830)), g*SIN(M830), (-W830+Poussee)/m)</f>
        <v>-7.8719147131249</v>
      </c>
    </row>
    <row r="832" customFormat="false" ht="12" hidden="false" customHeight="false" outlineLevel="0" collapsed="false">
      <c r="A832" s="416" t="n">
        <f aca="false">IF(B831+0.01&lt;=T_ini+ROUNDUP(Temps_fin_propu,0), 0.01, IF(K831&gt;0, 0.1, 0.0001))</f>
        <v>0.0001</v>
      </c>
      <c r="B832" s="417" t="n">
        <f aca="false">B831+pas</f>
        <v>36.3105000000006</v>
      </c>
      <c r="C832" s="401"/>
      <c r="D832" s="418" t="n">
        <f aca="false">IF(AND(L831&lt;L_rampe,Poussee&lt;Poids*SIN(M831)),0,(-W831+Poussee)/m*COS(M831)-U831/m*SIN(M831))</f>
        <v>-0.790858854536705</v>
      </c>
      <c r="E832" s="419" t="n">
        <f aca="false">IF(AND(L831&lt;L_rampe,Poussee&lt;Poids*SIN(M831)),0,(-W831+Poussee)/m*SIN(M831)+U831/m*COS(M831)-Poids/m)</f>
        <v>-1.97787936020467</v>
      </c>
      <c r="F832" s="417" t="n">
        <f aca="false">SQRT(acc_x^2+acc_z^2)</f>
        <v>2.13013250557864</v>
      </c>
      <c r="G832" s="418" t="n">
        <f aca="false">G831+acc_x*pas</f>
        <v>12.4687121487249</v>
      </c>
      <c r="H832" s="419" t="n">
        <f aca="false">H831+acc_z*pas</f>
        <v>-123.482506447298</v>
      </c>
      <c r="I832" s="417" t="n">
        <f aca="false">SQRT(vit_x^2+vit_z^2)</f>
        <v>124.11042736674</v>
      </c>
      <c r="J832" s="418" t="n">
        <f aca="false">J831+0.5*(vit_x+G831)*pas*(K831&gt;=0)</f>
        <v>913.614336176273</v>
      </c>
      <c r="K832" s="419" t="n">
        <f aca="false">K831+0.5*(vit_z+H831)*pas</f>
        <v>-10.002516900721</v>
      </c>
      <c r="L832" s="417" t="n">
        <f aca="false">SQRT(pos_x^2+pos_z^2)</f>
        <v>913.669089775484</v>
      </c>
      <c r="M832" s="418" t="n">
        <f aca="false">IF(AND(L831&gt;L_rampe,G832&gt;0),ATAN2(G832,H832),$M$4)</f>
        <v>-1.47016189167257</v>
      </c>
      <c r="N832" s="417" t="n">
        <f aca="false">DEGREES(Beta)</f>
        <v>-84.2340715938076</v>
      </c>
      <c r="O832" s="401"/>
      <c r="P832" s="420" t="n">
        <f aca="false">MATCH(t-pas/2-T_ini,CdP_t)</f>
        <v>23</v>
      </c>
      <c r="Q832" s="417" t="n">
        <f aca="false">(INDEX(CdP,2,i_P+1)-INDEX(CdP,2,i_P+0))/(INDEX(CdP,1,i_P+1)-INDEX(CdP,1,i_P+0))*(t-pas/2-T_ini-INDEX(CdP,1,i_P+0))+INDEX(CdP,2,i_P+0)</f>
        <v>0</v>
      </c>
      <c r="R832" s="418" t="n">
        <f aca="false">Poussee/(g*ISP)</f>
        <v>0</v>
      </c>
      <c r="S832" s="419" t="n">
        <f aca="false">S831-Débit*pas</f>
        <v>7.37799999999998</v>
      </c>
      <c r="T832" s="417" t="n">
        <f aca="false">m*g</f>
        <v>72.3781799999998</v>
      </c>
      <c r="U832" s="421" t="n">
        <f aca="false">IF(pos_xz&lt;L_rampe,Poids*COS(Beta),0)</f>
        <v>0</v>
      </c>
      <c r="V832" s="418" t="n">
        <f aca="false">Rho_moyen*(20000-Alt_rampe-pos_z)/(20000+Alt_rampe+pos_z)</f>
        <v>1.22622592143533</v>
      </c>
      <c r="W832" s="417" t="n">
        <f aca="false">1/2*Rho*Sref*Cx*vit_xz^2</f>
        <v>58.0794836771907</v>
      </c>
      <c r="X832" s="401"/>
      <c r="Y832" s="422" t="str">
        <f aca="false">IF(AND(pos_z&lt;=0,K831&gt;0),"Impact balistique","") &amp; IF(AND(H833&lt;0,vit_z&gt;=0),"Apogée","") &amp; IF(AND(Poussee=0,Q831&gt;0),"Fin de propulsion","") &amp; IF(AND(L833&gt;L_rampe,pos_xz&lt;=L_rampe),"Sortie de rampe","")</f>
        <v/>
      </c>
      <c r="Z832" s="423" t="str">
        <f aca="false">IF(ABS(t-T_para)&lt;pas/2,"Para","")</f>
        <v/>
      </c>
      <c r="AA832" s="424" t="str">
        <f aca="false">IF(ABS(t-T_satellite)&lt;pas/2,"Satellite","")</f>
        <v/>
      </c>
      <c r="AB832" s="412"/>
      <c r="AC832" s="420" t="e">
        <f aca="false">IF(ABS(t-ROUND(t,0))&lt;0.001,t,NA())</f>
        <v>#N/A</v>
      </c>
      <c r="AD832" s="425" t="e">
        <f aca="false">IF(ABS(t-ROUND(t,0))&lt;0.001,pos_x,NA())</f>
        <v>#N/A</v>
      </c>
      <c r="AE832" s="426" t="e">
        <f aca="false">IF(t&lt;T_para, pos_z, NA())</f>
        <v>#N/A</v>
      </c>
      <c r="AF832" s="412"/>
      <c r="AG832" s="418" t="n">
        <f aca="false">IF(AND(L831&lt;L_rampe,Poussee&lt;Poids*SIN(M831)),0,(-W831+Poussee)/m-Poids*SIN(M831)/m)</f>
        <v>1.8884183809506</v>
      </c>
      <c r="AH832" s="417" t="n">
        <f aca="false">IF(AND(L831&lt;L_rampe,Poussee&lt;Poids*SIN(M831)), g*SIN(M831), (-W831+Poussee)/m)</f>
        <v>-7.87194838931933</v>
      </c>
    </row>
    <row r="833" customFormat="false" ht="12" hidden="false" customHeight="false" outlineLevel="0" collapsed="false">
      <c r="A833" s="416" t="n">
        <f aca="false">IF(B832+0.01&lt;=T_ini+ROUNDUP(Temps_fin_propu,0), 0.01, IF(K832&gt;0, 0.1, 0.0001))</f>
        <v>0.0001</v>
      </c>
      <c r="B833" s="417" t="n">
        <f aca="false">B832+pas</f>
        <v>36.3106000000006</v>
      </c>
      <c r="C833" s="401"/>
      <c r="D833" s="418" t="n">
        <f aca="false">IF(AND(L832&lt;L_rampe,Poussee&lt;Poids*SIN(M832)),0,(-W832+Poussee)/m*COS(M832)-U832/m*SIN(M832))</f>
        <v>-0.790856018254702</v>
      </c>
      <c r="E833" s="419" t="n">
        <f aca="false">IF(AND(L832&lt;L_rampe,Poussee&lt;Poids*SIN(M832)),0,(-W832+Poussee)/m*SIN(M832)+U832/m*COS(M832)-Poids/m)</f>
        <v>-1.9778452266614</v>
      </c>
      <c r="F833" s="417" t="n">
        <f aca="false">SQRT(acc_x^2+acc_z^2)</f>
        <v>2.13009975875239</v>
      </c>
      <c r="G833" s="418" t="n">
        <f aca="false">G832+acc_x*pas</f>
        <v>12.4686330631231</v>
      </c>
      <c r="H833" s="419" t="n">
        <f aca="false">H832+acc_z*pas</f>
        <v>-123.482704231821</v>
      </c>
      <c r="I833" s="417" t="n">
        <f aca="false">SQRT(vit_x^2+vit_z^2)</f>
        <v>124.110616205328</v>
      </c>
      <c r="J833" s="418" t="n">
        <f aca="false">J832+0.5*(vit_x+G832)*pas*(K832&gt;=0)</f>
        <v>913.614336176273</v>
      </c>
      <c r="K833" s="419" t="n">
        <f aca="false">K832+0.5*(vit_z+H832)*pas</f>
        <v>-10.014865161255</v>
      </c>
      <c r="L833" s="417" t="n">
        <f aca="false">SQRT(pos_x^2+pos_z^2)</f>
        <v>913.669225043183</v>
      </c>
      <c r="M833" s="418" t="n">
        <f aca="false">IF(AND(L832&gt;L_rampe,G833&gt;0),ATAN2(G833,H833),$M$4)</f>
        <v>-1.47016268576929</v>
      </c>
      <c r="N833" s="417" t="n">
        <f aca="false">DEGREES(Beta)</f>
        <v>-84.2341170921983</v>
      </c>
      <c r="O833" s="401"/>
      <c r="P833" s="420" t="n">
        <f aca="false">MATCH(t-pas/2-T_ini,CdP_t)</f>
        <v>23</v>
      </c>
      <c r="Q833" s="417" t="n">
        <f aca="false">(INDEX(CdP,2,i_P+1)-INDEX(CdP,2,i_P+0))/(INDEX(CdP,1,i_P+1)-INDEX(CdP,1,i_P+0))*(t-pas/2-T_ini-INDEX(CdP,1,i_P+0))+INDEX(CdP,2,i_P+0)</f>
        <v>0</v>
      </c>
      <c r="R833" s="418" t="n">
        <f aca="false">Poussee/(g*ISP)</f>
        <v>0</v>
      </c>
      <c r="S833" s="419" t="n">
        <f aca="false">S832-Débit*pas</f>
        <v>7.37799999999998</v>
      </c>
      <c r="T833" s="417" t="n">
        <f aca="false">m*g</f>
        <v>72.3781799999998</v>
      </c>
      <c r="U833" s="421" t="n">
        <f aca="false">IF(pos_xz&lt;L_rampe,Poids*COS(Beta),0)</f>
        <v>0</v>
      </c>
      <c r="V833" s="418" t="n">
        <f aca="false">Rho_moyen*(20000-Alt_rampe-pos_z)/(20000+Alt_rampe+pos_z)</f>
        <v>1.22622743561236</v>
      </c>
      <c r="W833" s="417" t="n">
        <f aca="false">1/2*Rho*Sref*Cx*vit_xz^2</f>
        <v>58.0797321358137</v>
      </c>
      <c r="X833" s="401"/>
      <c r="Y833" s="422" t="str">
        <f aca="false">IF(AND(pos_z&lt;=0,K832&gt;0),"Impact balistique","") &amp; IF(AND(H834&lt;0,vit_z&gt;=0),"Apogée","") &amp; IF(AND(Poussee=0,Q832&gt;0),"Fin de propulsion","") &amp; IF(AND(L834&gt;L_rampe,pos_xz&lt;=L_rampe),"Sortie de rampe","")</f>
        <v/>
      </c>
      <c r="Z833" s="423" t="str">
        <f aca="false">IF(ABS(t-T_para)&lt;pas/2,"Para","")</f>
        <v/>
      </c>
      <c r="AA833" s="424" t="str">
        <f aca="false">IF(ABS(t-T_satellite)&lt;pas/2,"Satellite","")</f>
        <v/>
      </c>
      <c r="AB833" s="412"/>
      <c r="AC833" s="420" t="e">
        <f aca="false">IF(ABS(t-ROUND(t,0))&lt;0.001,t,NA())</f>
        <v>#N/A</v>
      </c>
      <c r="AD833" s="425" t="e">
        <f aca="false">IF(ABS(t-ROUND(t,0))&lt;0.001,pos_x,NA())</f>
        <v>#N/A</v>
      </c>
      <c r="AE833" s="426" t="e">
        <f aca="false">IF(t&lt;T_para, pos_z, NA())</f>
        <v>#N/A</v>
      </c>
      <c r="AF833" s="412"/>
      <c r="AG833" s="418" t="n">
        <f aca="false">IF(AND(L832&lt;L_rampe,Poussee&lt;Poids*SIN(M832)),0,(-W832+Poussee)/m-Poids*SIN(M832)/m)</f>
        <v>1.88838548768931</v>
      </c>
      <c r="AH833" s="417" t="n">
        <f aca="false">IF(AND(L832&lt;L_rampe,Poussee&lt;Poids*SIN(M832)), g*SIN(M832), (-W832+Poussee)/m)</f>
        <v>-7.87198206521968</v>
      </c>
    </row>
    <row r="834" customFormat="false" ht="12" hidden="false" customHeight="false" outlineLevel="0" collapsed="false">
      <c r="A834" s="416" t="n">
        <f aca="false">IF(B833+0.01&lt;=T_ini+ROUNDUP(Temps_fin_propu,0), 0.01, IF(K833&gt;0, 0.1, 0.0001))</f>
        <v>0.0001</v>
      </c>
      <c r="B834" s="417" t="n">
        <f aca="false">B833+pas</f>
        <v>36.3107000000006</v>
      </c>
      <c r="C834" s="401"/>
      <c r="D834" s="418" t="n">
        <f aca="false">IF(AND(L833&lt;L_rampe,Poussee&lt;Poids*SIN(M833)),0,(-W833+Poussee)/m*COS(M833)-U833/m*SIN(M833))</f>
        <v>-0.790853181947817</v>
      </c>
      <c r="E834" s="419" t="n">
        <f aca="false">IF(AND(L833&lt;L_rampe,Poussee&lt;Poids*SIN(M833)),0,(-W833+Poussee)/m*SIN(M833)+U833/m*COS(M833)-Poids/m)</f>
        <v>-1.97781109341619</v>
      </c>
      <c r="F834" s="417" t="n">
        <f aca="false">SQRT(acc_x^2+acc_z^2)</f>
        <v>2.13006701224096</v>
      </c>
      <c r="G834" s="418" t="n">
        <f aca="false">G833+acc_x*pas</f>
        <v>12.4685539778049</v>
      </c>
      <c r="H834" s="419" t="n">
        <f aca="false">H833+acc_z*pas</f>
        <v>-123.48290201293</v>
      </c>
      <c r="I834" s="417" t="n">
        <f aca="false">SQRT(vit_x^2+vit_z^2)</f>
        <v>124.110805040626</v>
      </c>
      <c r="J834" s="418" t="n">
        <f aca="false">J833+0.5*(vit_x+G833)*pas*(K833&gt;=0)</f>
        <v>913.614336176273</v>
      </c>
      <c r="K834" s="419" t="n">
        <f aca="false">K833+0.5*(vit_z+H833)*pas</f>
        <v>-10.0272134415672</v>
      </c>
      <c r="L834" s="417" t="n">
        <f aca="false">SQRT(pos_x^2+pos_z^2)</f>
        <v>913.669360477966</v>
      </c>
      <c r="M834" s="418" t="n">
        <f aca="false">IF(AND(L833&gt;L_rampe,G834&gt;0),ATAN2(G834,H834),$M$4)</f>
        <v>-1.47016347985856</v>
      </c>
      <c r="N834" s="417" t="n">
        <f aca="false">DEGREES(Beta)</f>
        <v>-84.2341625901619</v>
      </c>
      <c r="O834" s="401"/>
      <c r="P834" s="420" t="n">
        <f aca="false">MATCH(t-pas/2-T_ini,CdP_t)</f>
        <v>23</v>
      </c>
      <c r="Q834" s="417" t="n">
        <f aca="false">(INDEX(CdP,2,i_P+1)-INDEX(CdP,2,i_P+0))/(INDEX(CdP,1,i_P+1)-INDEX(CdP,1,i_P+0))*(t-pas/2-T_ini-INDEX(CdP,1,i_P+0))+INDEX(CdP,2,i_P+0)</f>
        <v>0</v>
      </c>
      <c r="R834" s="418" t="n">
        <f aca="false">Poussee/(g*ISP)</f>
        <v>0</v>
      </c>
      <c r="S834" s="419" t="n">
        <f aca="false">S833-Débit*pas</f>
        <v>7.37799999999998</v>
      </c>
      <c r="T834" s="417" t="n">
        <f aca="false">m*g</f>
        <v>72.3781799999998</v>
      </c>
      <c r="U834" s="421" t="n">
        <f aca="false">IF(pos_xz&lt;L_rampe,Poids*COS(Beta),0)</f>
        <v>0</v>
      </c>
      <c r="V834" s="418" t="n">
        <f aca="false">Rho_moyen*(20000-Alt_rampe-pos_z)/(20000+Alt_rampe+pos_z)</f>
        <v>1.22622894979369</v>
      </c>
      <c r="W834" s="417" t="n">
        <f aca="false">1/2*Rho*Sref*Cx*vit_xz^2</f>
        <v>58.0799805922671</v>
      </c>
      <c r="X834" s="401"/>
      <c r="Y834" s="422" t="str">
        <f aca="false">IF(AND(pos_z&lt;=0,K833&gt;0),"Impact balistique","") &amp; IF(AND(H835&lt;0,vit_z&gt;=0),"Apogée","") &amp; IF(AND(Poussee=0,Q833&gt;0),"Fin de propulsion","") &amp; IF(AND(L835&gt;L_rampe,pos_xz&lt;=L_rampe),"Sortie de rampe","")</f>
        <v/>
      </c>
      <c r="Z834" s="423" t="str">
        <f aca="false">IF(ABS(t-T_para)&lt;pas/2,"Para","")</f>
        <v/>
      </c>
      <c r="AA834" s="424" t="str">
        <f aca="false">IF(ABS(t-T_satellite)&lt;pas/2,"Satellite","")</f>
        <v/>
      </c>
      <c r="AB834" s="412"/>
      <c r="AC834" s="420" t="e">
        <f aca="false">IF(ABS(t-ROUND(t,0))&lt;0.001,t,NA())</f>
        <v>#N/A</v>
      </c>
      <c r="AD834" s="425" t="e">
        <f aca="false">IF(ABS(t-ROUND(t,0))&lt;0.001,pos_x,NA())</f>
        <v>#N/A</v>
      </c>
      <c r="AE834" s="426" t="e">
        <f aca="false">IF(t&lt;T_para, pos_z, NA())</f>
        <v>#N/A</v>
      </c>
      <c r="AF834" s="412"/>
      <c r="AG834" s="418" t="n">
        <f aca="false">IF(AND(L833&lt;L_rampe,Poussee&lt;Poids*SIN(M833)),0,(-W833+Poussee)/m-Poids*SIN(M833)/m)</f>
        <v>1.88835259470861</v>
      </c>
      <c r="AH834" s="417" t="n">
        <f aca="false">IF(AND(L833&lt;L_rampe,Poussee&lt;Poids*SIN(M833)), g*SIN(M833), (-W833+Poussee)/m)</f>
        <v>-7.87201574082595</v>
      </c>
    </row>
    <row r="835" customFormat="false" ht="12" hidden="false" customHeight="false" outlineLevel="0" collapsed="false">
      <c r="A835" s="416" t="n">
        <f aca="false">IF(B834+0.01&lt;=T_ini+ROUNDUP(Temps_fin_propu,0), 0.01, IF(K834&gt;0, 0.1, 0.0001))</f>
        <v>0.0001</v>
      </c>
      <c r="B835" s="417" t="n">
        <f aca="false">B834+pas</f>
        <v>36.3108000000006</v>
      </c>
      <c r="C835" s="401"/>
      <c r="D835" s="418" t="n">
        <f aca="false">IF(AND(L834&lt;L_rampe,Poussee&lt;Poids*SIN(M834)),0,(-W834+Poussee)/m*COS(M834)-U834/m*SIN(M834))</f>
        <v>-0.790850345616054</v>
      </c>
      <c r="E835" s="419" t="n">
        <f aca="false">IF(AND(L834&lt;L_rampe,Poussee&lt;Poids*SIN(M834)),0,(-W834+Poussee)/m*SIN(M834)+U834/m*COS(M834)-Poids/m)</f>
        <v>-1.97777696046902</v>
      </c>
      <c r="F835" s="417" t="n">
        <f aca="false">SQRT(acc_x^2+acc_z^2)</f>
        <v>2.13003426604435</v>
      </c>
      <c r="G835" s="418" t="n">
        <f aca="false">G834+acc_x*pas</f>
        <v>12.4684748927703</v>
      </c>
      <c r="H835" s="419" t="n">
        <f aca="false">H834+acc_z*pas</f>
        <v>-123.483099790626</v>
      </c>
      <c r="I835" s="417" t="n">
        <f aca="false">SQRT(vit_x^2+vit_z^2)</f>
        <v>124.110993872636</v>
      </c>
      <c r="J835" s="418" t="n">
        <f aca="false">J834+0.5*(vit_x+G834)*pas*(K834&gt;=0)</f>
        <v>913.614336176273</v>
      </c>
      <c r="K835" s="419" t="n">
        <f aca="false">K834+0.5*(vit_z+H834)*pas</f>
        <v>-10.0395617416574</v>
      </c>
      <c r="L835" s="417" t="n">
        <f aca="false">SQRT(pos_x^2+pos_z^2)</f>
        <v>913.669496079833</v>
      </c>
      <c r="M835" s="418" t="n">
        <f aca="false">IF(AND(L834&gt;L_rampe,G835&gt;0),ATAN2(G835,H835),$M$4)</f>
        <v>-1.47016427394038</v>
      </c>
      <c r="N835" s="417" t="n">
        <f aca="false">DEGREES(Beta)</f>
        <v>-84.2342080876986</v>
      </c>
      <c r="O835" s="401"/>
      <c r="P835" s="420" t="n">
        <f aca="false">MATCH(t-pas/2-T_ini,CdP_t)</f>
        <v>23</v>
      </c>
      <c r="Q835" s="417" t="n">
        <f aca="false">(INDEX(CdP,2,i_P+1)-INDEX(CdP,2,i_P+0))/(INDEX(CdP,1,i_P+1)-INDEX(CdP,1,i_P+0))*(t-pas/2-T_ini-INDEX(CdP,1,i_P+0))+INDEX(CdP,2,i_P+0)</f>
        <v>0</v>
      </c>
      <c r="R835" s="418" t="n">
        <f aca="false">Poussee/(g*ISP)</f>
        <v>0</v>
      </c>
      <c r="S835" s="419" t="n">
        <f aca="false">S834-Débit*pas</f>
        <v>7.37799999999998</v>
      </c>
      <c r="T835" s="417" t="n">
        <f aca="false">m*g</f>
        <v>72.3781799999998</v>
      </c>
      <c r="U835" s="421" t="n">
        <f aca="false">IF(pos_xz&lt;L_rampe,Poids*COS(Beta),0)</f>
        <v>0</v>
      </c>
      <c r="V835" s="418" t="n">
        <f aca="false">Rho_moyen*(20000-Alt_rampe-pos_z)/(20000+Alt_rampe+pos_z)</f>
        <v>1.22623046397931</v>
      </c>
      <c r="W835" s="417" t="n">
        <f aca="false">1/2*Rho*Sref*Cx*vit_xz^2</f>
        <v>58.0802290465508</v>
      </c>
      <c r="X835" s="401"/>
      <c r="Y835" s="422" t="str">
        <f aca="false">IF(AND(pos_z&lt;=0,K834&gt;0),"Impact balistique","") &amp; IF(AND(H836&lt;0,vit_z&gt;=0),"Apogée","") &amp; IF(AND(Poussee=0,Q834&gt;0),"Fin de propulsion","") &amp; IF(AND(L836&gt;L_rampe,pos_xz&lt;=L_rampe),"Sortie de rampe","")</f>
        <v/>
      </c>
      <c r="Z835" s="423" t="str">
        <f aca="false">IF(ABS(t-T_para)&lt;pas/2,"Para","")</f>
        <v/>
      </c>
      <c r="AA835" s="424" t="str">
        <f aca="false">IF(ABS(t-T_satellite)&lt;pas/2,"Satellite","")</f>
        <v/>
      </c>
      <c r="AB835" s="412"/>
      <c r="AC835" s="420" t="e">
        <f aca="false">IF(ABS(t-ROUND(t,0))&lt;0.001,t,NA())</f>
        <v>#N/A</v>
      </c>
      <c r="AD835" s="425" t="e">
        <f aca="false">IF(ABS(t-ROUND(t,0))&lt;0.001,pos_x,NA())</f>
        <v>#N/A</v>
      </c>
      <c r="AE835" s="426" t="e">
        <f aca="false">IF(t&lt;T_para, pos_z, NA())</f>
        <v>#N/A</v>
      </c>
      <c r="AF835" s="412"/>
      <c r="AG835" s="418" t="n">
        <f aca="false">IF(AND(L834&lt;L_rampe,Poussee&lt;Poids*SIN(M834)),0,(-W834+Poussee)/m-Poids*SIN(M834)/m)</f>
        <v>1.88831970200847</v>
      </c>
      <c r="AH835" s="417" t="n">
        <f aca="false">IF(AND(L834&lt;L_rampe,Poussee&lt;Poids*SIN(M834)), g*SIN(M834), (-W834+Poussee)/m)</f>
        <v>-7.87204941613815</v>
      </c>
    </row>
    <row r="836" customFormat="false" ht="12" hidden="false" customHeight="false" outlineLevel="0" collapsed="false">
      <c r="A836" s="416" t="n">
        <f aca="false">IF(B835+0.01&lt;=T_ini+ROUNDUP(Temps_fin_propu,0), 0.01, IF(K835&gt;0, 0.1, 0.0001))</f>
        <v>0.0001</v>
      </c>
      <c r="B836" s="417" t="n">
        <f aca="false">B835+pas</f>
        <v>36.3109000000006</v>
      </c>
      <c r="C836" s="401"/>
      <c r="D836" s="418" t="n">
        <f aca="false">IF(AND(L835&lt;L_rampe,Poussee&lt;Poids*SIN(M835)),0,(-W835+Poussee)/m*COS(M835)-U835/m*SIN(M835))</f>
        <v>-0.79084750925941</v>
      </c>
      <c r="E836" s="419" t="n">
        <f aca="false">IF(AND(L835&lt;L_rampe,Poussee&lt;Poids*SIN(M835)),0,(-W835+Poussee)/m*SIN(M835)+U835/m*COS(M835)-Poids/m)</f>
        <v>-1.9777428278199</v>
      </c>
      <c r="F836" s="417" t="n">
        <f aca="false">SQRT(acc_x^2+acc_z^2)</f>
        <v>2.13000152016257</v>
      </c>
      <c r="G836" s="418" t="n">
        <f aca="false">G835+acc_x*pas</f>
        <v>12.4683958080194</v>
      </c>
      <c r="H836" s="419" t="n">
        <f aca="false">H835+acc_z*pas</f>
        <v>-123.483297564909</v>
      </c>
      <c r="I836" s="417" t="n">
        <f aca="false">SQRT(vit_x^2+vit_z^2)</f>
        <v>124.111182701356</v>
      </c>
      <c r="J836" s="418" t="n">
        <f aca="false">J835+0.5*(vit_x+G835)*pas*(K835&gt;=0)</f>
        <v>913.614336176273</v>
      </c>
      <c r="K836" s="419" t="n">
        <f aca="false">K835+0.5*(vit_z+H835)*pas</f>
        <v>-10.0519100615252</v>
      </c>
      <c r="L836" s="417" t="n">
        <f aca="false">SQRT(pos_x^2+pos_z^2)</f>
        <v>913.669631848787</v>
      </c>
      <c r="M836" s="418" t="n">
        <f aca="false">IF(AND(L835&gt;L_rampe,G836&gt;0),ATAN2(G836,H836),$M$4)</f>
        <v>-1.47016506801474</v>
      </c>
      <c r="N836" s="417" t="n">
        <f aca="false">DEGREES(Beta)</f>
        <v>-84.2342535848082</v>
      </c>
      <c r="O836" s="401"/>
      <c r="P836" s="420" t="n">
        <f aca="false">MATCH(t-pas/2-T_ini,CdP_t)</f>
        <v>23</v>
      </c>
      <c r="Q836" s="417" t="n">
        <f aca="false">(INDEX(CdP,2,i_P+1)-INDEX(CdP,2,i_P+0))/(INDEX(CdP,1,i_P+1)-INDEX(CdP,1,i_P+0))*(t-pas/2-T_ini-INDEX(CdP,1,i_P+0))+INDEX(CdP,2,i_P+0)</f>
        <v>0</v>
      </c>
      <c r="R836" s="418" t="n">
        <f aca="false">Poussee/(g*ISP)</f>
        <v>0</v>
      </c>
      <c r="S836" s="419" t="n">
        <f aca="false">S835-Débit*pas</f>
        <v>7.37799999999998</v>
      </c>
      <c r="T836" s="417" t="n">
        <f aca="false">m*g</f>
        <v>72.3781799999998</v>
      </c>
      <c r="U836" s="421" t="n">
        <f aca="false">IF(pos_xz&lt;L_rampe,Poids*COS(Beta),0)</f>
        <v>0</v>
      </c>
      <c r="V836" s="418" t="n">
        <f aca="false">Rho_moyen*(20000-Alt_rampe-pos_z)/(20000+Alt_rampe+pos_z)</f>
        <v>1.22623197816922</v>
      </c>
      <c r="W836" s="417" t="n">
        <f aca="false">1/2*Rho*Sref*Cx*vit_xz^2</f>
        <v>58.0804774986648</v>
      </c>
      <c r="X836" s="401"/>
      <c r="Y836" s="422" t="str">
        <f aca="false">IF(AND(pos_z&lt;=0,K835&gt;0),"Impact balistique","") &amp; IF(AND(H837&lt;0,vit_z&gt;=0),"Apogée","") &amp; IF(AND(Poussee=0,Q835&gt;0),"Fin de propulsion","") &amp; IF(AND(L837&gt;L_rampe,pos_xz&lt;=L_rampe),"Sortie de rampe","")</f>
        <v/>
      </c>
      <c r="Z836" s="423" t="str">
        <f aca="false">IF(ABS(t-T_para)&lt;pas/2,"Para","")</f>
        <v/>
      </c>
      <c r="AA836" s="424" t="str">
        <f aca="false">IF(ABS(t-T_satellite)&lt;pas/2,"Satellite","")</f>
        <v/>
      </c>
      <c r="AB836" s="412"/>
      <c r="AC836" s="420" t="e">
        <f aca="false">IF(ABS(t-ROUND(t,0))&lt;0.001,t,NA())</f>
        <v>#N/A</v>
      </c>
      <c r="AD836" s="425" t="e">
        <f aca="false">IF(ABS(t-ROUND(t,0))&lt;0.001,pos_x,NA())</f>
        <v>#N/A</v>
      </c>
      <c r="AE836" s="426" t="e">
        <f aca="false">IF(t&lt;T_para, pos_z, NA())</f>
        <v>#N/A</v>
      </c>
      <c r="AF836" s="412"/>
      <c r="AG836" s="418" t="n">
        <f aca="false">IF(AND(L835&lt;L_rampe,Poussee&lt;Poids*SIN(M835)),0,(-W835+Poussee)/m-Poids*SIN(M835)/m)</f>
        <v>1.88828680958892</v>
      </c>
      <c r="AH836" s="417" t="n">
        <f aca="false">IF(AND(L835&lt;L_rampe,Poussee&lt;Poids*SIN(M835)), g*SIN(M835), (-W835+Poussee)/m)</f>
        <v>-7.87208309115627</v>
      </c>
    </row>
    <row r="837" customFormat="false" ht="12" hidden="false" customHeight="false" outlineLevel="0" collapsed="false">
      <c r="A837" s="416" t="n">
        <f aca="false">IF(B836+0.01&lt;=T_ini+ROUNDUP(Temps_fin_propu,0), 0.01, IF(K836&gt;0, 0.1, 0.0001))</f>
        <v>0.0001</v>
      </c>
      <c r="B837" s="417" t="n">
        <f aca="false">B836+pas</f>
        <v>36.3110000000006</v>
      </c>
      <c r="C837" s="401"/>
      <c r="D837" s="418" t="n">
        <f aca="false">IF(AND(L836&lt;L_rampe,Poussee&lt;Poids*SIN(M836)),0,(-W836+Poussee)/m*COS(M836)-U836/m*SIN(M836))</f>
        <v>-0.790844672877888</v>
      </c>
      <c r="E837" s="419" t="n">
        <f aca="false">IF(AND(L836&lt;L_rampe,Poussee&lt;Poids*SIN(M836)),0,(-W836+Poussee)/m*SIN(M836)+U836/m*COS(M836)-Poids/m)</f>
        <v>-1.97770869546883</v>
      </c>
      <c r="F837" s="417" t="n">
        <f aca="false">SQRT(acc_x^2+acc_z^2)</f>
        <v>2.12996877459562</v>
      </c>
      <c r="G837" s="418" t="n">
        <f aca="false">G836+acc_x*pas</f>
        <v>12.4683167235521</v>
      </c>
      <c r="H837" s="419" t="n">
        <f aca="false">H836+acc_z*pas</f>
        <v>-123.483495335779</v>
      </c>
      <c r="I837" s="417" t="n">
        <f aca="false">SQRT(vit_x^2+vit_z^2)</f>
        <v>124.111371526787</v>
      </c>
      <c r="J837" s="418" t="n">
        <f aca="false">J836+0.5*(vit_x+G836)*pas*(K836&gt;=0)</f>
        <v>913.614336176273</v>
      </c>
      <c r="K837" s="419" t="n">
        <f aca="false">K836+0.5*(vit_z+H836)*pas</f>
        <v>-10.0642584011702</v>
      </c>
      <c r="L837" s="417" t="n">
        <f aca="false">SQRT(pos_x^2+pos_z^2)</f>
        <v>913.669767784826</v>
      </c>
      <c r="M837" s="418" t="n">
        <f aca="false">IF(AND(L836&gt;L_rampe,G837&gt;0),ATAN2(G837,H837),$M$4)</f>
        <v>-1.47016586208165</v>
      </c>
      <c r="N837" s="417" t="n">
        <f aca="false">DEGREES(Beta)</f>
        <v>-84.2342990814908</v>
      </c>
      <c r="O837" s="401"/>
      <c r="P837" s="420" t="n">
        <f aca="false">MATCH(t-pas/2-T_ini,CdP_t)</f>
        <v>23</v>
      </c>
      <c r="Q837" s="417" t="n">
        <f aca="false">(INDEX(CdP,2,i_P+1)-INDEX(CdP,2,i_P+0))/(INDEX(CdP,1,i_P+1)-INDEX(CdP,1,i_P+0))*(t-pas/2-T_ini-INDEX(CdP,1,i_P+0))+INDEX(CdP,2,i_P+0)</f>
        <v>0</v>
      </c>
      <c r="R837" s="418" t="n">
        <f aca="false">Poussee/(g*ISP)</f>
        <v>0</v>
      </c>
      <c r="S837" s="419" t="n">
        <f aca="false">S836-Débit*pas</f>
        <v>7.37799999999998</v>
      </c>
      <c r="T837" s="417" t="n">
        <f aca="false">m*g</f>
        <v>72.3781799999998</v>
      </c>
      <c r="U837" s="421" t="n">
        <f aca="false">IF(pos_xz&lt;L_rampe,Poids*COS(Beta),0)</f>
        <v>0</v>
      </c>
      <c r="V837" s="418" t="n">
        <f aca="false">Rho_moyen*(20000-Alt_rampe-pos_z)/(20000+Alt_rampe+pos_z)</f>
        <v>1.22623349236344</v>
      </c>
      <c r="W837" s="417" t="n">
        <f aca="false">1/2*Rho*Sref*Cx*vit_xz^2</f>
        <v>58.0807259486091</v>
      </c>
      <c r="X837" s="401"/>
      <c r="Y837" s="422" t="str">
        <f aca="false">IF(AND(pos_z&lt;=0,K836&gt;0),"Impact balistique","") &amp; IF(AND(H838&lt;0,vit_z&gt;=0),"Apogée","") &amp; IF(AND(Poussee=0,Q836&gt;0),"Fin de propulsion","") &amp; IF(AND(L838&gt;L_rampe,pos_xz&lt;=L_rampe),"Sortie de rampe","")</f>
        <v/>
      </c>
      <c r="Z837" s="423" t="str">
        <f aca="false">IF(ABS(t-T_para)&lt;pas/2,"Para","")</f>
        <v/>
      </c>
      <c r="AA837" s="424" t="str">
        <f aca="false">IF(ABS(t-T_satellite)&lt;pas/2,"Satellite","")</f>
        <v/>
      </c>
      <c r="AB837" s="412"/>
      <c r="AC837" s="420" t="e">
        <f aca="false">IF(ABS(t-ROUND(t,0))&lt;0.001,t,NA())</f>
        <v>#N/A</v>
      </c>
      <c r="AD837" s="425" t="e">
        <f aca="false">IF(ABS(t-ROUND(t,0))&lt;0.001,pos_x,NA())</f>
        <v>#N/A</v>
      </c>
      <c r="AE837" s="426" t="e">
        <f aca="false">IF(t&lt;T_para, pos_z, NA())</f>
        <v>#N/A</v>
      </c>
      <c r="AF837" s="412"/>
      <c r="AG837" s="418" t="n">
        <f aca="false">IF(AND(L836&lt;L_rampe,Poussee&lt;Poids*SIN(M836)),0,(-W836+Poussee)/m-Poids*SIN(M836)/m)</f>
        <v>1.88825391744994</v>
      </c>
      <c r="AH837" s="417" t="n">
        <f aca="false">IF(AND(L836&lt;L_rampe,Poussee&lt;Poids*SIN(M836)), g*SIN(M836), (-W836+Poussee)/m)</f>
        <v>-7.87211676588031</v>
      </c>
    </row>
    <row r="838" customFormat="false" ht="12" hidden="false" customHeight="false" outlineLevel="0" collapsed="false">
      <c r="A838" s="416" t="n">
        <f aca="false">IF(B837+0.01&lt;=T_ini+ROUNDUP(Temps_fin_propu,0), 0.01, IF(K837&gt;0, 0.1, 0.0001))</f>
        <v>0.0001</v>
      </c>
      <c r="B838" s="417" t="n">
        <f aca="false">B837+pas</f>
        <v>36.3111000000006</v>
      </c>
      <c r="C838" s="401"/>
      <c r="D838" s="418" t="n">
        <f aca="false">IF(AND(L837&lt;L_rampe,Poussee&lt;Poids*SIN(M837)),0,(-W837+Poussee)/m*COS(M837)-U837/m*SIN(M837))</f>
        <v>-0.790841836471486</v>
      </c>
      <c r="E838" s="419" t="n">
        <f aca="false">IF(AND(L837&lt;L_rampe,Poussee&lt;Poids*SIN(M837)),0,(-W837+Poussee)/m*SIN(M837)+U837/m*COS(M837)-Poids/m)</f>
        <v>-1.97767456341581</v>
      </c>
      <c r="F838" s="417" t="n">
        <f aca="false">SQRT(acc_x^2+acc_z^2)</f>
        <v>2.12993602934349</v>
      </c>
      <c r="G838" s="418" t="n">
        <f aca="false">G837+acc_x*pas</f>
        <v>12.4682376393685</v>
      </c>
      <c r="H838" s="419" t="n">
        <f aca="false">H837+acc_z*pas</f>
        <v>-123.483693103235</v>
      </c>
      <c r="I838" s="417" t="n">
        <f aca="false">SQRT(vit_x^2+vit_z^2)</f>
        <v>124.111560348928</v>
      </c>
      <c r="J838" s="418" t="n">
        <f aca="false">J837+0.5*(vit_x+G837)*pas*(K837&gt;=0)</f>
        <v>913.614336176273</v>
      </c>
      <c r="K838" s="419" t="n">
        <f aca="false">K837+0.5*(vit_z+H837)*pas</f>
        <v>-10.0766067605922</v>
      </c>
      <c r="L838" s="417" t="n">
        <f aca="false">SQRT(pos_x^2+pos_z^2)</f>
        <v>913.669903887952</v>
      </c>
      <c r="M838" s="418" t="n">
        <f aca="false">IF(AND(L837&gt;L_rampe,G838&gt;0),ATAN2(G838,H838),$M$4)</f>
        <v>-1.47016665614111</v>
      </c>
      <c r="N838" s="417" t="n">
        <f aca="false">DEGREES(Beta)</f>
        <v>-84.2343445777464</v>
      </c>
      <c r="O838" s="401"/>
      <c r="P838" s="420" t="n">
        <f aca="false">MATCH(t-pas/2-T_ini,CdP_t)</f>
        <v>23</v>
      </c>
      <c r="Q838" s="417" t="n">
        <f aca="false">(INDEX(CdP,2,i_P+1)-INDEX(CdP,2,i_P+0))/(INDEX(CdP,1,i_P+1)-INDEX(CdP,1,i_P+0))*(t-pas/2-T_ini-INDEX(CdP,1,i_P+0))+INDEX(CdP,2,i_P+0)</f>
        <v>0</v>
      </c>
      <c r="R838" s="418" t="n">
        <f aca="false">Poussee/(g*ISP)</f>
        <v>0</v>
      </c>
      <c r="S838" s="419" t="n">
        <f aca="false">S837-Débit*pas</f>
        <v>7.37799999999998</v>
      </c>
      <c r="T838" s="417" t="n">
        <f aca="false">m*g</f>
        <v>72.3781799999998</v>
      </c>
      <c r="U838" s="421" t="n">
        <f aca="false">IF(pos_xz&lt;L_rampe,Poids*COS(Beta),0)</f>
        <v>0</v>
      </c>
      <c r="V838" s="418" t="n">
        <f aca="false">Rho_moyen*(20000-Alt_rampe-pos_z)/(20000+Alt_rampe+pos_z)</f>
        <v>1.22623500656195</v>
      </c>
      <c r="W838" s="417" t="n">
        <f aca="false">1/2*Rho*Sref*Cx*vit_xz^2</f>
        <v>58.0809743963838</v>
      </c>
      <c r="X838" s="401"/>
      <c r="Y838" s="422" t="str">
        <f aca="false">IF(AND(pos_z&lt;=0,K837&gt;0),"Impact balistique","") &amp; IF(AND(H839&lt;0,vit_z&gt;=0),"Apogée","") &amp; IF(AND(Poussee=0,Q837&gt;0),"Fin de propulsion","") &amp; IF(AND(L839&gt;L_rampe,pos_xz&lt;=L_rampe),"Sortie de rampe","")</f>
        <v/>
      </c>
      <c r="Z838" s="423" t="str">
        <f aca="false">IF(ABS(t-T_para)&lt;pas/2,"Para","")</f>
        <v/>
      </c>
      <c r="AA838" s="424" t="str">
        <f aca="false">IF(ABS(t-T_satellite)&lt;pas/2,"Satellite","")</f>
        <v/>
      </c>
      <c r="AB838" s="412"/>
      <c r="AC838" s="420" t="e">
        <f aca="false">IF(ABS(t-ROUND(t,0))&lt;0.001,t,NA())</f>
        <v>#N/A</v>
      </c>
      <c r="AD838" s="425" t="e">
        <f aca="false">IF(ABS(t-ROUND(t,0))&lt;0.001,pos_x,NA())</f>
        <v>#N/A</v>
      </c>
      <c r="AE838" s="426" t="e">
        <f aca="false">IF(t&lt;T_para, pos_z, NA())</f>
        <v>#N/A</v>
      </c>
      <c r="AF838" s="412"/>
      <c r="AG838" s="418" t="n">
        <f aca="false">IF(AND(L837&lt;L_rampe,Poussee&lt;Poids*SIN(M837)),0,(-W837+Poussee)/m-Poids*SIN(M837)/m)</f>
        <v>1.88822102559154</v>
      </c>
      <c r="AH838" s="417" t="n">
        <f aca="false">IF(AND(L837&lt;L_rampe,Poussee&lt;Poids*SIN(M837)), g*SIN(M837), (-W837+Poussee)/m)</f>
        <v>-7.87215044031028</v>
      </c>
    </row>
    <row r="839" customFormat="false" ht="12" hidden="false" customHeight="false" outlineLevel="0" collapsed="false">
      <c r="A839" s="416" t="n">
        <f aca="false">IF(B838+0.01&lt;=T_ini+ROUNDUP(Temps_fin_propu,0), 0.01, IF(K838&gt;0, 0.1, 0.0001))</f>
        <v>0.0001</v>
      </c>
      <c r="B839" s="417" t="n">
        <f aca="false">B838+pas</f>
        <v>36.3112000000006</v>
      </c>
      <c r="C839" s="401"/>
      <c r="D839" s="418" t="n">
        <f aca="false">IF(AND(L838&lt;L_rampe,Poussee&lt;Poids*SIN(M838)),0,(-W838+Poussee)/m*COS(M838)-U838/m*SIN(M838))</f>
        <v>-0.790839000040208</v>
      </c>
      <c r="E839" s="419" t="n">
        <f aca="false">IF(AND(L838&lt;L_rampe,Poussee&lt;Poids*SIN(M838)),0,(-W838+Poussee)/m*SIN(M838)+U838/m*COS(M838)-Poids/m)</f>
        <v>-1.97764043166083</v>
      </c>
      <c r="F839" s="417" t="n">
        <f aca="false">SQRT(acc_x^2+acc_z^2)</f>
        <v>2.12990328440618</v>
      </c>
      <c r="G839" s="418" t="n">
        <f aca="false">G838+acc_x*pas</f>
        <v>12.4681585554685</v>
      </c>
      <c r="H839" s="419" t="n">
        <f aca="false">H838+acc_z*pas</f>
        <v>-123.483890867278</v>
      </c>
      <c r="I839" s="417" t="n">
        <f aca="false">SQRT(vit_x^2+vit_z^2)</f>
        <v>124.111749167781</v>
      </c>
      <c r="J839" s="418" t="n">
        <f aca="false">J838+0.5*(vit_x+G838)*pas*(K838&gt;=0)</f>
        <v>913.614336176273</v>
      </c>
      <c r="K839" s="419" t="n">
        <f aca="false">K838+0.5*(vit_z+H838)*pas</f>
        <v>-10.0889551397907</v>
      </c>
      <c r="L839" s="417" t="n">
        <f aca="false">SQRT(pos_x^2+pos_z^2)</f>
        <v>913.670040158166</v>
      </c>
      <c r="M839" s="418" t="n">
        <f aca="false">IF(AND(L838&gt;L_rampe,G839&gt;0),ATAN2(G839,H839),$M$4)</f>
        <v>-1.47016745019311</v>
      </c>
      <c r="N839" s="417" t="n">
        <f aca="false">DEGREES(Beta)</f>
        <v>-84.234390073575</v>
      </c>
      <c r="O839" s="401"/>
      <c r="P839" s="420" t="n">
        <f aca="false">MATCH(t-pas/2-T_ini,CdP_t)</f>
        <v>23</v>
      </c>
      <c r="Q839" s="417" t="n">
        <f aca="false">(INDEX(CdP,2,i_P+1)-INDEX(CdP,2,i_P+0))/(INDEX(CdP,1,i_P+1)-INDEX(CdP,1,i_P+0))*(t-pas/2-T_ini-INDEX(CdP,1,i_P+0))+INDEX(CdP,2,i_P+0)</f>
        <v>0</v>
      </c>
      <c r="R839" s="418" t="n">
        <f aca="false">Poussee/(g*ISP)</f>
        <v>0</v>
      </c>
      <c r="S839" s="419" t="n">
        <f aca="false">S838-Débit*pas</f>
        <v>7.37799999999998</v>
      </c>
      <c r="T839" s="417" t="n">
        <f aca="false">m*g</f>
        <v>72.3781799999998</v>
      </c>
      <c r="U839" s="421" t="n">
        <f aca="false">IF(pos_xz&lt;L_rampe,Poids*COS(Beta),0)</f>
        <v>0</v>
      </c>
      <c r="V839" s="418" t="n">
        <f aca="false">Rho_moyen*(20000-Alt_rampe-pos_z)/(20000+Alt_rampe+pos_z)</f>
        <v>1.22623652076475</v>
      </c>
      <c r="W839" s="417" t="n">
        <f aca="false">1/2*Rho*Sref*Cx*vit_xz^2</f>
        <v>58.0812228419887</v>
      </c>
      <c r="X839" s="401"/>
      <c r="Y839" s="422" t="str">
        <f aca="false">IF(AND(pos_z&lt;=0,K838&gt;0),"Impact balistique","") &amp; IF(AND(H840&lt;0,vit_z&gt;=0),"Apogée","") &amp; IF(AND(Poussee=0,Q838&gt;0),"Fin de propulsion","") &amp; IF(AND(L840&gt;L_rampe,pos_xz&lt;=L_rampe),"Sortie de rampe","")</f>
        <v/>
      </c>
      <c r="Z839" s="423" t="str">
        <f aca="false">IF(ABS(t-T_para)&lt;pas/2,"Para","")</f>
        <v/>
      </c>
      <c r="AA839" s="424" t="str">
        <f aca="false">IF(ABS(t-T_satellite)&lt;pas/2,"Satellite","")</f>
        <v/>
      </c>
      <c r="AB839" s="412"/>
      <c r="AC839" s="420" t="e">
        <f aca="false">IF(ABS(t-ROUND(t,0))&lt;0.001,t,NA())</f>
        <v>#N/A</v>
      </c>
      <c r="AD839" s="425" t="e">
        <f aca="false">IF(ABS(t-ROUND(t,0))&lt;0.001,pos_x,NA())</f>
        <v>#N/A</v>
      </c>
      <c r="AE839" s="426" t="e">
        <f aca="false">IF(t&lt;T_para, pos_z, NA())</f>
        <v>#N/A</v>
      </c>
      <c r="AF839" s="412"/>
      <c r="AG839" s="418" t="n">
        <f aca="false">IF(AND(L838&lt;L_rampe,Poussee&lt;Poids*SIN(M838)),0,(-W838+Poussee)/m-Poids*SIN(M838)/m)</f>
        <v>1.88818813401371</v>
      </c>
      <c r="AH839" s="417" t="n">
        <f aca="false">IF(AND(L838&lt;L_rampe,Poussee&lt;Poids*SIN(M838)), g*SIN(M838), (-W838+Poussee)/m)</f>
        <v>-7.87218411444618</v>
      </c>
    </row>
    <row r="840" customFormat="false" ht="12" hidden="false" customHeight="false" outlineLevel="0" collapsed="false">
      <c r="A840" s="416" t="n">
        <f aca="false">IF(B839+0.01&lt;=T_ini+ROUNDUP(Temps_fin_propu,0), 0.01, IF(K839&gt;0, 0.1, 0.0001))</f>
        <v>0.0001</v>
      </c>
      <c r="B840" s="417" t="n">
        <f aca="false">B839+pas</f>
        <v>36.3113000000006</v>
      </c>
      <c r="C840" s="401"/>
      <c r="D840" s="418" t="n">
        <f aca="false">IF(AND(L839&lt;L_rampe,Poussee&lt;Poids*SIN(M839)),0,(-W839+Poussee)/m*COS(M839)-U839/m*SIN(M839))</f>
        <v>-0.790836163584053</v>
      </c>
      <c r="E840" s="419" t="n">
        <f aca="false">IF(AND(L839&lt;L_rampe,Poussee&lt;Poids*SIN(M839)),0,(-W839+Poussee)/m*SIN(M839)+U839/m*COS(M839)-Poids/m)</f>
        <v>-1.9776063002039</v>
      </c>
      <c r="F840" s="417" t="n">
        <f aca="false">SQRT(acc_x^2+acc_z^2)</f>
        <v>2.1298705397837</v>
      </c>
      <c r="G840" s="418" t="n">
        <f aca="false">G839+acc_x*pas</f>
        <v>12.4680794718521</v>
      </c>
      <c r="H840" s="419" t="n">
        <f aca="false">H839+acc_z*pas</f>
        <v>-123.484088627908</v>
      </c>
      <c r="I840" s="417" t="n">
        <f aca="false">SQRT(vit_x^2+vit_z^2)</f>
        <v>124.111937983344</v>
      </c>
      <c r="J840" s="418" t="n">
        <f aca="false">J839+0.5*(vit_x+G839)*pas*(K839&gt;=0)</f>
        <v>913.614336176273</v>
      </c>
      <c r="K840" s="419" t="n">
        <f aca="false">K839+0.5*(vit_z+H839)*pas</f>
        <v>-10.1013035387655</v>
      </c>
      <c r="L840" s="417" t="n">
        <f aca="false">SQRT(pos_x^2+pos_z^2)</f>
        <v>913.670176595468</v>
      </c>
      <c r="M840" s="418" t="n">
        <f aca="false">IF(AND(L839&gt;L_rampe,G840&gt;0),ATAN2(G840,H840),$M$4)</f>
        <v>-1.47016824423766</v>
      </c>
      <c r="N840" s="417" t="n">
        <f aca="false">DEGREES(Beta)</f>
        <v>-84.2344355689765</v>
      </c>
      <c r="O840" s="401"/>
      <c r="P840" s="420" t="n">
        <f aca="false">MATCH(t-pas/2-T_ini,CdP_t)</f>
        <v>23</v>
      </c>
      <c r="Q840" s="417" t="n">
        <f aca="false">(INDEX(CdP,2,i_P+1)-INDEX(CdP,2,i_P+0))/(INDEX(CdP,1,i_P+1)-INDEX(CdP,1,i_P+0))*(t-pas/2-T_ini-INDEX(CdP,1,i_P+0))+INDEX(CdP,2,i_P+0)</f>
        <v>0</v>
      </c>
      <c r="R840" s="418" t="n">
        <f aca="false">Poussee/(g*ISP)</f>
        <v>0</v>
      </c>
      <c r="S840" s="419" t="n">
        <f aca="false">S839-Débit*pas</f>
        <v>7.37799999999998</v>
      </c>
      <c r="T840" s="417" t="n">
        <f aca="false">m*g</f>
        <v>72.3781799999998</v>
      </c>
      <c r="U840" s="421" t="n">
        <f aca="false">IF(pos_xz&lt;L_rampe,Poids*COS(Beta),0)</f>
        <v>0</v>
      </c>
      <c r="V840" s="418" t="n">
        <f aca="false">Rho_moyen*(20000-Alt_rampe-pos_z)/(20000+Alt_rampe+pos_z)</f>
        <v>1.22623803497185</v>
      </c>
      <c r="W840" s="417" t="n">
        <f aca="false">1/2*Rho*Sref*Cx*vit_xz^2</f>
        <v>58.081471285424</v>
      </c>
      <c r="X840" s="401"/>
      <c r="Y840" s="422" t="str">
        <f aca="false">IF(AND(pos_z&lt;=0,K839&gt;0),"Impact balistique","") &amp; IF(AND(H841&lt;0,vit_z&gt;=0),"Apogée","") &amp; IF(AND(Poussee=0,Q839&gt;0),"Fin de propulsion","") &amp; IF(AND(L841&gt;L_rampe,pos_xz&lt;=L_rampe),"Sortie de rampe","")</f>
        <v/>
      </c>
      <c r="Z840" s="423" t="str">
        <f aca="false">IF(ABS(t-T_para)&lt;pas/2,"Para","")</f>
        <v/>
      </c>
      <c r="AA840" s="424" t="str">
        <f aca="false">IF(ABS(t-T_satellite)&lt;pas/2,"Satellite","")</f>
        <v/>
      </c>
      <c r="AB840" s="412"/>
      <c r="AC840" s="420" t="e">
        <f aca="false">IF(ABS(t-ROUND(t,0))&lt;0.001,t,NA())</f>
        <v>#N/A</v>
      </c>
      <c r="AD840" s="425" t="e">
        <f aca="false">IF(ABS(t-ROUND(t,0))&lt;0.001,pos_x,NA())</f>
        <v>#N/A</v>
      </c>
      <c r="AE840" s="426" t="e">
        <f aca="false">IF(t&lt;T_para, pos_z, NA())</f>
        <v>#N/A</v>
      </c>
      <c r="AF840" s="412"/>
      <c r="AG840" s="418" t="n">
        <f aca="false">IF(AND(L839&lt;L_rampe,Poussee&lt;Poids*SIN(M839)),0,(-W839+Poussee)/m-Poids*SIN(M839)/m)</f>
        <v>1.88815524271646</v>
      </c>
      <c r="AH840" s="417" t="n">
        <f aca="false">IF(AND(L839&lt;L_rampe,Poussee&lt;Poids*SIN(M839)), g*SIN(M839), (-W839+Poussee)/m)</f>
        <v>-7.872217788288</v>
      </c>
    </row>
    <row r="841" customFormat="false" ht="12" hidden="false" customHeight="false" outlineLevel="0" collapsed="false">
      <c r="A841" s="416" t="n">
        <f aca="false">IF(B840+0.01&lt;=T_ini+ROUNDUP(Temps_fin_propu,0), 0.01, IF(K840&gt;0, 0.1, 0.0001))</f>
        <v>0.0001</v>
      </c>
      <c r="B841" s="417" t="n">
        <f aca="false">B840+pas</f>
        <v>36.3114000000006</v>
      </c>
      <c r="C841" s="401"/>
      <c r="D841" s="418" t="n">
        <f aca="false">IF(AND(L840&lt;L_rampe,Poussee&lt;Poids*SIN(M840)),0,(-W840+Poussee)/m*COS(M840)-U840/m*SIN(M840))</f>
        <v>-0.79083332710302</v>
      </c>
      <c r="E841" s="419" t="n">
        <f aca="false">IF(AND(L840&lt;L_rampe,Poussee&lt;Poids*SIN(M840)),0,(-W840+Poussee)/m*SIN(M840)+U840/m*COS(M840)-Poids/m)</f>
        <v>-1.97757216904502</v>
      </c>
      <c r="F841" s="417" t="n">
        <f aca="false">SQRT(acc_x^2+acc_z^2)</f>
        <v>2.12983779547605</v>
      </c>
      <c r="G841" s="418" t="n">
        <f aca="false">G840+acc_x*pas</f>
        <v>12.4680003885194</v>
      </c>
      <c r="H841" s="419" t="n">
        <f aca="false">H840+acc_z*pas</f>
        <v>-123.484286385125</v>
      </c>
      <c r="I841" s="417" t="n">
        <f aca="false">SQRT(vit_x^2+vit_z^2)</f>
        <v>124.112126795619</v>
      </c>
      <c r="J841" s="418" t="n">
        <f aca="false">J840+0.5*(vit_x+G840)*pas*(K840&gt;=0)</f>
        <v>913.614336176273</v>
      </c>
      <c r="K841" s="419" t="n">
        <f aca="false">K840+0.5*(vit_z+H840)*pas</f>
        <v>-10.1136519575161</v>
      </c>
      <c r="L841" s="417" t="n">
        <f aca="false">SQRT(pos_x^2+pos_z^2)</f>
        <v>913.67031319986</v>
      </c>
      <c r="M841" s="418" t="n">
        <f aca="false">IF(AND(L840&gt;L_rampe,G841&gt;0),ATAN2(G841,H841),$M$4)</f>
        <v>-1.47016903827476</v>
      </c>
      <c r="N841" s="417" t="n">
        <f aca="false">DEGREES(Beta)</f>
        <v>-84.2344810639511</v>
      </c>
      <c r="O841" s="401"/>
      <c r="P841" s="420" t="n">
        <f aca="false">MATCH(t-pas/2-T_ini,CdP_t)</f>
        <v>23</v>
      </c>
      <c r="Q841" s="417" t="n">
        <f aca="false">(INDEX(CdP,2,i_P+1)-INDEX(CdP,2,i_P+0))/(INDEX(CdP,1,i_P+1)-INDEX(CdP,1,i_P+0))*(t-pas/2-T_ini-INDEX(CdP,1,i_P+0))+INDEX(CdP,2,i_P+0)</f>
        <v>0</v>
      </c>
      <c r="R841" s="418" t="n">
        <f aca="false">Poussee/(g*ISP)</f>
        <v>0</v>
      </c>
      <c r="S841" s="419" t="n">
        <f aca="false">S840-Débit*pas</f>
        <v>7.37799999999998</v>
      </c>
      <c r="T841" s="417" t="n">
        <f aca="false">m*g</f>
        <v>72.3781799999998</v>
      </c>
      <c r="U841" s="421" t="n">
        <f aca="false">IF(pos_xz&lt;L_rampe,Poids*COS(Beta),0)</f>
        <v>0</v>
      </c>
      <c r="V841" s="418" t="n">
        <f aca="false">Rho_moyen*(20000-Alt_rampe-pos_z)/(20000+Alt_rampe+pos_z)</f>
        <v>1.22623954918325</v>
      </c>
      <c r="W841" s="417" t="n">
        <f aca="false">1/2*Rho*Sref*Cx*vit_xz^2</f>
        <v>58.0817197266896</v>
      </c>
      <c r="X841" s="401"/>
      <c r="Y841" s="422" t="str">
        <f aca="false">IF(AND(pos_z&lt;=0,K840&gt;0),"Impact balistique","") &amp; IF(AND(H842&lt;0,vit_z&gt;=0),"Apogée","") &amp; IF(AND(Poussee=0,Q840&gt;0),"Fin de propulsion","") &amp; IF(AND(L842&gt;L_rampe,pos_xz&lt;=L_rampe),"Sortie de rampe","")</f>
        <v/>
      </c>
      <c r="Z841" s="423" t="str">
        <f aca="false">IF(ABS(t-T_para)&lt;pas/2,"Para","")</f>
        <v/>
      </c>
      <c r="AA841" s="424" t="str">
        <f aca="false">IF(ABS(t-T_satellite)&lt;pas/2,"Satellite","")</f>
        <v/>
      </c>
      <c r="AB841" s="412"/>
      <c r="AC841" s="420" t="e">
        <f aca="false">IF(ABS(t-ROUND(t,0))&lt;0.001,t,NA())</f>
        <v>#N/A</v>
      </c>
      <c r="AD841" s="425" t="e">
        <f aca="false">IF(ABS(t-ROUND(t,0))&lt;0.001,pos_x,NA())</f>
        <v>#N/A</v>
      </c>
      <c r="AE841" s="426" t="e">
        <f aca="false">IF(t&lt;T_para, pos_z, NA())</f>
        <v>#N/A</v>
      </c>
      <c r="AF841" s="412"/>
      <c r="AG841" s="418" t="n">
        <f aca="false">IF(AND(L840&lt;L_rampe,Poussee&lt;Poids*SIN(M840)),0,(-W840+Poussee)/m-Poids*SIN(M840)/m)</f>
        <v>1.88812235169979</v>
      </c>
      <c r="AH841" s="417" t="n">
        <f aca="false">IF(AND(L840&lt;L_rampe,Poussee&lt;Poids*SIN(M840)), g*SIN(M840), (-W840+Poussee)/m)</f>
        <v>-7.87225146183574</v>
      </c>
    </row>
    <row r="842" customFormat="false" ht="12" hidden="false" customHeight="false" outlineLevel="0" collapsed="false">
      <c r="A842" s="416" t="n">
        <f aca="false">IF(B841+0.01&lt;=T_ini+ROUNDUP(Temps_fin_propu,0), 0.01, IF(K841&gt;0, 0.1, 0.0001))</f>
        <v>0.0001</v>
      </c>
      <c r="B842" s="417" t="n">
        <f aca="false">B841+pas</f>
        <v>36.3115000000006</v>
      </c>
      <c r="C842" s="401"/>
      <c r="D842" s="418" t="n">
        <f aca="false">IF(AND(L841&lt;L_rampe,Poussee&lt;Poids*SIN(M841)),0,(-W841+Poussee)/m*COS(M841)-U841/m*SIN(M841))</f>
        <v>-0.790830490597113</v>
      </c>
      <c r="E842" s="419" t="n">
        <f aca="false">IF(AND(L841&lt;L_rampe,Poussee&lt;Poids*SIN(M841)),0,(-W841+Poussee)/m*SIN(M841)+U841/m*COS(M841)-Poids/m)</f>
        <v>-1.97753803818419</v>
      </c>
      <c r="F842" s="417" t="n">
        <f aca="false">SQRT(acc_x^2+acc_z^2)</f>
        <v>2.12980505148322</v>
      </c>
      <c r="G842" s="418" t="n">
        <f aca="false">G841+acc_x*pas</f>
        <v>12.4679213054703</v>
      </c>
      <c r="H842" s="419" t="n">
        <f aca="false">H841+acc_z*pas</f>
        <v>-123.484484138929</v>
      </c>
      <c r="I842" s="417" t="n">
        <f aca="false">SQRT(vit_x^2+vit_z^2)</f>
        <v>124.112315604604</v>
      </c>
      <c r="J842" s="418" t="n">
        <f aca="false">J841+0.5*(vit_x+G841)*pas*(K841&gt;=0)</f>
        <v>913.614336176273</v>
      </c>
      <c r="K842" s="419" t="n">
        <f aca="false">K841+0.5*(vit_z+H841)*pas</f>
        <v>-10.1260003960423</v>
      </c>
      <c r="L842" s="417" t="n">
        <f aca="false">SQRT(pos_x^2+pos_z^2)</f>
        <v>913.670449971341</v>
      </c>
      <c r="M842" s="418" t="n">
        <f aca="false">IF(AND(L841&gt;L_rampe,G842&gt;0),ATAN2(G842,H842),$M$4)</f>
        <v>-1.47016983230441</v>
      </c>
      <c r="N842" s="417" t="n">
        <f aca="false">DEGREES(Beta)</f>
        <v>-84.2345265584987</v>
      </c>
      <c r="O842" s="401"/>
      <c r="P842" s="420" t="n">
        <f aca="false">MATCH(t-pas/2-T_ini,CdP_t)</f>
        <v>23</v>
      </c>
      <c r="Q842" s="417" t="n">
        <f aca="false">(INDEX(CdP,2,i_P+1)-INDEX(CdP,2,i_P+0))/(INDEX(CdP,1,i_P+1)-INDEX(CdP,1,i_P+0))*(t-pas/2-T_ini-INDEX(CdP,1,i_P+0))+INDEX(CdP,2,i_P+0)</f>
        <v>0</v>
      </c>
      <c r="R842" s="418" t="n">
        <f aca="false">Poussee/(g*ISP)</f>
        <v>0</v>
      </c>
      <c r="S842" s="419" t="n">
        <f aca="false">S841-Débit*pas</f>
        <v>7.37799999999998</v>
      </c>
      <c r="T842" s="417" t="n">
        <f aca="false">m*g</f>
        <v>72.3781799999998</v>
      </c>
      <c r="U842" s="421" t="n">
        <f aca="false">IF(pos_xz&lt;L_rampe,Poids*COS(Beta),0)</f>
        <v>0</v>
      </c>
      <c r="V842" s="418" t="n">
        <f aca="false">Rho_moyen*(20000-Alt_rampe-pos_z)/(20000+Alt_rampe+pos_z)</f>
        <v>1.22624106339894</v>
      </c>
      <c r="W842" s="417" t="n">
        <f aca="false">1/2*Rho*Sref*Cx*vit_xz^2</f>
        <v>58.0819681657854</v>
      </c>
      <c r="X842" s="401"/>
      <c r="Y842" s="422" t="str">
        <f aca="false">IF(AND(pos_z&lt;=0,K841&gt;0),"Impact balistique","") &amp; IF(AND(H843&lt;0,vit_z&gt;=0),"Apogée","") &amp; IF(AND(Poussee=0,Q841&gt;0),"Fin de propulsion","") &amp; IF(AND(L843&gt;L_rampe,pos_xz&lt;=L_rampe),"Sortie de rampe","")</f>
        <v/>
      </c>
      <c r="Z842" s="423" t="str">
        <f aca="false">IF(ABS(t-T_para)&lt;pas/2,"Para","")</f>
        <v/>
      </c>
      <c r="AA842" s="424" t="str">
        <f aca="false">IF(ABS(t-T_satellite)&lt;pas/2,"Satellite","")</f>
        <v/>
      </c>
      <c r="AB842" s="412"/>
      <c r="AC842" s="420" t="e">
        <f aca="false">IF(ABS(t-ROUND(t,0))&lt;0.001,t,NA())</f>
        <v>#N/A</v>
      </c>
      <c r="AD842" s="425" t="e">
        <f aca="false">IF(ABS(t-ROUND(t,0))&lt;0.001,pos_x,NA())</f>
        <v>#N/A</v>
      </c>
      <c r="AE842" s="426" t="e">
        <f aca="false">IF(t&lt;T_para, pos_z, NA())</f>
        <v>#N/A</v>
      </c>
      <c r="AF842" s="412"/>
      <c r="AG842" s="418" t="n">
        <f aca="false">IF(AND(L841&lt;L_rampe,Poussee&lt;Poids*SIN(M841)),0,(-W841+Poussee)/m-Poids*SIN(M841)/m)</f>
        <v>1.88808946096369</v>
      </c>
      <c r="AH842" s="417" t="n">
        <f aca="false">IF(AND(L841&lt;L_rampe,Poussee&lt;Poids*SIN(M841)), g*SIN(M841), (-W841+Poussee)/m)</f>
        <v>-7.87228513508941</v>
      </c>
    </row>
    <row r="843" customFormat="false" ht="12" hidden="false" customHeight="false" outlineLevel="0" collapsed="false">
      <c r="A843" s="416" t="n">
        <f aca="false">IF(B842+0.01&lt;=T_ini+ROUNDUP(Temps_fin_propu,0), 0.01, IF(K842&gt;0, 0.1, 0.0001))</f>
        <v>0.0001</v>
      </c>
      <c r="B843" s="417" t="n">
        <f aca="false">B842+pas</f>
        <v>36.3116000000006</v>
      </c>
      <c r="C843" s="401"/>
      <c r="D843" s="418" t="n">
        <f aca="false">IF(AND(L842&lt;L_rampe,Poussee&lt;Poids*SIN(M842)),0,(-W842+Poussee)/m*COS(M842)-U842/m*SIN(M842))</f>
        <v>-0.790827654066332</v>
      </c>
      <c r="E843" s="419" t="n">
        <f aca="false">IF(AND(L842&lt;L_rampe,Poussee&lt;Poids*SIN(M842)),0,(-W842+Poussee)/m*SIN(M842)+U842/m*COS(M842)-Poids/m)</f>
        <v>-1.9775039076214</v>
      </c>
      <c r="F843" s="417" t="n">
        <f aca="false">SQRT(acc_x^2+acc_z^2)</f>
        <v>2.12977230780522</v>
      </c>
      <c r="G843" s="418" t="n">
        <f aca="false">G842+acc_x*pas</f>
        <v>12.4678422227049</v>
      </c>
      <c r="H843" s="419" t="n">
        <f aca="false">H842+acc_z*pas</f>
        <v>-123.48468188932</v>
      </c>
      <c r="I843" s="417" t="n">
        <f aca="false">SQRT(vit_x^2+vit_z^2)</f>
        <v>124.1125044103</v>
      </c>
      <c r="J843" s="418" t="n">
        <f aca="false">J842+0.5*(vit_x+G842)*pas*(K842&gt;=0)</f>
        <v>913.614336176273</v>
      </c>
      <c r="K843" s="419" t="n">
        <f aca="false">K842+0.5*(vit_z+H842)*pas</f>
        <v>-10.1383488543437</v>
      </c>
      <c r="L843" s="417" t="n">
        <f aca="false">SQRT(pos_x^2+pos_z^2)</f>
        <v>913.670586909913</v>
      </c>
      <c r="M843" s="418" t="n">
        <f aca="false">IF(AND(L842&gt;L_rampe,G843&gt;0),ATAN2(G843,H843),$M$4)</f>
        <v>-1.47017062632661</v>
      </c>
      <c r="N843" s="417" t="n">
        <f aca="false">DEGREES(Beta)</f>
        <v>-84.2345720526193</v>
      </c>
      <c r="O843" s="401"/>
      <c r="P843" s="420" t="n">
        <f aca="false">MATCH(t-pas/2-T_ini,CdP_t)</f>
        <v>23</v>
      </c>
      <c r="Q843" s="417" t="n">
        <f aca="false">(INDEX(CdP,2,i_P+1)-INDEX(CdP,2,i_P+0))/(INDEX(CdP,1,i_P+1)-INDEX(CdP,1,i_P+0))*(t-pas/2-T_ini-INDEX(CdP,1,i_P+0))+INDEX(CdP,2,i_P+0)</f>
        <v>0</v>
      </c>
      <c r="R843" s="418" t="n">
        <f aca="false">Poussee/(g*ISP)</f>
        <v>0</v>
      </c>
      <c r="S843" s="419" t="n">
        <f aca="false">S842-Débit*pas</f>
        <v>7.37799999999998</v>
      </c>
      <c r="T843" s="417" t="n">
        <f aca="false">m*g</f>
        <v>72.3781799999998</v>
      </c>
      <c r="U843" s="421" t="n">
        <f aca="false">IF(pos_xz&lt;L_rampe,Poids*COS(Beta),0)</f>
        <v>0</v>
      </c>
      <c r="V843" s="418" t="n">
        <f aca="false">Rho_moyen*(20000-Alt_rampe-pos_z)/(20000+Alt_rampe+pos_z)</f>
        <v>1.22624257761893</v>
      </c>
      <c r="W843" s="417" t="n">
        <f aca="false">1/2*Rho*Sref*Cx*vit_xz^2</f>
        <v>58.0822166027117</v>
      </c>
      <c r="X843" s="401"/>
      <c r="Y843" s="422" t="str">
        <f aca="false">IF(AND(pos_z&lt;=0,K842&gt;0),"Impact balistique","") &amp; IF(AND(H844&lt;0,vit_z&gt;=0),"Apogée","") &amp; IF(AND(Poussee=0,Q842&gt;0),"Fin de propulsion","") &amp; IF(AND(L844&gt;L_rampe,pos_xz&lt;=L_rampe),"Sortie de rampe","")</f>
        <v/>
      </c>
      <c r="Z843" s="423" t="str">
        <f aca="false">IF(ABS(t-T_para)&lt;pas/2,"Para","")</f>
        <v/>
      </c>
      <c r="AA843" s="424" t="str">
        <f aca="false">IF(ABS(t-T_satellite)&lt;pas/2,"Satellite","")</f>
        <v/>
      </c>
      <c r="AB843" s="412"/>
      <c r="AC843" s="420" t="e">
        <f aca="false">IF(ABS(t-ROUND(t,0))&lt;0.001,t,NA())</f>
        <v>#N/A</v>
      </c>
      <c r="AD843" s="425" t="e">
        <f aca="false">IF(ABS(t-ROUND(t,0))&lt;0.001,pos_x,NA())</f>
        <v>#N/A</v>
      </c>
      <c r="AE843" s="426" t="e">
        <f aca="false">IF(t&lt;T_para, pos_z, NA())</f>
        <v>#N/A</v>
      </c>
      <c r="AF843" s="412"/>
      <c r="AG843" s="418" t="n">
        <f aca="false">IF(AND(L842&lt;L_rampe,Poussee&lt;Poids*SIN(M842)),0,(-W842+Poussee)/m-Poids*SIN(M842)/m)</f>
        <v>1.88805657050817</v>
      </c>
      <c r="AH843" s="417" t="n">
        <f aca="false">IF(AND(L842&lt;L_rampe,Poussee&lt;Poids*SIN(M842)), g*SIN(M842), (-W842+Poussee)/m)</f>
        <v>-7.872318808049</v>
      </c>
    </row>
    <row r="844" customFormat="false" ht="12" hidden="false" customHeight="false" outlineLevel="0" collapsed="false">
      <c r="A844" s="416" t="n">
        <f aca="false">IF(B843+0.01&lt;=T_ini+ROUNDUP(Temps_fin_propu,0), 0.01, IF(K843&gt;0, 0.1, 0.0001))</f>
        <v>0.0001</v>
      </c>
      <c r="B844" s="417" t="n">
        <f aca="false">B843+pas</f>
        <v>36.3117000000006</v>
      </c>
      <c r="C844" s="401"/>
      <c r="D844" s="418" t="n">
        <f aca="false">IF(AND(L843&lt;L_rampe,Poussee&lt;Poids*SIN(M843)),0,(-W843+Poussee)/m*COS(M843)-U843/m*SIN(M843))</f>
        <v>-0.790824817510677</v>
      </c>
      <c r="E844" s="419" t="n">
        <f aca="false">IF(AND(L843&lt;L_rampe,Poussee&lt;Poids*SIN(M843)),0,(-W843+Poussee)/m*SIN(M843)+U843/m*COS(M843)-Poids/m)</f>
        <v>-1.97746977735666</v>
      </c>
      <c r="F844" s="417" t="n">
        <f aca="false">SQRT(acc_x^2+acc_z^2)</f>
        <v>2.12973956444204</v>
      </c>
      <c r="G844" s="418" t="n">
        <f aca="false">G843+acc_x*pas</f>
        <v>12.4677631402232</v>
      </c>
      <c r="H844" s="419" t="n">
        <f aca="false">H843+acc_z*pas</f>
        <v>-123.484879636297</v>
      </c>
      <c r="I844" s="417" t="n">
        <f aca="false">SQRT(vit_x^2+vit_z^2)</f>
        <v>124.112693212707</v>
      </c>
      <c r="J844" s="418" t="n">
        <f aca="false">J843+0.5*(vit_x+G843)*pas*(K843&gt;=0)</f>
        <v>913.614336176273</v>
      </c>
      <c r="K844" s="419" t="n">
        <f aca="false">K843+0.5*(vit_z+H843)*pas</f>
        <v>-10.15069733242</v>
      </c>
      <c r="L844" s="417" t="n">
        <f aca="false">SQRT(pos_x^2+pos_z^2)</f>
        <v>913.670724015576</v>
      </c>
      <c r="M844" s="418" t="n">
        <f aca="false">IF(AND(L843&gt;L_rampe,G844&gt;0),ATAN2(G844,H844),$M$4)</f>
        <v>-1.47017142034135</v>
      </c>
      <c r="N844" s="417" t="n">
        <f aca="false">DEGREES(Beta)</f>
        <v>-84.234617546313</v>
      </c>
      <c r="O844" s="401"/>
      <c r="P844" s="420" t="n">
        <f aca="false">MATCH(t-pas/2-T_ini,CdP_t)</f>
        <v>23</v>
      </c>
      <c r="Q844" s="417" t="n">
        <f aca="false">(INDEX(CdP,2,i_P+1)-INDEX(CdP,2,i_P+0))/(INDEX(CdP,1,i_P+1)-INDEX(CdP,1,i_P+0))*(t-pas/2-T_ini-INDEX(CdP,1,i_P+0))+INDEX(CdP,2,i_P+0)</f>
        <v>0</v>
      </c>
      <c r="R844" s="418" t="n">
        <f aca="false">Poussee/(g*ISP)</f>
        <v>0</v>
      </c>
      <c r="S844" s="419" t="n">
        <f aca="false">S843-Débit*pas</f>
        <v>7.37799999999998</v>
      </c>
      <c r="T844" s="417" t="n">
        <f aca="false">m*g</f>
        <v>72.3781799999998</v>
      </c>
      <c r="U844" s="421" t="n">
        <f aca="false">IF(pos_xz&lt;L_rampe,Poids*COS(Beta),0)</f>
        <v>0</v>
      </c>
      <c r="V844" s="418" t="n">
        <f aca="false">Rho_moyen*(20000-Alt_rampe-pos_z)/(20000+Alt_rampe+pos_z)</f>
        <v>1.22624409184321</v>
      </c>
      <c r="W844" s="417" t="n">
        <f aca="false">1/2*Rho*Sref*Cx*vit_xz^2</f>
        <v>58.0824650374682</v>
      </c>
      <c r="X844" s="401"/>
      <c r="Y844" s="422" t="str">
        <f aca="false">IF(AND(pos_z&lt;=0,K843&gt;0),"Impact balistique","") &amp; IF(AND(H845&lt;0,vit_z&gt;=0),"Apogée","") &amp; IF(AND(Poussee=0,Q843&gt;0),"Fin de propulsion","") &amp; IF(AND(L845&gt;L_rampe,pos_xz&lt;=L_rampe),"Sortie de rampe","")</f>
        <v/>
      </c>
      <c r="Z844" s="423" t="str">
        <f aca="false">IF(ABS(t-T_para)&lt;pas/2,"Para","")</f>
        <v/>
      </c>
      <c r="AA844" s="424" t="str">
        <f aca="false">IF(ABS(t-T_satellite)&lt;pas/2,"Satellite","")</f>
        <v/>
      </c>
      <c r="AB844" s="412"/>
      <c r="AC844" s="420" t="e">
        <f aca="false">IF(ABS(t-ROUND(t,0))&lt;0.001,t,NA())</f>
        <v>#N/A</v>
      </c>
      <c r="AD844" s="425" t="e">
        <f aca="false">IF(ABS(t-ROUND(t,0))&lt;0.001,pos_x,NA())</f>
        <v>#N/A</v>
      </c>
      <c r="AE844" s="426" t="e">
        <f aca="false">IF(t&lt;T_para, pos_z, NA())</f>
        <v>#N/A</v>
      </c>
      <c r="AF844" s="412"/>
      <c r="AG844" s="418" t="n">
        <f aca="false">IF(AND(L843&lt;L_rampe,Poussee&lt;Poids*SIN(M843)),0,(-W843+Poussee)/m-Poids*SIN(M843)/m)</f>
        <v>1.88802368033322</v>
      </c>
      <c r="AH844" s="417" t="n">
        <f aca="false">IF(AND(L843&lt;L_rampe,Poussee&lt;Poids*SIN(M843)), g*SIN(M843), (-W843+Poussee)/m)</f>
        <v>-7.87235248071453</v>
      </c>
    </row>
    <row r="845" customFormat="false" ht="12" hidden="false" customHeight="false" outlineLevel="0" collapsed="false">
      <c r="A845" s="416" t="n">
        <f aca="false">IF(B844+0.01&lt;=T_ini+ROUNDUP(Temps_fin_propu,0), 0.01, IF(K844&gt;0, 0.1, 0.0001))</f>
        <v>0.0001</v>
      </c>
      <c r="B845" s="417" t="n">
        <f aca="false">B844+pas</f>
        <v>36.3118000000006</v>
      </c>
      <c r="C845" s="401"/>
      <c r="D845" s="418" t="n">
        <f aca="false">IF(AND(L844&lt;L_rampe,Poussee&lt;Poids*SIN(M844)),0,(-W844+Poussee)/m*COS(M844)-U844/m*SIN(M844))</f>
        <v>-0.790821980930147</v>
      </c>
      <c r="E845" s="419" t="n">
        <f aca="false">IF(AND(L844&lt;L_rampe,Poussee&lt;Poids*SIN(M844)),0,(-W844+Poussee)/m*SIN(M844)+U844/m*COS(M844)-Poids/m)</f>
        <v>-1.97743564738996</v>
      </c>
      <c r="F845" s="417" t="n">
        <f aca="false">SQRT(acc_x^2+acc_z^2)</f>
        <v>2.12970682139369</v>
      </c>
      <c r="G845" s="418" t="n">
        <f aca="false">G844+acc_x*pas</f>
        <v>12.4676840580251</v>
      </c>
      <c r="H845" s="419" t="n">
        <f aca="false">H844+acc_z*pas</f>
        <v>-123.485077379862</v>
      </c>
      <c r="I845" s="417" t="n">
        <f aca="false">SQRT(vit_x^2+vit_z^2)</f>
        <v>124.112882011825</v>
      </c>
      <c r="J845" s="418" t="n">
        <f aca="false">J844+0.5*(vit_x+G844)*pas*(K844&gt;=0)</f>
        <v>913.614336176273</v>
      </c>
      <c r="K845" s="419" t="n">
        <f aca="false">K844+0.5*(vit_z+H844)*pas</f>
        <v>-10.1630458302708</v>
      </c>
      <c r="L845" s="417" t="n">
        <f aca="false">SQRT(pos_x^2+pos_z^2)</f>
        <v>913.670861288331</v>
      </c>
      <c r="M845" s="418" t="n">
        <f aca="false">IF(AND(L844&gt;L_rampe,G845&gt;0),ATAN2(G845,H845),$M$4)</f>
        <v>-1.47017221434864</v>
      </c>
      <c r="N845" s="417" t="n">
        <f aca="false">DEGREES(Beta)</f>
        <v>-84.2346630395796</v>
      </c>
      <c r="O845" s="401"/>
      <c r="P845" s="420" t="n">
        <f aca="false">MATCH(t-pas/2-T_ini,CdP_t)</f>
        <v>23</v>
      </c>
      <c r="Q845" s="417" t="n">
        <f aca="false">(INDEX(CdP,2,i_P+1)-INDEX(CdP,2,i_P+0))/(INDEX(CdP,1,i_P+1)-INDEX(CdP,1,i_P+0))*(t-pas/2-T_ini-INDEX(CdP,1,i_P+0))+INDEX(CdP,2,i_P+0)</f>
        <v>0</v>
      </c>
      <c r="R845" s="418" t="n">
        <f aca="false">Poussee/(g*ISP)</f>
        <v>0</v>
      </c>
      <c r="S845" s="419" t="n">
        <f aca="false">S844-Débit*pas</f>
        <v>7.37799999999998</v>
      </c>
      <c r="T845" s="417" t="n">
        <f aca="false">m*g</f>
        <v>72.3781799999998</v>
      </c>
      <c r="U845" s="421" t="n">
        <f aca="false">IF(pos_xz&lt;L_rampe,Poids*COS(Beta),0)</f>
        <v>0</v>
      </c>
      <c r="V845" s="418" t="n">
        <f aca="false">Rho_moyen*(20000-Alt_rampe-pos_z)/(20000+Alt_rampe+pos_z)</f>
        <v>1.22624560607179</v>
      </c>
      <c r="W845" s="417" t="n">
        <f aca="false">1/2*Rho*Sref*Cx*vit_xz^2</f>
        <v>58.0827134700551</v>
      </c>
      <c r="X845" s="401"/>
      <c r="Y845" s="422" t="str">
        <f aca="false">IF(AND(pos_z&lt;=0,K844&gt;0),"Impact balistique","") &amp; IF(AND(H846&lt;0,vit_z&gt;=0),"Apogée","") &amp; IF(AND(Poussee=0,Q844&gt;0),"Fin de propulsion","") &amp; IF(AND(L846&gt;L_rampe,pos_xz&lt;=L_rampe),"Sortie de rampe","")</f>
        <v/>
      </c>
      <c r="Z845" s="423" t="str">
        <f aca="false">IF(ABS(t-T_para)&lt;pas/2,"Para","")</f>
        <v/>
      </c>
      <c r="AA845" s="424" t="str">
        <f aca="false">IF(ABS(t-T_satellite)&lt;pas/2,"Satellite","")</f>
        <v/>
      </c>
      <c r="AB845" s="412"/>
      <c r="AC845" s="420" t="e">
        <f aca="false">IF(ABS(t-ROUND(t,0))&lt;0.001,t,NA())</f>
        <v>#N/A</v>
      </c>
      <c r="AD845" s="425" t="e">
        <f aca="false">IF(ABS(t-ROUND(t,0))&lt;0.001,pos_x,NA())</f>
        <v>#N/A</v>
      </c>
      <c r="AE845" s="426" t="e">
        <f aca="false">IF(t&lt;T_para, pos_z, NA())</f>
        <v>#N/A</v>
      </c>
      <c r="AF845" s="412"/>
      <c r="AG845" s="418" t="n">
        <f aca="false">IF(AND(L844&lt;L_rampe,Poussee&lt;Poids*SIN(M844)),0,(-W844+Poussee)/m-Poids*SIN(M844)/m)</f>
        <v>1.88799079043885</v>
      </c>
      <c r="AH845" s="417" t="n">
        <f aca="false">IF(AND(L844&lt;L_rampe,Poussee&lt;Poids*SIN(M844)), g*SIN(M844), (-W844+Poussee)/m)</f>
        <v>-7.87238615308598</v>
      </c>
    </row>
    <row r="846" customFormat="false" ht="12" hidden="false" customHeight="false" outlineLevel="0" collapsed="false">
      <c r="A846" s="416" t="n">
        <f aca="false">IF(B845+0.01&lt;=T_ini+ROUNDUP(Temps_fin_propu,0), 0.01, IF(K845&gt;0, 0.1, 0.0001))</f>
        <v>0.0001</v>
      </c>
      <c r="B846" s="417" t="n">
        <f aca="false">B845+pas</f>
        <v>36.3119000000006</v>
      </c>
      <c r="C846" s="401"/>
      <c r="D846" s="418" t="n">
        <f aca="false">IF(AND(L845&lt;L_rampe,Poussee&lt;Poids*SIN(M845)),0,(-W845+Poussee)/m*COS(M845)-U845/m*SIN(M845))</f>
        <v>-0.790819144324746</v>
      </c>
      <c r="E846" s="419" t="n">
        <f aca="false">IF(AND(L845&lt;L_rampe,Poussee&lt;Poids*SIN(M845)),0,(-W845+Poussee)/m*SIN(M845)+U845/m*COS(M845)-Poids/m)</f>
        <v>-1.97740151772131</v>
      </c>
      <c r="F846" s="417" t="n">
        <f aca="false">SQRT(acc_x^2+acc_z^2)</f>
        <v>2.12967407866017</v>
      </c>
      <c r="G846" s="418" t="n">
        <f aca="false">G845+acc_x*pas</f>
        <v>12.4676049761107</v>
      </c>
      <c r="H846" s="419" t="n">
        <f aca="false">H845+acc_z*pas</f>
        <v>-123.485275120014</v>
      </c>
      <c r="I846" s="417" t="n">
        <f aca="false">SQRT(vit_x^2+vit_z^2)</f>
        <v>124.113070807654</v>
      </c>
      <c r="J846" s="418" t="n">
        <f aca="false">J845+0.5*(vit_x+G845)*pas*(K845&gt;=0)</f>
        <v>913.614336176273</v>
      </c>
      <c r="K846" s="419" t="n">
        <f aca="false">K845+0.5*(vit_z+H845)*pas</f>
        <v>-10.1753943478958</v>
      </c>
      <c r="L846" s="417" t="n">
        <f aca="false">SQRT(pos_x^2+pos_z^2)</f>
        <v>913.670998728179</v>
      </c>
      <c r="M846" s="418" t="n">
        <f aca="false">IF(AND(L845&gt;L_rampe,G846&gt;0),ATAN2(G846,H846),$M$4)</f>
        <v>-1.47017300834848</v>
      </c>
      <c r="N846" s="417" t="n">
        <f aca="false">DEGREES(Beta)</f>
        <v>-84.2347085324193</v>
      </c>
      <c r="O846" s="401"/>
      <c r="P846" s="420" t="n">
        <f aca="false">MATCH(t-pas/2-T_ini,CdP_t)</f>
        <v>23</v>
      </c>
      <c r="Q846" s="417" t="n">
        <f aca="false">(INDEX(CdP,2,i_P+1)-INDEX(CdP,2,i_P+0))/(INDEX(CdP,1,i_P+1)-INDEX(CdP,1,i_P+0))*(t-pas/2-T_ini-INDEX(CdP,1,i_P+0))+INDEX(CdP,2,i_P+0)</f>
        <v>0</v>
      </c>
      <c r="R846" s="418" t="n">
        <f aca="false">Poussee/(g*ISP)</f>
        <v>0</v>
      </c>
      <c r="S846" s="419" t="n">
        <f aca="false">S845-Débit*pas</f>
        <v>7.37799999999998</v>
      </c>
      <c r="T846" s="417" t="n">
        <f aca="false">m*g</f>
        <v>72.3781799999998</v>
      </c>
      <c r="U846" s="421" t="n">
        <f aca="false">IF(pos_xz&lt;L_rampe,Poids*COS(Beta),0)</f>
        <v>0</v>
      </c>
      <c r="V846" s="418" t="n">
        <f aca="false">Rho_moyen*(20000-Alt_rampe-pos_z)/(20000+Alt_rampe+pos_z)</f>
        <v>1.22624712030466</v>
      </c>
      <c r="W846" s="417" t="n">
        <f aca="false">1/2*Rho*Sref*Cx*vit_xz^2</f>
        <v>58.0829619004723</v>
      </c>
      <c r="X846" s="401"/>
      <c r="Y846" s="422" t="str">
        <f aca="false">IF(AND(pos_z&lt;=0,K845&gt;0),"Impact balistique","") &amp; IF(AND(H847&lt;0,vit_z&gt;=0),"Apogée","") &amp; IF(AND(Poussee=0,Q845&gt;0),"Fin de propulsion","") &amp; IF(AND(L847&gt;L_rampe,pos_xz&lt;=L_rampe),"Sortie de rampe","")</f>
        <v/>
      </c>
      <c r="Z846" s="423" t="str">
        <f aca="false">IF(ABS(t-T_para)&lt;pas/2,"Para","")</f>
        <v/>
      </c>
      <c r="AA846" s="424" t="str">
        <f aca="false">IF(ABS(t-T_satellite)&lt;pas/2,"Satellite","")</f>
        <v/>
      </c>
      <c r="AB846" s="412"/>
      <c r="AC846" s="420" t="e">
        <f aca="false">IF(ABS(t-ROUND(t,0))&lt;0.001,t,NA())</f>
        <v>#N/A</v>
      </c>
      <c r="AD846" s="425" t="e">
        <f aca="false">IF(ABS(t-ROUND(t,0))&lt;0.001,pos_x,NA())</f>
        <v>#N/A</v>
      </c>
      <c r="AE846" s="426" t="e">
        <f aca="false">IF(t&lt;T_para, pos_z, NA())</f>
        <v>#N/A</v>
      </c>
      <c r="AF846" s="412"/>
      <c r="AG846" s="418" t="n">
        <f aca="false">IF(AND(L845&lt;L_rampe,Poussee&lt;Poids*SIN(M845)),0,(-W845+Poussee)/m-Poids*SIN(M845)/m)</f>
        <v>1.88795790082506</v>
      </c>
      <c r="AH846" s="417" t="n">
        <f aca="false">IF(AND(L845&lt;L_rampe,Poussee&lt;Poids*SIN(M845)), g*SIN(M845), (-W845+Poussee)/m)</f>
        <v>-7.87241982516335</v>
      </c>
    </row>
    <row r="847" customFormat="false" ht="12" hidden="false" customHeight="false" outlineLevel="0" collapsed="false">
      <c r="A847" s="416" t="n">
        <f aca="false">IF(B846+0.01&lt;=T_ini+ROUNDUP(Temps_fin_propu,0), 0.01, IF(K846&gt;0, 0.1, 0.0001))</f>
        <v>0.0001</v>
      </c>
      <c r="B847" s="417" t="n">
        <f aca="false">B846+pas</f>
        <v>36.3120000000006</v>
      </c>
      <c r="C847" s="401"/>
      <c r="D847" s="418" t="n">
        <f aca="false">IF(AND(L846&lt;L_rampe,Poussee&lt;Poids*SIN(M846)),0,(-W846+Poussee)/m*COS(M846)-U846/m*SIN(M846))</f>
        <v>-0.790816307694472</v>
      </c>
      <c r="E847" s="419" t="n">
        <f aca="false">IF(AND(L846&lt;L_rampe,Poussee&lt;Poids*SIN(M846)),0,(-W846+Poussee)/m*SIN(M846)+U846/m*COS(M846)-Poids/m)</f>
        <v>-1.9773673883507</v>
      </c>
      <c r="F847" s="417" t="n">
        <f aca="false">SQRT(acc_x^2+acc_z^2)</f>
        <v>2.12964133624148</v>
      </c>
      <c r="G847" s="418" t="n">
        <f aca="false">G846+acc_x*pas</f>
        <v>12.4675258944799</v>
      </c>
      <c r="H847" s="419" t="n">
        <f aca="false">H846+acc_z*pas</f>
        <v>-123.485472856753</v>
      </c>
      <c r="I847" s="417" t="n">
        <f aca="false">SQRT(vit_x^2+vit_z^2)</f>
        <v>124.113259600195</v>
      </c>
      <c r="J847" s="418" t="n">
        <f aca="false">J846+0.5*(vit_x+G846)*pas*(K846&gt;=0)</f>
        <v>913.614336176273</v>
      </c>
      <c r="K847" s="419" t="n">
        <f aca="false">K846+0.5*(vit_z+H846)*pas</f>
        <v>-10.1877428852946</v>
      </c>
      <c r="L847" s="417" t="n">
        <f aca="false">SQRT(pos_x^2+pos_z^2)</f>
        <v>913.67113633512</v>
      </c>
      <c r="M847" s="418" t="n">
        <f aca="false">IF(AND(L846&gt;L_rampe,G847&gt;0),ATAN2(G847,H847),$M$4)</f>
        <v>-1.47017380234086</v>
      </c>
      <c r="N847" s="417" t="n">
        <f aca="false">DEGREES(Beta)</f>
        <v>-84.234754024832</v>
      </c>
      <c r="O847" s="401"/>
      <c r="P847" s="420" t="n">
        <f aca="false">MATCH(t-pas/2-T_ini,CdP_t)</f>
        <v>23</v>
      </c>
      <c r="Q847" s="417" t="n">
        <f aca="false">(INDEX(CdP,2,i_P+1)-INDEX(CdP,2,i_P+0))/(INDEX(CdP,1,i_P+1)-INDEX(CdP,1,i_P+0))*(t-pas/2-T_ini-INDEX(CdP,1,i_P+0))+INDEX(CdP,2,i_P+0)</f>
        <v>0</v>
      </c>
      <c r="R847" s="418" t="n">
        <f aca="false">Poussee/(g*ISP)</f>
        <v>0</v>
      </c>
      <c r="S847" s="419" t="n">
        <f aca="false">S846-Débit*pas</f>
        <v>7.37799999999998</v>
      </c>
      <c r="T847" s="417" t="n">
        <f aca="false">m*g</f>
        <v>72.3781799999998</v>
      </c>
      <c r="U847" s="421" t="n">
        <f aca="false">IF(pos_xz&lt;L_rampe,Poids*COS(Beta),0)</f>
        <v>0</v>
      </c>
      <c r="V847" s="418" t="n">
        <f aca="false">Rho_moyen*(20000-Alt_rampe-pos_z)/(20000+Alt_rampe+pos_z)</f>
        <v>1.22624863454183</v>
      </c>
      <c r="W847" s="417" t="n">
        <f aca="false">1/2*Rho*Sref*Cx*vit_xz^2</f>
        <v>58.0832103287198</v>
      </c>
      <c r="X847" s="401"/>
      <c r="Y847" s="422" t="str">
        <f aca="false">IF(AND(pos_z&lt;=0,K846&gt;0),"Impact balistique","") &amp; IF(AND(H848&lt;0,vit_z&gt;=0),"Apogée","") &amp; IF(AND(Poussee=0,Q846&gt;0),"Fin de propulsion","") &amp; IF(AND(L848&gt;L_rampe,pos_xz&lt;=L_rampe),"Sortie de rampe","")</f>
        <v/>
      </c>
      <c r="Z847" s="423" t="str">
        <f aca="false">IF(ABS(t-T_para)&lt;pas/2,"Para","")</f>
        <v/>
      </c>
      <c r="AA847" s="424" t="str">
        <f aca="false">IF(ABS(t-T_satellite)&lt;pas/2,"Satellite","")</f>
        <v/>
      </c>
      <c r="AB847" s="412"/>
      <c r="AC847" s="420" t="e">
        <f aca="false">IF(ABS(t-ROUND(t,0))&lt;0.001,t,NA())</f>
        <v>#N/A</v>
      </c>
      <c r="AD847" s="425" t="e">
        <f aca="false">IF(ABS(t-ROUND(t,0))&lt;0.001,pos_x,NA())</f>
        <v>#N/A</v>
      </c>
      <c r="AE847" s="426" t="e">
        <f aca="false">IF(t&lt;T_para, pos_z, NA())</f>
        <v>#N/A</v>
      </c>
      <c r="AF847" s="412"/>
      <c r="AG847" s="418" t="n">
        <f aca="false">IF(AND(L846&lt;L_rampe,Poussee&lt;Poids*SIN(M846)),0,(-W846+Poussee)/m-Poids*SIN(M846)/m)</f>
        <v>1.88792501149184</v>
      </c>
      <c r="AH847" s="417" t="n">
        <f aca="false">IF(AND(L846&lt;L_rampe,Poussee&lt;Poids*SIN(M846)), g*SIN(M846), (-W846+Poussee)/m)</f>
        <v>-7.87245349694665</v>
      </c>
    </row>
    <row r="848" customFormat="false" ht="12" hidden="false" customHeight="false" outlineLevel="0" collapsed="false">
      <c r="A848" s="416" t="n">
        <f aca="false">IF(B847+0.01&lt;=T_ini+ROUNDUP(Temps_fin_propu,0), 0.01, IF(K847&gt;0, 0.1, 0.0001))</f>
        <v>0.0001</v>
      </c>
      <c r="B848" s="417" t="n">
        <f aca="false">B847+pas</f>
        <v>36.3121000000006</v>
      </c>
      <c r="C848" s="401"/>
      <c r="D848" s="418" t="n">
        <f aca="false">IF(AND(L847&lt;L_rampe,Poussee&lt;Poids*SIN(M847)),0,(-W847+Poussee)/m*COS(M847)-U847/m*SIN(M847))</f>
        <v>-0.790813471039326</v>
      </c>
      <c r="E848" s="419" t="n">
        <f aca="false">IF(AND(L847&lt;L_rampe,Poussee&lt;Poids*SIN(M847)),0,(-W847+Poussee)/m*SIN(M847)+U847/m*COS(M847)-Poids/m)</f>
        <v>-1.97733325927814</v>
      </c>
      <c r="F848" s="417" t="n">
        <f aca="false">SQRT(acc_x^2+acc_z^2)</f>
        <v>2.12960859413762</v>
      </c>
      <c r="G848" s="418" t="n">
        <f aca="false">G847+acc_x*pas</f>
        <v>12.4674468131328</v>
      </c>
      <c r="H848" s="419" t="n">
        <f aca="false">H847+acc_z*pas</f>
        <v>-123.485670590079</v>
      </c>
      <c r="I848" s="417" t="n">
        <f aca="false">SQRT(vit_x^2+vit_z^2)</f>
        <v>124.113448389446</v>
      </c>
      <c r="J848" s="418" t="n">
        <f aca="false">J847+0.5*(vit_x+G847)*pas*(K847&gt;=0)</f>
        <v>913.614336176273</v>
      </c>
      <c r="K848" s="419" t="n">
        <f aca="false">K847+0.5*(vit_z+H847)*pas</f>
        <v>-10.200091442467</v>
      </c>
      <c r="L848" s="417" t="n">
        <f aca="false">SQRT(pos_x^2+pos_z^2)</f>
        <v>913.671274109155</v>
      </c>
      <c r="M848" s="418" t="n">
        <f aca="false">IF(AND(L847&gt;L_rampe,G848&gt;0),ATAN2(G848,H848),$M$4)</f>
        <v>-1.4701745963258</v>
      </c>
      <c r="N848" s="417" t="n">
        <f aca="false">DEGREES(Beta)</f>
        <v>-84.2347995168178</v>
      </c>
      <c r="O848" s="401"/>
      <c r="P848" s="420" t="n">
        <f aca="false">MATCH(t-pas/2-T_ini,CdP_t)</f>
        <v>23</v>
      </c>
      <c r="Q848" s="417" t="n">
        <f aca="false">(INDEX(CdP,2,i_P+1)-INDEX(CdP,2,i_P+0))/(INDEX(CdP,1,i_P+1)-INDEX(CdP,1,i_P+0))*(t-pas/2-T_ini-INDEX(CdP,1,i_P+0))+INDEX(CdP,2,i_P+0)</f>
        <v>0</v>
      </c>
      <c r="R848" s="418" t="n">
        <f aca="false">Poussee/(g*ISP)</f>
        <v>0</v>
      </c>
      <c r="S848" s="419" t="n">
        <f aca="false">S847-Débit*pas</f>
        <v>7.37799999999998</v>
      </c>
      <c r="T848" s="417" t="n">
        <f aca="false">m*g</f>
        <v>72.3781799999998</v>
      </c>
      <c r="U848" s="421" t="n">
        <f aca="false">IF(pos_xz&lt;L_rampe,Poids*COS(Beta),0)</f>
        <v>0</v>
      </c>
      <c r="V848" s="418" t="n">
        <f aca="false">Rho_moyen*(20000-Alt_rampe-pos_z)/(20000+Alt_rampe+pos_z)</f>
        <v>1.2262501487833</v>
      </c>
      <c r="W848" s="417" t="n">
        <f aca="false">1/2*Rho*Sref*Cx*vit_xz^2</f>
        <v>58.0834587547977</v>
      </c>
      <c r="X848" s="401"/>
      <c r="Y848" s="422" t="str">
        <f aca="false">IF(AND(pos_z&lt;=0,K847&gt;0),"Impact balistique","") &amp; IF(AND(H849&lt;0,vit_z&gt;=0),"Apogée","") &amp; IF(AND(Poussee=0,Q847&gt;0),"Fin de propulsion","") &amp; IF(AND(L849&gt;L_rampe,pos_xz&lt;=L_rampe),"Sortie de rampe","")</f>
        <v/>
      </c>
      <c r="Z848" s="423" t="str">
        <f aca="false">IF(ABS(t-T_para)&lt;pas/2,"Para","")</f>
        <v/>
      </c>
      <c r="AA848" s="424" t="str">
        <f aca="false">IF(ABS(t-T_satellite)&lt;pas/2,"Satellite","")</f>
        <v/>
      </c>
      <c r="AB848" s="412"/>
      <c r="AC848" s="420" t="e">
        <f aca="false">IF(ABS(t-ROUND(t,0))&lt;0.001,t,NA())</f>
        <v>#N/A</v>
      </c>
      <c r="AD848" s="425" t="e">
        <f aca="false">IF(ABS(t-ROUND(t,0))&lt;0.001,pos_x,NA())</f>
        <v>#N/A</v>
      </c>
      <c r="AE848" s="426" t="e">
        <f aca="false">IF(t&lt;T_para, pos_z, NA())</f>
        <v>#N/A</v>
      </c>
      <c r="AF848" s="412"/>
      <c r="AG848" s="418" t="n">
        <f aca="false">IF(AND(L847&lt;L_rampe,Poussee&lt;Poids*SIN(M847)),0,(-W847+Poussee)/m-Poids*SIN(M847)/m)</f>
        <v>1.8878921224392</v>
      </c>
      <c r="AH848" s="417" t="n">
        <f aca="false">IF(AND(L847&lt;L_rampe,Poussee&lt;Poids*SIN(M847)), g*SIN(M847), (-W847+Poussee)/m)</f>
        <v>-7.87248716843588</v>
      </c>
    </row>
    <row r="849" customFormat="false" ht="12" hidden="false" customHeight="false" outlineLevel="0" collapsed="false">
      <c r="A849" s="416" t="n">
        <f aca="false">IF(B848+0.01&lt;=T_ini+ROUNDUP(Temps_fin_propu,0), 0.01, IF(K848&gt;0, 0.1, 0.0001))</f>
        <v>0.0001</v>
      </c>
      <c r="B849" s="417" t="n">
        <f aca="false">B848+pas</f>
        <v>36.3122000000006</v>
      </c>
      <c r="C849" s="401"/>
      <c r="D849" s="418" t="n">
        <f aca="false">IF(AND(L848&lt;L_rampe,Poussee&lt;Poids*SIN(M848)),0,(-W848+Poussee)/m*COS(M848)-U848/m*SIN(M848))</f>
        <v>-0.79081063435931</v>
      </c>
      <c r="E849" s="419" t="n">
        <f aca="false">IF(AND(L848&lt;L_rampe,Poussee&lt;Poids*SIN(M848)),0,(-W848+Poussee)/m*SIN(M848)+U848/m*COS(M848)-Poids/m)</f>
        <v>-1.97729913050362</v>
      </c>
      <c r="F849" s="417" t="n">
        <f aca="false">SQRT(acc_x^2+acc_z^2)</f>
        <v>2.12957585234858</v>
      </c>
      <c r="G849" s="418" t="n">
        <f aca="false">G848+acc_x*pas</f>
        <v>12.4673677320693</v>
      </c>
      <c r="H849" s="419" t="n">
        <f aca="false">H848+acc_z*pas</f>
        <v>-123.485868319992</v>
      </c>
      <c r="I849" s="417" t="n">
        <f aca="false">SQRT(vit_x^2+vit_z^2)</f>
        <v>124.113637175409</v>
      </c>
      <c r="J849" s="418" t="n">
        <f aca="false">J848+0.5*(vit_x+G848)*pas*(K848&gt;=0)</f>
        <v>913.614336176273</v>
      </c>
      <c r="K849" s="419" t="n">
        <f aca="false">K848+0.5*(vit_z+H848)*pas</f>
        <v>-10.2124400194125</v>
      </c>
      <c r="L849" s="417" t="n">
        <f aca="false">SQRT(pos_x^2+pos_z^2)</f>
        <v>913.671412050285</v>
      </c>
      <c r="M849" s="418" t="n">
        <f aca="false">IF(AND(L848&gt;L_rampe,G849&gt;0),ATAN2(G849,H849),$M$4)</f>
        <v>-1.47017539030328</v>
      </c>
      <c r="N849" s="417" t="n">
        <f aca="false">DEGREES(Beta)</f>
        <v>-84.2348450083767</v>
      </c>
      <c r="O849" s="401"/>
      <c r="P849" s="420" t="n">
        <f aca="false">MATCH(t-pas/2-T_ini,CdP_t)</f>
        <v>23</v>
      </c>
      <c r="Q849" s="417" t="n">
        <f aca="false">(INDEX(CdP,2,i_P+1)-INDEX(CdP,2,i_P+0))/(INDEX(CdP,1,i_P+1)-INDEX(CdP,1,i_P+0))*(t-pas/2-T_ini-INDEX(CdP,1,i_P+0))+INDEX(CdP,2,i_P+0)</f>
        <v>0</v>
      </c>
      <c r="R849" s="418" t="n">
        <f aca="false">Poussee/(g*ISP)</f>
        <v>0</v>
      </c>
      <c r="S849" s="419" t="n">
        <f aca="false">S848-Débit*pas</f>
        <v>7.37799999999998</v>
      </c>
      <c r="T849" s="417" t="n">
        <f aca="false">m*g</f>
        <v>72.3781799999998</v>
      </c>
      <c r="U849" s="421" t="n">
        <f aca="false">IF(pos_xz&lt;L_rampe,Poids*COS(Beta),0)</f>
        <v>0</v>
      </c>
      <c r="V849" s="418" t="n">
        <f aca="false">Rho_moyen*(20000-Alt_rampe-pos_z)/(20000+Alt_rampe+pos_z)</f>
        <v>1.22625166302906</v>
      </c>
      <c r="W849" s="417" t="n">
        <f aca="false">1/2*Rho*Sref*Cx*vit_xz^2</f>
        <v>58.0837071787059</v>
      </c>
      <c r="X849" s="401"/>
      <c r="Y849" s="422" t="str">
        <f aca="false">IF(AND(pos_z&lt;=0,K848&gt;0),"Impact balistique","") &amp; IF(AND(H850&lt;0,vit_z&gt;=0),"Apogée","") &amp; IF(AND(Poussee=0,Q848&gt;0),"Fin de propulsion","") &amp; IF(AND(L850&gt;L_rampe,pos_xz&lt;=L_rampe),"Sortie de rampe","")</f>
        <v/>
      </c>
      <c r="Z849" s="423" t="str">
        <f aca="false">IF(ABS(t-T_para)&lt;pas/2,"Para","")</f>
        <v/>
      </c>
      <c r="AA849" s="424" t="str">
        <f aca="false">IF(ABS(t-T_satellite)&lt;pas/2,"Satellite","")</f>
        <v/>
      </c>
      <c r="AB849" s="412"/>
      <c r="AC849" s="420" t="e">
        <f aca="false">IF(ABS(t-ROUND(t,0))&lt;0.001,t,NA())</f>
        <v>#N/A</v>
      </c>
      <c r="AD849" s="425" t="e">
        <f aca="false">IF(ABS(t-ROUND(t,0))&lt;0.001,pos_x,NA())</f>
        <v>#N/A</v>
      </c>
      <c r="AE849" s="426" t="e">
        <f aca="false">IF(t&lt;T_para, pos_z, NA())</f>
        <v>#N/A</v>
      </c>
      <c r="AF849" s="412"/>
      <c r="AG849" s="418" t="n">
        <f aca="false">IF(AND(L848&lt;L_rampe,Poussee&lt;Poids*SIN(M848)),0,(-W848+Poussee)/m-Poids*SIN(M848)/m)</f>
        <v>1.88785923366713</v>
      </c>
      <c r="AH849" s="417" t="n">
        <f aca="false">IF(AND(L848&lt;L_rampe,Poussee&lt;Poids*SIN(M848)), g*SIN(M848), (-W848+Poussee)/m)</f>
        <v>-7.87252083963104</v>
      </c>
    </row>
    <row r="850" customFormat="false" ht="12" hidden="false" customHeight="false" outlineLevel="0" collapsed="false">
      <c r="A850" s="416" t="n">
        <f aca="false">IF(B849+0.01&lt;=T_ini+ROUNDUP(Temps_fin_propu,0), 0.01, IF(K849&gt;0, 0.1, 0.0001))</f>
        <v>0.0001</v>
      </c>
      <c r="B850" s="417" t="n">
        <f aca="false">B849+pas</f>
        <v>36.3123000000006</v>
      </c>
      <c r="C850" s="401"/>
      <c r="D850" s="418" t="n">
        <f aca="false">IF(AND(L849&lt;L_rampe,Poussee&lt;Poids*SIN(M849)),0,(-W849+Poussee)/m*COS(M849)-U849/m*SIN(M849))</f>
        <v>-0.790807797654425</v>
      </c>
      <c r="E850" s="419" t="n">
        <f aca="false">IF(AND(L849&lt;L_rampe,Poussee&lt;Poids*SIN(M849)),0,(-W849+Poussee)/m*SIN(M849)+U849/m*COS(M849)-Poids/m)</f>
        <v>-1.97726500202715</v>
      </c>
      <c r="F850" s="417" t="n">
        <f aca="false">SQRT(acc_x^2+acc_z^2)</f>
        <v>2.12954311087437</v>
      </c>
      <c r="G850" s="418" t="n">
        <f aca="false">G849+acc_x*pas</f>
        <v>12.4672886512896</v>
      </c>
      <c r="H850" s="419" t="n">
        <f aca="false">H849+acc_z*pas</f>
        <v>-123.486066046492</v>
      </c>
      <c r="I850" s="417" t="n">
        <f aca="false">SQRT(vit_x^2+vit_z^2)</f>
        <v>124.113825958082</v>
      </c>
      <c r="J850" s="418" t="n">
        <f aca="false">J849+0.5*(vit_x+G849)*pas*(K849&gt;=0)</f>
        <v>913.614336176273</v>
      </c>
      <c r="K850" s="419" t="n">
        <f aca="false">K849+0.5*(vit_z+H849)*pas</f>
        <v>-10.2247886161308</v>
      </c>
      <c r="L850" s="417" t="n">
        <f aca="false">SQRT(pos_x^2+pos_z^2)</f>
        <v>913.671550158511</v>
      </c>
      <c r="M850" s="418" t="n">
        <f aca="false">IF(AND(L849&gt;L_rampe,G850&gt;0),ATAN2(G850,H850),$M$4)</f>
        <v>-1.47017618427332</v>
      </c>
      <c r="N850" s="417" t="n">
        <f aca="false">DEGREES(Beta)</f>
        <v>-84.2348904995085</v>
      </c>
      <c r="O850" s="401"/>
      <c r="P850" s="420" t="n">
        <f aca="false">MATCH(t-pas/2-T_ini,CdP_t)</f>
        <v>23</v>
      </c>
      <c r="Q850" s="417" t="n">
        <f aca="false">(INDEX(CdP,2,i_P+1)-INDEX(CdP,2,i_P+0))/(INDEX(CdP,1,i_P+1)-INDEX(CdP,1,i_P+0))*(t-pas/2-T_ini-INDEX(CdP,1,i_P+0))+INDEX(CdP,2,i_P+0)</f>
        <v>0</v>
      </c>
      <c r="R850" s="418" t="n">
        <f aca="false">Poussee/(g*ISP)</f>
        <v>0</v>
      </c>
      <c r="S850" s="419" t="n">
        <f aca="false">S849-Débit*pas</f>
        <v>7.37799999999998</v>
      </c>
      <c r="T850" s="417" t="n">
        <f aca="false">m*g</f>
        <v>72.3781799999998</v>
      </c>
      <c r="U850" s="421" t="n">
        <f aca="false">IF(pos_xz&lt;L_rampe,Poids*COS(Beta),0)</f>
        <v>0</v>
      </c>
      <c r="V850" s="418" t="n">
        <f aca="false">Rho_moyen*(20000-Alt_rampe-pos_z)/(20000+Alt_rampe+pos_z)</f>
        <v>1.22625317727912</v>
      </c>
      <c r="W850" s="417" t="n">
        <f aca="false">1/2*Rho*Sref*Cx*vit_xz^2</f>
        <v>58.0839556004445</v>
      </c>
      <c r="X850" s="401"/>
      <c r="Y850" s="422" t="str">
        <f aca="false">IF(AND(pos_z&lt;=0,K849&gt;0),"Impact balistique","") &amp; IF(AND(H851&lt;0,vit_z&gt;=0),"Apogée","") &amp; IF(AND(Poussee=0,Q849&gt;0),"Fin de propulsion","") &amp; IF(AND(L851&gt;L_rampe,pos_xz&lt;=L_rampe),"Sortie de rampe","")</f>
        <v/>
      </c>
      <c r="Z850" s="423" t="str">
        <f aca="false">IF(ABS(t-T_para)&lt;pas/2,"Para","")</f>
        <v/>
      </c>
      <c r="AA850" s="424" t="str">
        <f aca="false">IF(ABS(t-T_satellite)&lt;pas/2,"Satellite","")</f>
        <v/>
      </c>
      <c r="AB850" s="412"/>
      <c r="AC850" s="420" t="e">
        <f aca="false">IF(ABS(t-ROUND(t,0))&lt;0.001,t,NA())</f>
        <v>#N/A</v>
      </c>
      <c r="AD850" s="425" t="e">
        <f aca="false">IF(ABS(t-ROUND(t,0))&lt;0.001,pos_x,NA())</f>
        <v>#N/A</v>
      </c>
      <c r="AE850" s="426" t="e">
        <f aca="false">IF(t&lt;T_para, pos_z, NA())</f>
        <v>#N/A</v>
      </c>
      <c r="AF850" s="412"/>
      <c r="AG850" s="418" t="n">
        <f aca="false">IF(AND(L849&lt;L_rampe,Poussee&lt;Poids*SIN(M849)),0,(-W849+Poussee)/m-Poids*SIN(M849)/m)</f>
        <v>1.88782634517564</v>
      </c>
      <c r="AH850" s="417" t="n">
        <f aca="false">IF(AND(L849&lt;L_rampe,Poussee&lt;Poids*SIN(M849)), g*SIN(M849), (-W849+Poussee)/m)</f>
        <v>-7.87255451053213</v>
      </c>
    </row>
    <row r="851" customFormat="false" ht="12" hidden="false" customHeight="false" outlineLevel="0" collapsed="false">
      <c r="A851" s="416" t="n">
        <f aca="false">IF(B850+0.01&lt;=T_ini+ROUNDUP(Temps_fin_propu,0), 0.01, IF(K850&gt;0, 0.1, 0.0001))</f>
        <v>0.0001</v>
      </c>
      <c r="B851" s="417" t="n">
        <f aca="false">B850+pas</f>
        <v>36.3124000000006</v>
      </c>
      <c r="C851" s="401"/>
      <c r="D851" s="418" t="n">
        <f aca="false">IF(AND(L850&lt;L_rampe,Poussee&lt;Poids*SIN(M850)),0,(-W850+Poussee)/m*COS(M850)-U850/m*SIN(M850))</f>
        <v>-0.79080496092467</v>
      </c>
      <c r="E851" s="419" t="n">
        <f aca="false">IF(AND(L850&lt;L_rampe,Poussee&lt;Poids*SIN(M850)),0,(-W850+Poussee)/m*SIN(M850)+U850/m*COS(M850)-Poids/m)</f>
        <v>-1.97723087384872</v>
      </c>
      <c r="F851" s="417" t="n">
        <f aca="false">SQRT(acc_x^2+acc_z^2)</f>
        <v>2.12951036971498</v>
      </c>
      <c r="G851" s="418" t="n">
        <f aca="false">G850+acc_x*pas</f>
        <v>12.4672095707935</v>
      </c>
      <c r="H851" s="419" t="n">
        <f aca="false">H850+acc_z*pas</f>
        <v>-123.486263769579</v>
      </c>
      <c r="I851" s="417" t="n">
        <f aca="false">SQRT(vit_x^2+vit_z^2)</f>
        <v>124.114014737467</v>
      </c>
      <c r="J851" s="418" t="n">
        <f aca="false">J850+0.5*(vit_x+G850)*pas*(K850&gt;=0)</f>
        <v>913.614336176273</v>
      </c>
      <c r="K851" s="419" t="n">
        <f aca="false">K850+0.5*(vit_z+H850)*pas</f>
        <v>-10.2371372326216</v>
      </c>
      <c r="L851" s="417" t="n">
        <f aca="false">SQRT(pos_x^2+pos_z^2)</f>
        <v>913.671688433833</v>
      </c>
      <c r="M851" s="418" t="n">
        <f aca="false">IF(AND(L850&gt;L_rampe,G851&gt;0),ATAN2(G851,H851),$M$4)</f>
        <v>-1.4701769782359</v>
      </c>
      <c r="N851" s="417" t="n">
        <f aca="false">DEGREES(Beta)</f>
        <v>-84.2349359902135</v>
      </c>
      <c r="O851" s="401"/>
      <c r="P851" s="420" t="n">
        <f aca="false">MATCH(t-pas/2-T_ini,CdP_t)</f>
        <v>23</v>
      </c>
      <c r="Q851" s="417" t="n">
        <f aca="false">(INDEX(CdP,2,i_P+1)-INDEX(CdP,2,i_P+0))/(INDEX(CdP,1,i_P+1)-INDEX(CdP,1,i_P+0))*(t-pas/2-T_ini-INDEX(CdP,1,i_P+0))+INDEX(CdP,2,i_P+0)</f>
        <v>0</v>
      </c>
      <c r="R851" s="418" t="n">
        <f aca="false">Poussee/(g*ISP)</f>
        <v>0</v>
      </c>
      <c r="S851" s="419" t="n">
        <f aca="false">S850-Débit*pas</f>
        <v>7.37799999999998</v>
      </c>
      <c r="T851" s="417" t="n">
        <f aca="false">m*g</f>
        <v>72.3781799999998</v>
      </c>
      <c r="U851" s="421" t="n">
        <f aca="false">IF(pos_xz&lt;L_rampe,Poids*COS(Beta),0)</f>
        <v>0</v>
      </c>
      <c r="V851" s="418" t="n">
        <f aca="false">Rho_moyen*(20000-Alt_rampe-pos_z)/(20000+Alt_rampe+pos_z)</f>
        <v>1.22625469153347</v>
      </c>
      <c r="W851" s="417" t="n">
        <f aca="false">1/2*Rho*Sref*Cx*vit_xz^2</f>
        <v>58.0842040200134</v>
      </c>
      <c r="X851" s="401"/>
      <c r="Y851" s="422" t="str">
        <f aca="false">IF(AND(pos_z&lt;=0,K850&gt;0),"Impact balistique","") &amp; IF(AND(H852&lt;0,vit_z&gt;=0),"Apogée","") &amp; IF(AND(Poussee=0,Q850&gt;0),"Fin de propulsion","") &amp; IF(AND(L852&gt;L_rampe,pos_xz&lt;=L_rampe),"Sortie de rampe","")</f>
        <v/>
      </c>
      <c r="Z851" s="423" t="str">
        <f aca="false">IF(ABS(t-T_para)&lt;pas/2,"Para","")</f>
        <v/>
      </c>
      <c r="AA851" s="424" t="str">
        <f aca="false">IF(ABS(t-T_satellite)&lt;pas/2,"Satellite","")</f>
        <v/>
      </c>
      <c r="AB851" s="412"/>
      <c r="AC851" s="420" t="e">
        <f aca="false">IF(ABS(t-ROUND(t,0))&lt;0.001,t,NA())</f>
        <v>#N/A</v>
      </c>
      <c r="AD851" s="425" t="e">
        <f aca="false">IF(ABS(t-ROUND(t,0))&lt;0.001,pos_x,NA())</f>
        <v>#N/A</v>
      </c>
      <c r="AE851" s="426" t="e">
        <f aca="false">IF(t&lt;T_para, pos_z, NA())</f>
        <v>#N/A</v>
      </c>
      <c r="AF851" s="412"/>
      <c r="AG851" s="418" t="n">
        <f aca="false">IF(AND(L850&lt;L_rampe,Poussee&lt;Poids*SIN(M850)),0,(-W850+Poussee)/m-Poids*SIN(M850)/m)</f>
        <v>1.88779345696473</v>
      </c>
      <c r="AH851" s="417" t="n">
        <f aca="false">IF(AND(L850&lt;L_rampe,Poussee&lt;Poids*SIN(M850)), g*SIN(M850), (-W850+Poussee)/m)</f>
        <v>-7.87258818113914</v>
      </c>
    </row>
    <row r="852" customFormat="false" ht="12" hidden="false" customHeight="false" outlineLevel="0" collapsed="false">
      <c r="A852" s="416" t="n">
        <f aca="false">IF(B851+0.01&lt;=T_ini+ROUNDUP(Temps_fin_propu,0), 0.01, IF(K851&gt;0, 0.1, 0.0001))</f>
        <v>0.0001</v>
      </c>
      <c r="B852" s="417" t="n">
        <f aca="false">B851+pas</f>
        <v>36.3125000000006</v>
      </c>
      <c r="C852" s="401"/>
      <c r="D852" s="418" t="n">
        <f aca="false">IF(AND(L851&lt;L_rampe,Poussee&lt;Poids*SIN(M851)),0,(-W851+Poussee)/m*COS(M851)-U851/m*SIN(M851))</f>
        <v>-0.790802124170047</v>
      </c>
      <c r="E852" s="419" t="n">
        <f aca="false">IF(AND(L851&lt;L_rampe,Poussee&lt;Poids*SIN(M851)),0,(-W851+Poussee)/m*SIN(M851)+U851/m*COS(M851)-Poids/m)</f>
        <v>-1.97719674596834</v>
      </c>
      <c r="F852" s="417" t="n">
        <f aca="false">SQRT(acc_x^2+acc_z^2)</f>
        <v>2.12947762887043</v>
      </c>
      <c r="G852" s="418" t="n">
        <f aca="false">G851+acc_x*pas</f>
        <v>12.4671304905811</v>
      </c>
      <c r="H852" s="419" t="n">
        <f aca="false">H851+acc_z*pas</f>
        <v>-123.486461489254</v>
      </c>
      <c r="I852" s="417" t="n">
        <f aca="false">SQRT(vit_x^2+vit_z^2)</f>
        <v>124.114203513563</v>
      </c>
      <c r="J852" s="418" t="n">
        <f aca="false">J851+0.5*(vit_x+G851)*pas*(K851&gt;=0)</f>
        <v>913.614336176273</v>
      </c>
      <c r="K852" s="419" t="n">
        <f aca="false">K851+0.5*(vit_z+H851)*pas</f>
        <v>-10.2494858688846</v>
      </c>
      <c r="L852" s="417" t="n">
        <f aca="false">SQRT(pos_x^2+pos_z^2)</f>
        <v>913.671826876253</v>
      </c>
      <c r="M852" s="418" t="n">
        <f aca="false">IF(AND(L851&gt;L_rampe,G852&gt;0),ATAN2(G852,H852),$M$4)</f>
        <v>-1.47017777219102</v>
      </c>
      <c r="N852" s="417" t="n">
        <f aca="false">DEGREES(Beta)</f>
        <v>-84.2349814804915</v>
      </c>
      <c r="O852" s="401"/>
      <c r="P852" s="420" t="n">
        <f aca="false">MATCH(t-pas/2-T_ini,CdP_t)</f>
        <v>23</v>
      </c>
      <c r="Q852" s="417" t="n">
        <f aca="false">(INDEX(CdP,2,i_P+1)-INDEX(CdP,2,i_P+0))/(INDEX(CdP,1,i_P+1)-INDEX(CdP,1,i_P+0))*(t-pas/2-T_ini-INDEX(CdP,1,i_P+0))+INDEX(CdP,2,i_P+0)</f>
        <v>0</v>
      </c>
      <c r="R852" s="418" t="n">
        <f aca="false">Poussee/(g*ISP)</f>
        <v>0</v>
      </c>
      <c r="S852" s="419" t="n">
        <f aca="false">S851-Débit*pas</f>
        <v>7.37799999999998</v>
      </c>
      <c r="T852" s="417" t="n">
        <f aca="false">m*g</f>
        <v>72.3781799999998</v>
      </c>
      <c r="U852" s="421" t="n">
        <f aca="false">IF(pos_xz&lt;L_rampe,Poids*COS(Beta),0)</f>
        <v>0</v>
      </c>
      <c r="V852" s="418" t="n">
        <f aca="false">Rho_moyen*(20000-Alt_rampe-pos_z)/(20000+Alt_rampe+pos_z)</f>
        <v>1.22625620579211</v>
      </c>
      <c r="W852" s="417" t="n">
        <f aca="false">1/2*Rho*Sref*Cx*vit_xz^2</f>
        <v>58.0844524374126</v>
      </c>
      <c r="X852" s="401"/>
      <c r="Y852" s="422" t="str">
        <f aca="false">IF(AND(pos_z&lt;=0,K851&gt;0),"Impact balistique","") &amp; IF(AND(H853&lt;0,vit_z&gt;=0),"Apogée","") &amp; IF(AND(Poussee=0,Q851&gt;0),"Fin de propulsion","") &amp; IF(AND(L853&gt;L_rampe,pos_xz&lt;=L_rampe),"Sortie de rampe","")</f>
        <v/>
      </c>
      <c r="Z852" s="423" t="str">
        <f aca="false">IF(ABS(t-T_para)&lt;pas/2,"Para","")</f>
        <v/>
      </c>
      <c r="AA852" s="424" t="str">
        <f aca="false">IF(ABS(t-T_satellite)&lt;pas/2,"Satellite","")</f>
        <v/>
      </c>
      <c r="AB852" s="412"/>
      <c r="AC852" s="420" t="e">
        <f aca="false">IF(ABS(t-ROUND(t,0))&lt;0.001,t,NA())</f>
        <v>#N/A</v>
      </c>
      <c r="AD852" s="425" t="e">
        <f aca="false">IF(ABS(t-ROUND(t,0))&lt;0.001,pos_x,NA())</f>
        <v>#N/A</v>
      </c>
      <c r="AE852" s="426" t="e">
        <f aca="false">IF(t&lt;T_para, pos_z, NA())</f>
        <v>#N/A</v>
      </c>
      <c r="AF852" s="412"/>
      <c r="AG852" s="418" t="n">
        <f aca="false">IF(AND(L851&lt;L_rampe,Poussee&lt;Poids*SIN(M851)),0,(-W851+Poussee)/m-Poids*SIN(M851)/m)</f>
        <v>1.88776056903439</v>
      </c>
      <c r="AH852" s="417" t="n">
        <f aca="false">IF(AND(L851&lt;L_rampe,Poussee&lt;Poids*SIN(M851)), g*SIN(M851), (-W851+Poussee)/m)</f>
        <v>-7.87262185145209</v>
      </c>
    </row>
    <row r="853" customFormat="false" ht="12" hidden="false" customHeight="false" outlineLevel="0" collapsed="false">
      <c r="A853" s="416" t="n">
        <f aca="false">IF(B852+0.01&lt;=T_ini+ROUNDUP(Temps_fin_propu,0), 0.01, IF(K852&gt;0, 0.1, 0.0001))</f>
        <v>0.0001</v>
      </c>
      <c r="B853" s="417" t="n">
        <f aca="false">B852+pas</f>
        <v>36.3126000000006</v>
      </c>
      <c r="C853" s="401"/>
      <c r="D853" s="418" t="n">
        <f aca="false">IF(AND(L852&lt;L_rampe,Poussee&lt;Poids*SIN(M852)),0,(-W852+Poussee)/m*COS(M852)-U852/m*SIN(M852))</f>
        <v>-0.790799287390554</v>
      </c>
      <c r="E853" s="419" t="n">
        <f aca="false">IF(AND(L852&lt;L_rampe,Poussee&lt;Poids*SIN(M852)),0,(-W852+Poussee)/m*SIN(M852)+U852/m*COS(M852)-Poids/m)</f>
        <v>-1.97716261838599</v>
      </c>
      <c r="F853" s="417" t="n">
        <f aca="false">SQRT(acc_x^2+acc_z^2)</f>
        <v>2.12944488834071</v>
      </c>
      <c r="G853" s="418" t="n">
        <f aca="false">G852+acc_x*pas</f>
        <v>12.4670514106523</v>
      </c>
      <c r="H853" s="419" t="n">
        <f aca="false">H852+acc_z*pas</f>
        <v>-123.486659205516</v>
      </c>
      <c r="I853" s="417" t="n">
        <f aca="false">SQRT(vit_x^2+vit_z^2)</f>
        <v>124.11439228637</v>
      </c>
      <c r="J853" s="418" t="n">
        <f aca="false">J852+0.5*(vit_x+G852)*pas*(K852&gt;=0)</f>
        <v>913.614336176273</v>
      </c>
      <c r="K853" s="419" t="n">
        <f aca="false">K852+0.5*(vit_z+H852)*pas</f>
        <v>-10.2618345249193</v>
      </c>
      <c r="L853" s="417" t="n">
        <f aca="false">SQRT(pos_x^2+pos_z^2)</f>
        <v>913.671965485769</v>
      </c>
      <c r="M853" s="418" t="n">
        <f aca="false">IF(AND(L852&gt;L_rampe,G853&gt;0),ATAN2(G853,H853),$M$4)</f>
        <v>-1.4701785661387</v>
      </c>
      <c r="N853" s="417" t="n">
        <f aca="false">DEGREES(Beta)</f>
        <v>-84.2350269703426</v>
      </c>
      <c r="O853" s="401"/>
      <c r="P853" s="420" t="n">
        <f aca="false">MATCH(t-pas/2-T_ini,CdP_t)</f>
        <v>23</v>
      </c>
      <c r="Q853" s="417" t="n">
        <f aca="false">(INDEX(CdP,2,i_P+1)-INDEX(CdP,2,i_P+0))/(INDEX(CdP,1,i_P+1)-INDEX(CdP,1,i_P+0))*(t-pas/2-T_ini-INDEX(CdP,1,i_P+0))+INDEX(CdP,2,i_P+0)</f>
        <v>0</v>
      </c>
      <c r="R853" s="418" t="n">
        <f aca="false">Poussee/(g*ISP)</f>
        <v>0</v>
      </c>
      <c r="S853" s="419" t="n">
        <f aca="false">S852-Débit*pas</f>
        <v>7.37799999999998</v>
      </c>
      <c r="T853" s="417" t="n">
        <f aca="false">m*g</f>
        <v>72.3781799999998</v>
      </c>
      <c r="U853" s="421" t="n">
        <f aca="false">IF(pos_xz&lt;L_rampe,Poids*COS(Beta),0)</f>
        <v>0</v>
      </c>
      <c r="V853" s="418" t="n">
        <f aca="false">Rho_moyen*(20000-Alt_rampe-pos_z)/(20000+Alt_rampe+pos_z)</f>
        <v>1.22625772005506</v>
      </c>
      <c r="W853" s="417" t="n">
        <f aca="false">1/2*Rho*Sref*Cx*vit_xz^2</f>
        <v>58.0847008526422</v>
      </c>
      <c r="X853" s="401"/>
      <c r="Y853" s="422" t="str">
        <f aca="false">IF(AND(pos_z&lt;=0,K852&gt;0),"Impact balistique","") &amp; IF(AND(H854&lt;0,vit_z&gt;=0),"Apogée","") &amp; IF(AND(Poussee=0,Q852&gt;0),"Fin de propulsion","") &amp; IF(AND(L854&gt;L_rampe,pos_xz&lt;=L_rampe),"Sortie de rampe","")</f>
        <v/>
      </c>
      <c r="Z853" s="423" t="str">
        <f aca="false">IF(ABS(t-T_para)&lt;pas/2,"Para","")</f>
        <v/>
      </c>
      <c r="AA853" s="424" t="str">
        <f aca="false">IF(ABS(t-T_satellite)&lt;pas/2,"Satellite","")</f>
        <v/>
      </c>
      <c r="AB853" s="412"/>
      <c r="AC853" s="420" t="e">
        <f aca="false">IF(ABS(t-ROUND(t,0))&lt;0.001,t,NA())</f>
        <v>#N/A</v>
      </c>
      <c r="AD853" s="425" t="e">
        <f aca="false">IF(ABS(t-ROUND(t,0))&lt;0.001,pos_x,NA())</f>
        <v>#N/A</v>
      </c>
      <c r="AE853" s="426" t="e">
        <f aca="false">IF(t&lt;T_para, pos_z, NA())</f>
        <v>#N/A</v>
      </c>
      <c r="AF853" s="412"/>
      <c r="AG853" s="418" t="n">
        <f aca="false">IF(AND(L852&lt;L_rampe,Poussee&lt;Poids*SIN(M852)),0,(-W852+Poussee)/m-Poids*SIN(M852)/m)</f>
        <v>1.88772768138463</v>
      </c>
      <c r="AH853" s="417" t="n">
        <f aca="false">IF(AND(L852&lt;L_rampe,Poussee&lt;Poids*SIN(M852)), g*SIN(M852), (-W852+Poussee)/m)</f>
        <v>-7.87265552147096</v>
      </c>
    </row>
    <row r="854" customFormat="false" ht="12" hidden="false" customHeight="false" outlineLevel="0" collapsed="false">
      <c r="A854" s="416" t="n">
        <f aca="false">IF(B853+0.01&lt;=T_ini+ROUNDUP(Temps_fin_propu,0), 0.01, IF(K853&gt;0, 0.1, 0.0001))</f>
        <v>0.0001</v>
      </c>
      <c r="B854" s="417" t="n">
        <f aca="false">B853+pas</f>
        <v>36.3127000000006</v>
      </c>
      <c r="C854" s="401"/>
      <c r="D854" s="418" t="n">
        <f aca="false">IF(AND(L853&lt;L_rampe,Poussee&lt;Poids*SIN(M853)),0,(-W853+Poussee)/m*COS(M853)-U853/m*SIN(M853))</f>
        <v>-0.790796450586196</v>
      </c>
      <c r="E854" s="419" t="n">
        <f aca="false">IF(AND(L853&lt;L_rampe,Poussee&lt;Poids*SIN(M853)),0,(-W853+Poussee)/m*SIN(M853)+U853/m*COS(M853)-Poids/m)</f>
        <v>-1.9771284911017</v>
      </c>
      <c r="F854" s="417" t="n">
        <f aca="false">SQRT(acc_x^2+acc_z^2)</f>
        <v>2.12941214812582</v>
      </c>
      <c r="G854" s="418" t="n">
        <f aca="false">G853+acc_x*pas</f>
        <v>12.4669723310073</v>
      </c>
      <c r="H854" s="419" t="n">
        <f aca="false">H853+acc_z*pas</f>
        <v>-123.486856918365</v>
      </c>
      <c r="I854" s="417" t="n">
        <f aca="false">SQRT(vit_x^2+vit_z^2)</f>
        <v>124.114581055889</v>
      </c>
      <c r="J854" s="418" t="n">
        <f aca="false">J853+0.5*(vit_x+G853)*pas*(K853&gt;=0)</f>
        <v>913.614336176273</v>
      </c>
      <c r="K854" s="419" t="n">
        <f aca="false">K853+0.5*(vit_z+H853)*pas</f>
        <v>-10.2741832007255</v>
      </c>
      <c r="L854" s="417" t="n">
        <f aca="false">SQRT(pos_x^2+pos_z^2)</f>
        <v>913.672104262385</v>
      </c>
      <c r="M854" s="418" t="n">
        <f aca="false">IF(AND(L853&gt;L_rampe,G854&gt;0),ATAN2(G854,H854),$M$4)</f>
        <v>-1.47017936007893</v>
      </c>
      <c r="N854" s="417" t="n">
        <f aca="false">DEGREES(Beta)</f>
        <v>-84.2350724597668</v>
      </c>
      <c r="O854" s="401"/>
      <c r="P854" s="420" t="n">
        <f aca="false">MATCH(t-pas/2-T_ini,CdP_t)</f>
        <v>23</v>
      </c>
      <c r="Q854" s="417" t="n">
        <f aca="false">(INDEX(CdP,2,i_P+1)-INDEX(CdP,2,i_P+0))/(INDEX(CdP,1,i_P+1)-INDEX(CdP,1,i_P+0))*(t-pas/2-T_ini-INDEX(CdP,1,i_P+0))+INDEX(CdP,2,i_P+0)</f>
        <v>0</v>
      </c>
      <c r="R854" s="418" t="n">
        <f aca="false">Poussee/(g*ISP)</f>
        <v>0</v>
      </c>
      <c r="S854" s="419" t="n">
        <f aca="false">S853-Débit*pas</f>
        <v>7.37799999999998</v>
      </c>
      <c r="T854" s="417" t="n">
        <f aca="false">m*g</f>
        <v>72.3781799999998</v>
      </c>
      <c r="U854" s="421" t="n">
        <f aca="false">IF(pos_xz&lt;L_rampe,Poids*COS(Beta),0)</f>
        <v>0</v>
      </c>
      <c r="V854" s="418" t="n">
        <f aca="false">Rho_moyen*(20000-Alt_rampe-pos_z)/(20000+Alt_rampe+pos_z)</f>
        <v>1.2262592343223</v>
      </c>
      <c r="W854" s="417" t="n">
        <f aca="false">1/2*Rho*Sref*Cx*vit_xz^2</f>
        <v>58.0849492657021</v>
      </c>
      <c r="X854" s="401"/>
      <c r="Y854" s="422" t="str">
        <f aca="false">IF(AND(pos_z&lt;=0,K853&gt;0),"Impact balistique","") &amp; IF(AND(H855&lt;0,vit_z&gt;=0),"Apogée","") &amp; IF(AND(Poussee=0,Q853&gt;0),"Fin de propulsion","") &amp; IF(AND(L855&gt;L_rampe,pos_xz&lt;=L_rampe),"Sortie de rampe","")</f>
        <v/>
      </c>
      <c r="Z854" s="423" t="str">
        <f aca="false">IF(ABS(t-T_para)&lt;pas/2,"Para","")</f>
        <v/>
      </c>
      <c r="AA854" s="424" t="str">
        <f aca="false">IF(ABS(t-T_satellite)&lt;pas/2,"Satellite","")</f>
        <v/>
      </c>
      <c r="AB854" s="412"/>
      <c r="AC854" s="420" t="e">
        <f aca="false">IF(ABS(t-ROUND(t,0))&lt;0.001,t,NA())</f>
        <v>#N/A</v>
      </c>
      <c r="AD854" s="425" t="e">
        <f aca="false">IF(ABS(t-ROUND(t,0))&lt;0.001,pos_x,NA())</f>
        <v>#N/A</v>
      </c>
      <c r="AE854" s="426" t="e">
        <f aca="false">IF(t&lt;T_para, pos_z, NA())</f>
        <v>#N/A</v>
      </c>
      <c r="AF854" s="412"/>
      <c r="AG854" s="418" t="n">
        <f aca="false">IF(AND(L853&lt;L_rampe,Poussee&lt;Poids*SIN(M853)),0,(-W853+Poussee)/m-Poids*SIN(M853)/m)</f>
        <v>1.88769479401544</v>
      </c>
      <c r="AH854" s="417" t="n">
        <f aca="false">IF(AND(L853&lt;L_rampe,Poussee&lt;Poids*SIN(M853)), g*SIN(M853), (-W853+Poussee)/m)</f>
        <v>-7.87268919119576</v>
      </c>
    </row>
    <row r="855" customFormat="false" ht="12" hidden="false" customHeight="false" outlineLevel="0" collapsed="false">
      <c r="A855" s="416" t="n">
        <f aca="false">IF(B854+0.01&lt;=T_ini+ROUNDUP(Temps_fin_propu,0), 0.01, IF(K854&gt;0, 0.1, 0.0001))</f>
        <v>0.0001</v>
      </c>
      <c r="B855" s="417" t="n">
        <f aca="false">B854+pas</f>
        <v>36.3128000000006</v>
      </c>
      <c r="C855" s="401"/>
      <c r="D855" s="418" t="n">
        <f aca="false">IF(AND(L854&lt;L_rampe,Poussee&lt;Poids*SIN(M854)),0,(-W854+Poussee)/m*COS(M854)-U854/m*SIN(M854))</f>
        <v>-0.790793613756971</v>
      </c>
      <c r="E855" s="419" t="n">
        <f aca="false">IF(AND(L854&lt;L_rampe,Poussee&lt;Poids*SIN(M854)),0,(-W854+Poussee)/m*SIN(M854)+U854/m*COS(M854)-Poids/m)</f>
        <v>-1.97709436411544</v>
      </c>
      <c r="F855" s="417" t="n">
        <f aca="false">SQRT(acc_x^2+acc_z^2)</f>
        <v>2.12937940822575</v>
      </c>
      <c r="G855" s="418" t="n">
        <f aca="false">G854+acc_x*pas</f>
        <v>12.4668932516459</v>
      </c>
      <c r="H855" s="419" t="n">
        <f aca="false">H854+acc_z*pas</f>
        <v>-123.487054627801</v>
      </c>
      <c r="I855" s="417" t="n">
        <f aca="false">SQRT(vit_x^2+vit_z^2)</f>
        <v>124.114769822119</v>
      </c>
      <c r="J855" s="418" t="n">
        <f aca="false">J854+0.5*(vit_x+G854)*pas*(K854&gt;=0)</f>
        <v>913.614336176273</v>
      </c>
      <c r="K855" s="419" t="n">
        <f aca="false">K854+0.5*(vit_z+H854)*pas</f>
        <v>-10.2865318963028</v>
      </c>
      <c r="L855" s="417" t="n">
        <f aca="false">SQRT(pos_x^2+pos_z^2)</f>
        <v>913.672243206099</v>
      </c>
      <c r="M855" s="418" t="n">
        <f aca="false">IF(AND(L854&gt;L_rampe,G855&gt;0),ATAN2(G855,H855),$M$4)</f>
        <v>-1.4701801540117</v>
      </c>
      <c r="N855" s="417" t="n">
        <f aca="false">DEGREES(Beta)</f>
        <v>-84.235117948764</v>
      </c>
      <c r="O855" s="401"/>
      <c r="P855" s="420" t="n">
        <f aca="false">MATCH(t-pas/2-T_ini,CdP_t)</f>
        <v>23</v>
      </c>
      <c r="Q855" s="417" t="n">
        <f aca="false">(INDEX(CdP,2,i_P+1)-INDEX(CdP,2,i_P+0))/(INDEX(CdP,1,i_P+1)-INDEX(CdP,1,i_P+0))*(t-pas/2-T_ini-INDEX(CdP,1,i_P+0))+INDEX(CdP,2,i_P+0)</f>
        <v>0</v>
      </c>
      <c r="R855" s="418" t="n">
        <f aca="false">Poussee/(g*ISP)</f>
        <v>0</v>
      </c>
      <c r="S855" s="419" t="n">
        <f aca="false">S854-Débit*pas</f>
        <v>7.37799999999998</v>
      </c>
      <c r="T855" s="417" t="n">
        <f aca="false">m*g</f>
        <v>72.3781799999998</v>
      </c>
      <c r="U855" s="421" t="n">
        <f aca="false">IF(pos_xz&lt;L_rampe,Poids*COS(Beta),0)</f>
        <v>0</v>
      </c>
      <c r="V855" s="418" t="n">
        <f aca="false">Rho_moyen*(20000-Alt_rampe-pos_z)/(20000+Alt_rampe+pos_z)</f>
        <v>1.22626074859383</v>
      </c>
      <c r="W855" s="417" t="n">
        <f aca="false">1/2*Rho*Sref*Cx*vit_xz^2</f>
        <v>58.0851976765924</v>
      </c>
      <c r="X855" s="401"/>
      <c r="Y855" s="422" t="str">
        <f aca="false">IF(AND(pos_z&lt;=0,K854&gt;0),"Impact balistique","") &amp; IF(AND(H856&lt;0,vit_z&gt;=0),"Apogée","") &amp; IF(AND(Poussee=0,Q854&gt;0),"Fin de propulsion","") &amp; IF(AND(L856&gt;L_rampe,pos_xz&lt;=L_rampe),"Sortie de rampe","")</f>
        <v/>
      </c>
      <c r="Z855" s="423" t="str">
        <f aca="false">IF(ABS(t-T_para)&lt;pas/2,"Para","")</f>
        <v/>
      </c>
      <c r="AA855" s="424" t="str">
        <f aca="false">IF(ABS(t-T_satellite)&lt;pas/2,"Satellite","")</f>
        <v/>
      </c>
      <c r="AB855" s="412"/>
      <c r="AC855" s="420" t="e">
        <f aca="false">IF(ABS(t-ROUND(t,0))&lt;0.001,t,NA())</f>
        <v>#N/A</v>
      </c>
      <c r="AD855" s="425" t="e">
        <f aca="false">IF(ABS(t-ROUND(t,0))&lt;0.001,pos_x,NA())</f>
        <v>#N/A</v>
      </c>
      <c r="AE855" s="426" t="e">
        <f aca="false">IF(t&lt;T_para, pos_z, NA())</f>
        <v>#N/A</v>
      </c>
      <c r="AF855" s="412"/>
      <c r="AG855" s="418" t="n">
        <f aca="false">IF(AND(L854&lt;L_rampe,Poussee&lt;Poids*SIN(M854)),0,(-W854+Poussee)/m-Poids*SIN(M854)/m)</f>
        <v>1.88766190692682</v>
      </c>
      <c r="AH855" s="417" t="n">
        <f aca="false">IF(AND(L854&lt;L_rampe,Poussee&lt;Poids*SIN(M854)), g*SIN(M854), (-W854+Poussee)/m)</f>
        <v>-7.87272286062649</v>
      </c>
    </row>
    <row r="856" customFormat="false" ht="12" hidden="false" customHeight="false" outlineLevel="0" collapsed="false">
      <c r="A856" s="416" t="n">
        <f aca="false">IF(B855+0.01&lt;=T_ini+ROUNDUP(Temps_fin_propu,0), 0.01, IF(K855&gt;0, 0.1, 0.0001))</f>
        <v>0.0001</v>
      </c>
      <c r="B856" s="417" t="n">
        <f aca="false">B855+pas</f>
        <v>36.3129000000006</v>
      </c>
      <c r="C856" s="401"/>
      <c r="D856" s="418" t="n">
        <f aca="false">IF(AND(L855&lt;L_rampe,Poussee&lt;Poids*SIN(M855)),0,(-W855+Poussee)/m*COS(M855)-U855/m*SIN(M855))</f>
        <v>-0.79079077690288</v>
      </c>
      <c r="E856" s="419" t="n">
        <f aca="false">IF(AND(L855&lt;L_rampe,Poussee&lt;Poids*SIN(M855)),0,(-W855+Poussee)/m*SIN(M855)+U855/m*COS(M855)-Poids/m)</f>
        <v>-1.97706023742723</v>
      </c>
      <c r="F856" s="417" t="n">
        <f aca="false">SQRT(acc_x^2+acc_z^2)</f>
        <v>2.12934666864052</v>
      </c>
      <c r="G856" s="418" t="n">
        <f aca="false">G855+acc_x*pas</f>
        <v>12.4668141725682</v>
      </c>
      <c r="H856" s="419" t="n">
        <f aca="false">H855+acc_z*pas</f>
        <v>-123.487252333825</v>
      </c>
      <c r="I856" s="417" t="n">
        <f aca="false">SQRT(vit_x^2+vit_z^2)</f>
        <v>124.11495858506</v>
      </c>
      <c r="J856" s="418" t="n">
        <f aca="false">J855+0.5*(vit_x+G855)*pas*(K855&gt;=0)</f>
        <v>913.614336176273</v>
      </c>
      <c r="K856" s="419" t="n">
        <f aca="false">K855+0.5*(vit_z+H855)*pas</f>
        <v>-10.2988806116509</v>
      </c>
      <c r="L856" s="417" t="n">
        <f aca="false">SQRT(pos_x^2+pos_z^2)</f>
        <v>913.672382316914</v>
      </c>
      <c r="M856" s="418" t="n">
        <f aca="false">IF(AND(L855&gt;L_rampe,G856&gt;0),ATAN2(G856,H856),$M$4)</f>
        <v>-1.47018094793703</v>
      </c>
      <c r="N856" s="417" t="n">
        <f aca="false">DEGREES(Beta)</f>
        <v>-84.2351634373344</v>
      </c>
      <c r="O856" s="401"/>
      <c r="P856" s="420" t="n">
        <f aca="false">MATCH(t-pas/2-T_ini,CdP_t)</f>
        <v>23</v>
      </c>
      <c r="Q856" s="417" t="n">
        <f aca="false">(INDEX(CdP,2,i_P+1)-INDEX(CdP,2,i_P+0))/(INDEX(CdP,1,i_P+1)-INDEX(CdP,1,i_P+0))*(t-pas/2-T_ini-INDEX(CdP,1,i_P+0))+INDEX(CdP,2,i_P+0)</f>
        <v>0</v>
      </c>
      <c r="R856" s="418" t="n">
        <f aca="false">Poussee/(g*ISP)</f>
        <v>0</v>
      </c>
      <c r="S856" s="419" t="n">
        <f aca="false">S855-Débit*pas</f>
        <v>7.37799999999998</v>
      </c>
      <c r="T856" s="417" t="n">
        <f aca="false">m*g</f>
        <v>72.3781799999998</v>
      </c>
      <c r="U856" s="421" t="n">
        <f aca="false">IF(pos_xz&lt;L_rampe,Poids*COS(Beta),0)</f>
        <v>0</v>
      </c>
      <c r="V856" s="418" t="n">
        <f aca="false">Rho_moyen*(20000-Alt_rampe-pos_z)/(20000+Alt_rampe+pos_z)</f>
        <v>1.22626226286966</v>
      </c>
      <c r="W856" s="417" t="n">
        <f aca="false">1/2*Rho*Sref*Cx*vit_xz^2</f>
        <v>58.085446085313</v>
      </c>
      <c r="X856" s="401"/>
      <c r="Y856" s="422" t="str">
        <f aca="false">IF(AND(pos_z&lt;=0,K855&gt;0),"Impact balistique","") &amp; IF(AND(H857&lt;0,vit_z&gt;=0),"Apogée","") &amp; IF(AND(Poussee=0,Q855&gt;0),"Fin de propulsion","") &amp; IF(AND(L857&gt;L_rampe,pos_xz&lt;=L_rampe),"Sortie de rampe","")</f>
        <v/>
      </c>
      <c r="Z856" s="423" t="str">
        <f aca="false">IF(ABS(t-T_para)&lt;pas/2,"Para","")</f>
        <v/>
      </c>
      <c r="AA856" s="424" t="str">
        <f aca="false">IF(ABS(t-T_satellite)&lt;pas/2,"Satellite","")</f>
        <v/>
      </c>
      <c r="AB856" s="412"/>
      <c r="AC856" s="420" t="e">
        <f aca="false">IF(ABS(t-ROUND(t,0))&lt;0.001,t,NA())</f>
        <v>#N/A</v>
      </c>
      <c r="AD856" s="425" t="e">
        <f aca="false">IF(ABS(t-ROUND(t,0))&lt;0.001,pos_x,NA())</f>
        <v>#N/A</v>
      </c>
      <c r="AE856" s="426" t="e">
        <f aca="false">IF(t&lt;T_para, pos_z, NA())</f>
        <v>#N/A</v>
      </c>
      <c r="AF856" s="412"/>
      <c r="AG856" s="418" t="n">
        <f aca="false">IF(AND(L855&lt;L_rampe,Poussee&lt;Poids*SIN(M855)),0,(-W855+Poussee)/m-Poids*SIN(M855)/m)</f>
        <v>1.88762902011879</v>
      </c>
      <c r="AH856" s="417" t="n">
        <f aca="false">IF(AND(L855&lt;L_rampe,Poussee&lt;Poids*SIN(M855)), g*SIN(M855), (-W855+Poussee)/m)</f>
        <v>-7.87275652976315</v>
      </c>
    </row>
    <row r="857" customFormat="false" ht="12" hidden="false" customHeight="false" outlineLevel="0" collapsed="false">
      <c r="A857" s="416" t="n">
        <f aca="false">IF(B856+0.01&lt;=T_ini+ROUNDUP(Temps_fin_propu,0), 0.01, IF(K856&gt;0, 0.1, 0.0001))</f>
        <v>0.0001</v>
      </c>
      <c r="B857" s="417" t="n">
        <f aca="false">B856+pas</f>
        <v>36.3130000000006</v>
      </c>
      <c r="C857" s="401"/>
      <c r="D857" s="418" t="n">
        <f aca="false">IF(AND(L856&lt;L_rampe,Poussee&lt;Poids*SIN(M856)),0,(-W856+Poussee)/m*COS(M856)-U856/m*SIN(M856))</f>
        <v>-0.790787940023925</v>
      </c>
      <c r="E857" s="419" t="n">
        <f aca="false">IF(AND(L856&lt;L_rampe,Poussee&lt;Poids*SIN(M856)),0,(-W856+Poussee)/m*SIN(M856)+U856/m*COS(M856)-Poids/m)</f>
        <v>-1.97702611103705</v>
      </c>
      <c r="F857" s="417" t="n">
        <f aca="false">SQRT(acc_x^2+acc_z^2)</f>
        <v>2.12931392937011</v>
      </c>
      <c r="G857" s="418" t="n">
        <f aca="false">G856+acc_x*pas</f>
        <v>12.4667350937742</v>
      </c>
      <c r="H857" s="419" t="n">
        <f aca="false">H856+acc_z*pas</f>
        <v>-123.487450036436</v>
      </c>
      <c r="I857" s="417" t="n">
        <f aca="false">SQRT(vit_x^2+vit_z^2)</f>
        <v>124.115147344712</v>
      </c>
      <c r="J857" s="418" t="n">
        <f aca="false">J856+0.5*(vit_x+G856)*pas*(K856&gt;=0)</f>
        <v>913.614336176273</v>
      </c>
      <c r="K857" s="419" t="n">
        <f aca="false">K856+0.5*(vit_z+H856)*pas</f>
        <v>-10.3112293467694</v>
      </c>
      <c r="L857" s="417" t="n">
        <f aca="false">SQRT(pos_x^2+pos_z^2)</f>
        <v>913.672521594829</v>
      </c>
      <c r="M857" s="418" t="n">
        <f aca="false">IF(AND(L856&gt;L_rampe,G857&gt;0),ATAN2(G857,H857),$M$4)</f>
        <v>-1.4701817418549</v>
      </c>
      <c r="N857" s="417" t="n">
        <f aca="false">DEGREES(Beta)</f>
        <v>-84.2352089254778</v>
      </c>
      <c r="O857" s="401"/>
      <c r="P857" s="420" t="n">
        <f aca="false">MATCH(t-pas/2-T_ini,CdP_t)</f>
        <v>23</v>
      </c>
      <c r="Q857" s="417" t="n">
        <f aca="false">(INDEX(CdP,2,i_P+1)-INDEX(CdP,2,i_P+0))/(INDEX(CdP,1,i_P+1)-INDEX(CdP,1,i_P+0))*(t-pas/2-T_ini-INDEX(CdP,1,i_P+0))+INDEX(CdP,2,i_P+0)</f>
        <v>0</v>
      </c>
      <c r="R857" s="418" t="n">
        <f aca="false">Poussee/(g*ISP)</f>
        <v>0</v>
      </c>
      <c r="S857" s="419" t="n">
        <f aca="false">S856-Débit*pas</f>
        <v>7.37799999999998</v>
      </c>
      <c r="T857" s="417" t="n">
        <f aca="false">m*g</f>
        <v>72.3781799999998</v>
      </c>
      <c r="U857" s="421" t="n">
        <f aca="false">IF(pos_xz&lt;L_rampe,Poids*COS(Beta),0)</f>
        <v>0</v>
      </c>
      <c r="V857" s="418" t="n">
        <f aca="false">Rho_moyen*(20000-Alt_rampe-pos_z)/(20000+Alt_rampe+pos_z)</f>
        <v>1.22626377714978</v>
      </c>
      <c r="W857" s="417" t="n">
        <f aca="false">1/2*Rho*Sref*Cx*vit_xz^2</f>
        <v>58.085694491864</v>
      </c>
      <c r="X857" s="401"/>
      <c r="Y857" s="422" t="str">
        <f aca="false">IF(AND(pos_z&lt;=0,K856&gt;0),"Impact balistique","") &amp; IF(AND(H858&lt;0,vit_z&gt;=0),"Apogée","") &amp; IF(AND(Poussee=0,Q856&gt;0),"Fin de propulsion","") &amp; IF(AND(L858&gt;L_rampe,pos_xz&lt;=L_rampe),"Sortie de rampe","")</f>
        <v/>
      </c>
      <c r="Z857" s="423" t="str">
        <f aca="false">IF(ABS(t-T_para)&lt;pas/2,"Para","")</f>
        <v/>
      </c>
      <c r="AA857" s="424" t="str">
        <f aca="false">IF(ABS(t-T_satellite)&lt;pas/2,"Satellite","")</f>
        <v/>
      </c>
      <c r="AB857" s="412"/>
      <c r="AC857" s="420" t="e">
        <f aca="false">IF(ABS(t-ROUND(t,0))&lt;0.001,t,NA())</f>
        <v>#N/A</v>
      </c>
      <c r="AD857" s="425" t="e">
        <f aca="false">IF(ABS(t-ROUND(t,0))&lt;0.001,pos_x,NA())</f>
        <v>#N/A</v>
      </c>
      <c r="AE857" s="426" t="e">
        <f aca="false">IF(t&lt;T_para, pos_z, NA())</f>
        <v>#N/A</v>
      </c>
      <c r="AF857" s="412"/>
      <c r="AG857" s="418" t="n">
        <f aca="false">IF(AND(L856&lt;L_rampe,Poussee&lt;Poids*SIN(M856)),0,(-W856+Poussee)/m-Poids*SIN(M856)/m)</f>
        <v>1.88759613359133</v>
      </c>
      <c r="AH857" s="417" t="n">
        <f aca="false">IF(AND(L856&lt;L_rampe,Poussee&lt;Poids*SIN(M856)), g*SIN(M856), (-W856+Poussee)/m)</f>
        <v>-7.87279019860574</v>
      </c>
    </row>
    <row r="858" customFormat="false" ht="12" hidden="false" customHeight="false" outlineLevel="0" collapsed="false">
      <c r="A858" s="416" t="n">
        <f aca="false">IF(B857+0.01&lt;=T_ini+ROUNDUP(Temps_fin_propu,0), 0.01, IF(K857&gt;0, 0.1, 0.0001))</f>
        <v>0.0001</v>
      </c>
      <c r="B858" s="417" t="n">
        <f aca="false">B857+pas</f>
        <v>36.3131000000006</v>
      </c>
      <c r="C858" s="401"/>
      <c r="D858" s="418" t="n">
        <f aca="false">IF(AND(L857&lt;L_rampe,Poussee&lt;Poids*SIN(M857)),0,(-W857+Poussee)/m*COS(M857)-U857/m*SIN(M857))</f>
        <v>-0.790785103120104</v>
      </c>
      <c r="E858" s="419" t="n">
        <f aca="false">IF(AND(L857&lt;L_rampe,Poussee&lt;Poids*SIN(M857)),0,(-W857+Poussee)/m*SIN(M857)+U857/m*COS(M857)-Poids/m)</f>
        <v>-1.97699198494492</v>
      </c>
      <c r="F858" s="417" t="n">
        <f aca="false">SQRT(acc_x^2+acc_z^2)</f>
        <v>2.12928119041453</v>
      </c>
      <c r="G858" s="418" t="n">
        <f aca="false">G857+acc_x*pas</f>
        <v>12.4666560152639</v>
      </c>
      <c r="H858" s="419" t="n">
        <f aca="false">H857+acc_z*pas</f>
        <v>-123.487647735635</v>
      </c>
      <c r="I858" s="417" t="n">
        <f aca="false">SQRT(vit_x^2+vit_z^2)</f>
        <v>124.115336101076</v>
      </c>
      <c r="J858" s="418" t="n">
        <f aca="false">J857+0.5*(vit_x+G857)*pas*(K857&gt;=0)</f>
        <v>913.614336176273</v>
      </c>
      <c r="K858" s="419" t="n">
        <f aca="false">K857+0.5*(vit_z+H857)*pas</f>
        <v>-10.323578101658</v>
      </c>
      <c r="L858" s="417" t="n">
        <f aca="false">SQRT(pos_x^2+pos_z^2)</f>
        <v>913.672661039846</v>
      </c>
      <c r="M858" s="418" t="n">
        <f aca="false">IF(AND(L857&gt;L_rampe,G858&gt;0),ATAN2(G858,H858),$M$4)</f>
        <v>-1.47018253576533</v>
      </c>
      <c r="N858" s="417" t="n">
        <f aca="false">DEGREES(Beta)</f>
        <v>-84.2352544131944</v>
      </c>
      <c r="O858" s="401"/>
      <c r="P858" s="420" t="n">
        <f aca="false">MATCH(t-pas/2-T_ini,CdP_t)</f>
        <v>23</v>
      </c>
      <c r="Q858" s="417" t="n">
        <f aca="false">(INDEX(CdP,2,i_P+1)-INDEX(CdP,2,i_P+0))/(INDEX(CdP,1,i_P+1)-INDEX(CdP,1,i_P+0))*(t-pas/2-T_ini-INDEX(CdP,1,i_P+0))+INDEX(CdP,2,i_P+0)</f>
        <v>0</v>
      </c>
      <c r="R858" s="418" t="n">
        <f aca="false">Poussee/(g*ISP)</f>
        <v>0</v>
      </c>
      <c r="S858" s="419" t="n">
        <f aca="false">S857-Débit*pas</f>
        <v>7.37799999999998</v>
      </c>
      <c r="T858" s="417" t="n">
        <f aca="false">m*g</f>
        <v>72.3781799999998</v>
      </c>
      <c r="U858" s="421" t="n">
        <f aca="false">IF(pos_xz&lt;L_rampe,Poids*COS(Beta),0)</f>
        <v>0</v>
      </c>
      <c r="V858" s="418" t="n">
        <f aca="false">Rho_moyen*(20000-Alt_rampe-pos_z)/(20000+Alt_rampe+pos_z)</f>
        <v>1.2262652914342</v>
      </c>
      <c r="W858" s="417" t="n">
        <f aca="false">1/2*Rho*Sref*Cx*vit_xz^2</f>
        <v>58.0859428962454</v>
      </c>
      <c r="X858" s="401"/>
      <c r="Y858" s="422" t="str">
        <f aca="false">IF(AND(pos_z&lt;=0,K857&gt;0),"Impact balistique","") &amp; IF(AND(H859&lt;0,vit_z&gt;=0),"Apogée","") &amp; IF(AND(Poussee=0,Q857&gt;0),"Fin de propulsion","") &amp; IF(AND(L859&gt;L_rampe,pos_xz&lt;=L_rampe),"Sortie de rampe","")</f>
        <v/>
      </c>
      <c r="Z858" s="423" t="str">
        <f aca="false">IF(ABS(t-T_para)&lt;pas/2,"Para","")</f>
        <v/>
      </c>
      <c r="AA858" s="424" t="str">
        <f aca="false">IF(ABS(t-T_satellite)&lt;pas/2,"Satellite","")</f>
        <v/>
      </c>
      <c r="AB858" s="412"/>
      <c r="AC858" s="420" t="e">
        <f aca="false">IF(ABS(t-ROUND(t,0))&lt;0.001,t,NA())</f>
        <v>#N/A</v>
      </c>
      <c r="AD858" s="425" t="e">
        <f aca="false">IF(ABS(t-ROUND(t,0))&lt;0.001,pos_x,NA())</f>
        <v>#N/A</v>
      </c>
      <c r="AE858" s="426" t="e">
        <f aca="false">IF(t&lt;T_para, pos_z, NA())</f>
        <v>#N/A</v>
      </c>
      <c r="AF858" s="412"/>
      <c r="AG858" s="418" t="n">
        <f aca="false">IF(AND(L857&lt;L_rampe,Poussee&lt;Poids*SIN(M857)),0,(-W857+Poussee)/m-Poids*SIN(M857)/m)</f>
        <v>1.88756324734444</v>
      </c>
      <c r="AH858" s="417" t="n">
        <f aca="false">IF(AND(L857&lt;L_rampe,Poussee&lt;Poids*SIN(M857)), g*SIN(M857), (-W857+Poussee)/m)</f>
        <v>-7.87282386715426</v>
      </c>
    </row>
    <row r="859" customFormat="false" ht="12" hidden="false" customHeight="false" outlineLevel="0" collapsed="false">
      <c r="A859" s="416" t="n">
        <f aca="false">IF(B858+0.01&lt;=T_ini+ROUNDUP(Temps_fin_propu,0), 0.01, IF(K858&gt;0, 0.1, 0.0001))</f>
        <v>0.0001</v>
      </c>
      <c r="B859" s="417" t="n">
        <f aca="false">B858+pas</f>
        <v>36.3132000000006</v>
      </c>
      <c r="C859" s="401"/>
      <c r="D859" s="418" t="n">
        <f aca="false">IF(AND(L858&lt;L_rampe,Poussee&lt;Poids*SIN(M858)),0,(-W858+Poussee)/m*COS(M858)-U858/m*SIN(M858))</f>
        <v>-0.790782266191419</v>
      </c>
      <c r="E859" s="419" t="n">
        <f aca="false">IF(AND(L858&lt;L_rampe,Poussee&lt;Poids*SIN(M858)),0,(-W858+Poussee)/m*SIN(M858)+U858/m*COS(M858)-Poids/m)</f>
        <v>-1.97695785915083</v>
      </c>
      <c r="F859" s="417" t="n">
        <f aca="false">SQRT(acc_x^2+acc_z^2)</f>
        <v>2.12924845177379</v>
      </c>
      <c r="G859" s="418" t="n">
        <f aca="false">G858+acc_x*pas</f>
        <v>12.4665769370373</v>
      </c>
      <c r="H859" s="419" t="n">
        <f aca="false">H858+acc_z*pas</f>
        <v>-123.48784543142</v>
      </c>
      <c r="I859" s="417" t="n">
        <f aca="false">SQRT(vit_x^2+vit_z^2)</f>
        <v>124.115524854151</v>
      </c>
      <c r="J859" s="418" t="n">
        <f aca="false">J858+0.5*(vit_x+G858)*pas*(K858&gt;=0)</f>
        <v>913.614336176273</v>
      </c>
      <c r="K859" s="419" t="n">
        <f aca="false">K858+0.5*(vit_z+H858)*pas</f>
        <v>-10.3359268763164</v>
      </c>
      <c r="L859" s="417" t="n">
        <f aca="false">SQRT(pos_x^2+pos_z^2)</f>
        <v>913.672800651965</v>
      </c>
      <c r="M859" s="418" t="n">
        <f aca="false">IF(AND(L858&gt;L_rampe,G859&gt;0),ATAN2(G859,H859),$M$4)</f>
        <v>-1.4701833296683</v>
      </c>
      <c r="N859" s="417" t="n">
        <f aca="false">DEGREES(Beta)</f>
        <v>-84.2352999004841</v>
      </c>
      <c r="O859" s="401"/>
      <c r="P859" s="420" t="n">
        <f aca="false">MATCH(t-pas/2-T_ini,CdP_t)</f>
        <v>23</v>
      </c>
      <c r="Q859" s="417" t="n">
        <f aca="false">(INDEX(CdP,2,i_P+1)-INDEX(CdP,2,i_P+0))/(INDEX(CdP,1,i_P+1)-INDEX(CdP,1,i_P+0))*(t-pas/2-T_ini-INDEX(CdP,1,i_P+0))+INDEX(CdP,2,i_P+0)</f>
        <v>0</v>
      </c>
      <c r="R859" s="418" t="n">
        <f aca="false">Poussee/(g*ISP)</f>
        <v>0</v>
      </c>
      <c r="S859" s="419" t="n">
        <f aca="false">S858-Débit*pas</f>
        <v>7.37799999999998</v>
      </c>
      <c r="T859" s="417" t="n">
        <f aca="false">m*g</f>
        <v>72.3781799999998</v>
      </c>
      <c r="U859" s="421" t="n">
        <f aca="false">IF(pos_xz&lt;L_rampe,Poids*COS(Beta),0)</f>
        <v>0</v>
      </c>
      <c r="V859" s="418" t="n">
        <f aca="false">Rho_moyen*(20000-Alt_rampe-pos_z)/(20000+Alt_rampe+pos_z)</f>
        <v>1.22626680572291</v>
      </c>
      <c r="W859" s="417" t="n">
        <f aca="false">1/2*Rho*Sref*Cx*vit_xz^2</f>
        <v>58.0861912984571</v>
      </c>
      <c r="X859" s="401"/>
      <c r="Y859" s="422" t="str">
        <f aca="false">IF(AND(pos_z&lt;=0,K858&gt;0),"Impact balistique","") &amp; IF(AND(H860&lt;0,vit_z&gt;=0),"Apogée","") &amp; IF(AND(Poussee=0,Q858&gt;0),"Fin de propulsion","") &amp; IF(AND(L860&gt;L_rampe,pos_xz&lt;=L_rampe),"Sortie de rampe","")</f>
        <v/>
      </c>
      <c r="Z859" s="423" t="str">
        <f aca="false">IF(ABS(t-T_para)&lt;pas/2,"Para","")</f>
        <v/>
      </c>
      <c r="AA859" s="424" t="str">
        <f aca="false">IF(ABS(t-T_satellite)&lt;pas/2,"Satellite","")</f>
        <v/>
      </c>
      <c r="AB859" s="412"/>
      <c r="AC859" s="420" t="e">
        <f aca="false">IF(ABS(t-ROUND(t,0))&lt;0.001,t,NA())</f>
        <v>#N/A</v>
      </c>
      <c r="AD859" s="425" t="e">
        <f aca="false">IF(ABS(t-ROUND(t,0))&lt;0.001,pos_x,NA())</f>
        <v>#N/A</v>
      </c>
      <c r="AE859" s="426" t="e">
        <f aca="false">IF(t&lt;T_para, pos_z, NA())</f>
        <v>#N/A</v>
      </c>
      <c r="AF859" s="412"/>
      <c r="AG859" s="418" t="n">
        <f aca="false">IF(AND(L858&lt;L_rampe,Poussee&lt;Poids*SIN(M858)),0,(-W858+Poussee)/m-Poids*SIN(M858)/m)</f>
        <v>1.88753036137813</v>
      </c>
      <c r="AH859" s="417" t="n">
        <f aca="false">IF(AND(L858&lt;L_rampe,Poussee&lt;Poids*SIN(M858)), g*SIN(M858), (-W858+Poussee)/m)</f>
        <v>-7.87285753540872</v>
      </c>
    </row>
    <row r="860" customFormat="false" ht="12" hidden="false" customHeight="false" outlineLevel="0" collapsed="false">
      <c r="A860" s="416" t="n">
        <f aca="false">IF(B859+0.01&lt;=T_ini+ROUNDUP(Temps_fin_propu,0), 0.01, IF(K859&gt;0, 0.1, 0.0001))</f>
        <v>0.0001</v>
      </c>
      <c r="B860" s="417" t="n">
        <f aca="false">B859+pas</f>
        <v>36.3133000000006</v>
      </c>
      <c r="C860" s="401"/>
      <c r="D860" s="418" t="n">
        <f aca="false">IF(AND(L859&lt;L_rampe,Poussee&lt;Poids*SIN(M859)),0,(-W859+Poussee)/m*COS(M859)-U859/m*SIN(M859))</f>
        <v>-0.790779429237872</v>
      </c>
      <c r="E860" s="419" t="n">
        <f aca="false">IF(AND(L859&lt;L_rampe,Poussee&lt;Poids*SIN(M859)),0,(-W859+Poussee)/m*SIN(M859)+U859/m*COS(M859)-Poids/m)</f>
        <v>-1.97692373365478</v>
      </c>
      <c r="F860" s="417" t="n">
        <f aca="false">SQRT(acc_x^2+acc_z^2)</f>
        <v>2.12921571344788</v>
      </c>
      <c r="G860" s="418" t="n">
        <f aca="false">G859+acc_x*pas</f>
        <v>12.4664978590943</v>
      </c>
      <c r="H860" s="419" t="n">
        <f aca="false">H859+acc_z*pas</f>
        <v>-123.488043123794</v>
      </c>
      <c r="I860" s="417" t="n">
        <f aca="false">SQRT(vit_x^2+vit_z^2)</f>
        <v>124.115713603938</v>
      </c>
      <c r="J860" s="418" t="n">
        <f aca="false">J859+0.5*(vit_x+G859)*pas*(K859&gt;=0)</f>
        <v>913.614336176273</v>
      </c>
      <c r="K860" s="419" t="n">
        <f aca="false">K859+0.5*(vit_z+H859)*pas</f>
        <v>-10.3482756707441</v>
      </c>
      <c r="L860" s="417" t="n">
        <f aca="false">SQRT(pos_x^2+pos_z^2)</f>
        <v>913.672940431186</v>
      </c>
      <c r="M860" s="418" t="n">
        <f aca="false">IF(AND(L859&gt;L_rampe,G860&gt;0),ATAN2(G860,H860),$M$4)</f>
        <v>-1.47018412356382</v>
      </c>
      <c r="N860" s="417" t="n">
        <f aca="false">DEGREES(Beta)</f>
        <v>-84.2353453873468</v>
      </c>
      <c r="O860" s="401"/>
      <c r="P860" s="420" t="n">
        <f aca="false">MATCH(t-pas/2-T_ini,CdP_t)</f>
        <v>23</v>
      </c>
      <c r="Q860" s="417" t="n">
        <f aca="false">(INDEX(CdP,2,i_P+1)-INDEX(CdP,2,i_P+0))/(INDEX(CdP,1,i_P+1)-INDEX(CdP,1,i_P+0))*(t-pas/2-T_ini-INDEX(CdP,1,i_P+0))+INDEX(CdP,2,i_P+0)</f>
        <v>0</v>
      </c>
      <c r="R860" s="418" t="n">
        <f aca="false">Poussee/(g*ISP)</f>
        <v>0</v>
      </c>
      <c r="S860" s="419" t="n">
        <f aca="false">S859-Débit*pas</f>
        <v>7.37799999999998</v>
      </c>
      <c r="T860" s="417" t="n">
        <f aca="false">m*g</f>
        <v>72.3781799999998</v>
      </c>
      <c r="U860" s="421" t="n">
        <f aca="false">IF(pos_xz&lt;L_rampe,Poids*COS(Beta),0)</f>
        <v>0</v>
      </c>
      <c r="V860" s="418" t="n">
        <f aca="false">Rho_moyen*(20000-Alt_rampe-pos_z)/(20000+Alt_rampe+pos_z)</f>
        <v>1.22626832001592</v>
      </c>
      <c r="W860" s="417" t="n">
        <f aca="false">1/2*Rho*Sref*Cx*vit_xz^2</f>
        <v>58.0864396984991</v>
      </c>
      <c r="X860" s="401"/>
      <c r="Y860" s="422" t="str">
        <f aca="false">IF(AND(pos_z&lt;=0,K859&gt;0),"Impact balistique","") &amp; IF(AND(H861&lt;0,vit_z&gt;=0),"Apogée","") &amp; IF(AND(Poussee=0,Q859&gt;0),"Fin de propulsion","") &amp; IF(AND(L861&gt;L_rampe,pos_xz&lt;=L_rampe),"Sortie de rampe","")</f>
        <v/>
      </c>
      <c r="Z860" s="423" t="str">
        <f aca="false">IF(ABS(t-T_para)&lt;pas/2,"Para","")</f>
        <v/>
      </c>
      <c r="AA860" s="424" t="str">
        <f aca="false">IF(ABS(t-T_satellite)&lt;pas/2,"Satellite","")</f>
        <v/>
      </c>
      <c r="AB860" s="412"/>
      <c r="AC860" s="420" t="e">
        <f aca="false">IF(ABS(t-ROUND(t,0))&lt;0.001,t,NA())</f>
        <v>#N/A</v>
      </c>
      <c r="AD860" s="425" t="e">
        <f aca="false">IF(ABS(t-ROUND(t,0))&lt;0.001,pos_x,NA())</f>
        <v>#N/A</v>
      </c>
      <c r="AE860" s="426" t="e">
        <f aca="false">IF(t&lt;T_para, pos_z, NA())</f>
        <v>#N/A</v>
      </c>
      <c r="AF860" s="412"/>
      <c r="AG860" s="418" t="n">
        <f aca="false">IF(AND(L859&lt;L_rampe,Poussee&lt;Poids*SIN(M859)),0,(-W859+Poussee)/m-Poids*SIN(M859)/m)</f>
        <v>1.8874974756924</v>
      </c>
      <c r="AH860" s="417" t="n">
        <f aca="false">IF(AND(L859&lt;L_rampe,Poussee&lt;Poids*SIN(M859)), g*SIN(M859), (-W859+Poussee)/m)</f>
        <v>-7.8728912033691</v>
      </c>
    </row>
    <row r="861" customFormat="false" ht="12" hidden="false" customHeight="false" outlineLevel="0" collapsed="false">
      <c r="A861" s="416" t="n">
        <f aca="false">IF(B860+0.01&lt;=T_ini+ROUNDUP(Temps_fin_propu,0), 0.01, IF(K860&gt;0, 0.1, 0.0001))</f>
        <v>0.0001</v>
      </c>
      <c r="B861" s="417" t="n">
        <f aca="false">B860+pas</f>
        <v>36.3134000000007</v>
      </c>
      <c r="C861" s="401"/>
      <c r="D861" s="418" t="n">
        <f aca="false">IF(AND(L860&lt;L_rampe,Poussee&lt;Poids*SIN(M860)),0,(-W860+Poussee)/m*COS(M860)-U860/m*SIN(M860))</f>
        <v>-0.790776592259463</v>
      </c>
      <c r="E861" s="419" t="n">
        <f aca="false">IF(AND(L860&lt;L_rampe,Poussee&lt;Poids*SIN(M860)),0,(-W860+Poussee)/m*SIN(M860)+U860/m*COS(M860)-Poids/m)</f>
        <v>-1.97688960845678</v>
      </c>
      <c r="F861" s="417" t="n">
        <f aca="false">SQRT(acc_x^2+acc_z^2)</f>
        <v>2.12918297543679</v>
      </c>
      <c r="G861" s="418" t="n">
        <f aca="false">G860+acc_x*pas</f>
        <v>12.4664187814351</v>
      </c>
      <c r="H861" s="419" t="n">
        <f aca="false">H860+acc_z*pas</f>
        <v>-123.488240812755</v>
      </c>
      <c r="I861" s="417" t="n">
        <f aca="false">SQRT(vit_x^2+vit_z^2)</f>
        <v>124.115902350436</v>
      </c>
      <c r="J861" s="418" t="n">
        <f aca="false">J860+0.5*(vit_x+G860)*pas*(K860&gt;=0)</f>
        <v>913.614336176273</v>
      </c>
      <c r="K861" s="419" t="n">
        <f aca="false">K860+0.5*(vit_z+H860)*pas</f>
        <v>-10.3606244849409</v>
      </c>
      <c r="L861" s="417" t="n">
        <f aca="false">SQRT(pos_x^2+pos_z^2)</f>
        <v>913.673080377511</v>
      </c>
      <c r="M861" s="418" t="n">
        <f aca="false">IF(AND(L860&gt;L_rampe,G861&gt;0),ATAN2(G861,H861),$M$4)</f>
        <v>-1.47018491745189</v>
      </c>
      <c r="N861" s="417" t="n">
        <f aca="false">DEGREES(Beta)</f>
        <v>-84.2353908737827</v>
      </c>
      <c r="O861" s="401"/>
      <c r="P861" s="420" t="n">
        <f aca="false">MATCH(t-pas/2-T_ini,CdP_t)</f>
        <v>23</v>
      </c>
      <c r="Q861" s="417" t="n">
        <f aca="false">(INDEX(CdP,2,i_P+1)-INDEX(CdP,2,i_P+0))/(INDEX(CdP,1,i_P+1)-INDEX(CdP,1,i_P+0))*(t-pas/2-T_ini-INDEX(CdP,1,i_P+0))+INDEX(CdP,2,i_P+0)</f>
        <v>0</v>
      </c>
      <c r="R861" s="418" t="n">
        <f aca="false">Poussee/(g*ISP)</f>
        <v>0</v>
      </c>
      <c r="S861" s="419" t="n">
        <f aca="false">S860-Débit*pas</f>
        <v>7.37799999999998</v>
      </c>
      <c r="T861" s="417" t="n">
        <f aca="false">m*g</f>
        <v>72.3781799999998</v>
      </c>
      <c r="U861" s="421" t="n">
        <f aca="false">IF(pos_xz&lt;L_rampe,Poids*COS(Beta),0)</f>
        <v>0</v>
      </c>
      <c r="V861" s="418" t="n">
        <f aca="false">Rho_moyen*(20000-Alt_rampe-pos_z)/(20000+Alt_rampe+pos_z)</f>
        <v>1.22626983431323</v>
      </c>
      <c r="W861" s="417" t="n">
        <f aca="false">1/2*Rho*Sref*Cx*vit_xz^2</f>
        <v>58.0866880963715</v>
      </c>
      <c r="X861" s="401"/>
      <c r="Y861" s="422" t="str">
        <f aca="false">IF(AND(pos_z&lt;=0,K860&gt;0),"Impact balistique","") &amp; IF(AND(H862&lt;0,vit_z&gt;=0),"Apogée","") &amp; IF(AND(Poussee=0,Q860&gt;0),"Fin de propulsion","") &amp; IF(AND(L862&gt;L_rampe,pos_xz&lt;=L_rampe),"Sortie de rampe","")</f>
        <v/>
      </c>
      <c r="Z861" s="423" t="str">
        <f aca="false">IF(ABS(t-T_para)&lt;pas/2,"Para","")</f>
        <v/>
      </c>
      <c r="AA861" s="424" t="str">
        <f aca="false">IF(ABS(t-T_satellite)&lt;pas/2,"Satellite","")</f>
        <v/>
      </c>
      <c r="AB861" s="412"/>
      <c r="AC861" s="420" t="e">
        <f aca="false">IF(ABS(t-ROUND(t,0))&lt;0.001,t,NA())</f>
        <v>#N/A</v>
      </c>
      <c r="AD861" s="425" t="e">
        <f aca="false">IF(ABS(t-ROUND(t,0))&lt;0.001,pos_x,NA())</f>
        <v>#N/A</v>
      </c>
      <c r="AE861" s="426" t="e">
        <f aca="false">IF(t&lt;T_para, pos_z, NA())</f>
        <v>#N/A</v>
      </c>
      <c r="AF861" s="412"/>
      <c r="AG861" s="418" t="n">
        <f aca="false">IF(AND(L860&lt;L_rampe,Poussee&lt;Poids*SIN(M860)),0,(-W860+Poussee)/m-Poids*SIN(M860)/m)</f>
        <v>1.88746459028725</v>
      </c>
      <c r="AH861" s="417" t="n">
        <f aca="false">IF(AND(L860&lt;L_rampe,Poussee&lt;Poids*SIN(M860)), g*SIN(M860), (-W860+Poussee)/m)</f>
        <v>-7.87292487103541</v>
      </c>
    </row>
    <row r="862" customFormat="false" ht="12" hidden="false" customHeight="false" outlineLevel="0" collapsed="false">
      <c r="A862" s="416" t="n">
        <f aca="false">IF(B861+0.01&lt;=T_ini+ROUNDUP(Temps_fin_propu,0), 0.01, IF(K861&gt;0, 0.1, 0.0001))</f>
        <v>0.0001</v>
      </c>
      <c r="B862" s="417" t="n">
        <f aca="false">B861+pas</f>
        <v>36.3135000000007</v>
      </c>
      <c r="C862" s="401"/>
      <c r="D862" s="418" t="n">
        <f aca="false">IF(AND(L861&lt;L_rampe,Poussee&lt;Poids*SIN(M861)),0,(-W861+Poussee)/m*COS(M861)-U861/m*SIN(M861))</f>
        <v>-0.790773755256191</v>
      </c>
      <c r="E862" s="419" t="n">
        <f aca="false">IF(AND(L861&lt;L_rampe,Poussee&lt;Poids*SIN(M861)),0,(-W861+Poussee)/m*SIN(M861)+U861/m*COS(M861)-Poids/m)</f>
        <v>-1.97685548355681</v>
      </c>
      <c r="F862" s="417" t="n">
        <f aca="false">SQRT(acc_x^2+acc_z^2)</f>
        <v>2.12915023774054</v>
      </c>
      <c r="G862" s="418" t="n">
        <f aca="false">G861+acc_x*pas</f>
        <v>12.4663397040596</v>
      </c>
      <c r="H862" s="419" t="n">
        <f aca="false">H861+acc_z*pas</f>
        <v>-123.488438498303</v>
      </c>
      <c r="I862" s="417" t="n">
        <f aca="false">SQRT(vit_x^2+vit_z^2)</f>
        <v>124.116091093646</v>
      </c>
      <c r="J862" s="418" t="n">
        <f aca="false">J861+0.5*(vit_x+G861)*pas*(K861&gt;=0)</f>
        <v>913.614336176273</v>
      </c>
      <c r="K862" s="419" t="n">
        <f aca="false">K861+0.5*(vit_z+H861)*pas</f>
        <v>-10.3729733189065</v>
      </c>
      <c r="L862" s="417" t="n">
        <f aca="false">SQRT(pos_x^2+pos_z^2)</f>
        <v>913.673220490941</v>
      </c>
      <c r="M862" s="418" t="n">
        <f aca="false">IF(AND(L861&gt;L_rampe,G862&gt;0),ATAN2(G862,H862),$M$4)</f>
        <v>-1.47018571133251</v>
      </c>
      <c r="N862" s="417" t="n">
        <f aca="false">DEGREES(Beta)</f>
        <v>-84.2354363597918</v>
      </c>
      <c r="O862" s="401"/>
      <c r="P862" s="420" t="n">
        <f aca="false">MATCH(t-pas/2-T_ini,CdP_t)</f>
        <v>23</v>
      </c>
      <c r="Q862" s="417" t="n">
        <f aca="false">(INDEX(CdP,2,i_P+1)-INDEX(CdP,2,i_P+0))/(INDEX(CdP,1,i_P+1)-INDEX(CdP,1,i_P+0))*(t-pas/2-T_ini-INDEX(CdP,1,i_P+0))+INDEX(CdP,2,i_P+0)</f>
        <v>0</v>
      </c>
      <c r="R862" s="418" t="n">
        <f aca="false">Poussee/(g*ISP)</f>
        <v>0</v>
      </c>
      <c r="S862" s="419" t="n">
        <f aca="false">S861-Débit*pas</f>
        <v>7.37799999999998</v>
      </c>
      <c r="T862" s="417" t="n">
        <f aca="false">m*g</f>
        <v>72.3781799999998</v>
      </c>
      <c r="U862" s="421" t="n">
        <f aca="false">IF(pos_xz&lt;L_rampe,Poids*COS(Beta),0)</f>
        <v>0</v>
      </c>
      <c r="V862" s="418" t="n">
        <f aca="false">Rho_moyen*(20000-Alt_rampe-pos_z)/(20000+Alt_rampe+pos_z)</f>
        <v>1.22627134861483</v>
      </c>
      <c r="W862" s="417" t="n">
        <f aca="false">1/2*Rho*Sref*Cx*vit_xz^2</f>
        <v>58.0869364920743</v>
      </c>
      <c r="X862" s="401"/>
      <c r="Y862" s="422" t="str">
        <f aca="false">IF(AND(pos_z&lt;=0,K861&gt;0),"Impact balistique","") &amp; IF(AND(H863&lt;0,vit_z&gt;=0),"Apogée","") &amp; IF(AND(Poussee=0,Q861&gt;0),"Fin de propulsion","") &amp; IF(AND(L863&gt;L_rampe,pos_xz&lt;=L_rampe),"Sortie de rampe","")</f>
        <v/>
      </c>
      <c r="Z862" s="423" t="str">
        <f aca="false">IF(ABS(t-T_para)&lt;pas/2,"Para","")</f>
        <v/>
      </c>
      <c r="AA862" s="424" t="str">
        <f aca="false">IF(ABS(t-T_satellite)&lt;pas/2,"Satellite","")</f>
        <v/>
      </c>
      <c r="AB862" s="412"/>
      <c r="AC862" s="420" t="e">
        <f aca="false">IF(ABS(t-ROUND(t,0))&lt;0.001,t,NA())</f>
        <v>#N/A</v>
      </c>
      <c r="AD862" s="425" t="e">
        <f aca="false">IF(ABS(t-ROUND(t,0))&lt;0.001,pos_x,NA())</f>
        <v>#N/A</v>
      </c>
      <c r="AE862" s="426" t="e">
        <f aca="false">IF(t&lt;T_para, pos_z, NA())</f>
        <v>#N/A</v>
      </c>
      <c r="AF862" s="412"/>
      <c r="AG862" s="418" t="n">
        <f aca="false">IF(AND(L861&lt;L_rampe,Poussee&lt;Poids*SIN(M861)),0,(-W861+Poussee)/m-Poids*SIN(M861)/m)</f>
        <v>1.88743170516266</v>
      </c>
      <c r="AH862" s="417" t="n">
        <f aca="false">IF(AND(L861&lt;L_rampe,Poussee&lt;Poids*SIN(M861)), g*SIN(M861), (-W861+Poussee)/m)</f>
        <v>-7.87295853840765</v>
      </c>
    </row>
    <row r="863" customFormat="false" ht="12" hidden="false" customHeight="false" outlineLevel="0" collapsed="false">
      <c r="A863" s="416" t="n">
        <f aca="false">IF(B862+0.01&lt;=T_ini+ROUNDUP(Temps_fin_propu,0), 0.01, IF(K862&gt;0, 0.1, 0.0001))</f>
        <v>0.0001</v>
      </c>
      <c r="B863" s="417" t="n">
        <f aca="false">B862+pas</f>
        <v>36.3136000000007</v>
      </c>
      <c r="C863" s="401"/>
      <c r="D863" s="418" t="n">
        <f aca="false">IF(AND(L862&lt;L_rampe,Poussee&lt;Poids*SIN(M862)),0,(-W862+Poussee)/m*COS(M862)-U862/m*SIN(M862))</f>
        <v>-0.79077091822806</v>
      </c>
      <c r="E863" s="419" t="n">
        <f aca="false">IF(AND(L862&lt;L_rampe,Poussee&lt;Poids*SIN(M862)),0,(-W862+Poussee)/m*SIN(M862)+U862/m*COS(M862)-Poids/m)</f>
        <v>-1.97682135895488</v>
      </c>
      <c r="F863" s="417" t="n">
        <f aca="false">SQRT(acc_x^2+acc_z^2)</f>
        <v>2.12911750035912</v>
      </c>
      <c r="G863" s="418" t="n">
        <f aca="false">G862+acc_x*pas</f>
        <v>12.4662606269678</v>
      </c>
      <c r="H863" s="419" t="n">
        <f aca="false">H862+acc_z*pas</f>
        <v>-123.488636180439</v>
      </c>
      <c r="I863" s="417" t="n">
        <f aca="false">SQRT(vit_x^2+vit_z^2)</f>
        <v>124.116279833567</v>
      </c>
      <c r="J863" s="418" t="n">
        <f aca="false">J862+0.5*(vit_x+G862)*pas*(K862&gt;=0)</f>
        <v>913.614336176273</v>
      </c>
      <c r="K863" s="419" t="n">
        <f aca="false">K862+0.5*(vit_z+H862)*pas</f>
        <v>-10.3853221726404</v>
      </c>
      <c r="L863" s="417" t="n">
        <f aca="false">SQRT(pos_x^2+pos_z^2)</f>
        <v>913.673360771475</v>
      </c>
      <c r="M863" s="418" t="n">
        <f aca="false">IF(AND(L862&gt;L_rampe,G863&gt;0),ATAN2(G863,H863),$M$4)</f>
        <v>-1.47018650520568</v>
      </c>
      <c r="N863" s="417" t="n">
        <f aca="false">DEGREES(Beta)</f>
        <v>-84.2354818453739</v>
      </c>
      <c r="O863" s="401"/>
      <c r="P863" s="420" t="n">
        <f aca="false">MATCH(t-pas/2-T_ini,CdP_t)</f>
        <v>23</v>
      </c>
      <c r="Q863" s="417" t="n">
        <f aca="false">(INDEX(CdP,2,i_P+1)-INDEX(CdP,2,i_P+0))/(INDEX(CdP,1,i_P+1)-INDEX(CdP,1,i_P+0))*(t-pas/2-T_ini-INDEX(CdP,1,i_P+0))+INDEX(CdP,2,i_P+0)</f>
        <v>0</v>
      </c>
      <c r="R863" s="418" t="n">
        <f aca="false">Poussee/(g*ISP)</f>
        <v>0</v>
      </c>
      <c r="S863" s="419" t="n">
        <f aca="false">S862-Débit*pas</f>
        <v>7.37799999999998</v>
      </c>
      <c r="T863" s="417" t="n">
        <f aca="false">m*g</f>
        <v>72.3781799999998</v>
      </c>
      <c r="U863" s="421" t="n">
        <f aca="false">IF(pos_xz&lt;L_rampe,Poids*COS(Beta),0)</f>
        <v>0</v>
      </c>
      <c r="V863" s="418" t="n">
        <f aca="false">Rho_moyen*(20000-Alt_rampe-pos_z)/(20000+Alt_rampe+pos_z)</f>
        <v>1.22627286292072</v>
      </c>
      <c r="W863" s="417" t="n">
        <f aca="false">1/2*Rho*Sref*Cx*vit_xz^2</f>
        <v>58.0871848856075</v>
      </c>
      <c r="X863" s="401"/>
      <c r="Y863" s="422" t="str">
        <f aca="false">IF(AND(pos_z&lt;=0,K862&gt;0),"Impact balistique","") &amp; IF(AND(H864&lt;0,vit_z&gt;=0),"Apogée","") &amp; IF(AND(Poussee=0,Q862&gt;0),"Fin de propulsion","") &amp; IF(AND(L864&gt;L_rampe,pos_xz&lt;=L_rampe),"Sortie de rampe","")</f>
        <v/>
      </c>
      <c r="Z863" s="423" t="str">
        <f aca="false">IF(ABS(t-T_para)&lt;pas/2,"Para","")</f>
        <v/>
      </c>
      <c r="AA863" s="424" t="str">
        <f aca="false">IF(ABS(t-T_satellite)&lt;pas/2,"Satellite","")</f>
        <v/>
      </c>
      <c r="AB863" s="412"/>
      <c r="AC863" s="420" t="e">
        <f aca="false">IF(ABS(t-ROUND(t,0))&lt;0.001,t,NA())</f>
        <v>#N/A</v>
      </c>
      <c r="AD863" s="425" t="e">
        <f aca="false">IF(ABS(t-ROUND(t,0))&lt;0.001,pos_x,NA())</f>
        <v>#N/A</v>
      </c>
      <c r="AE863" s="426" t="e">
        <f aca="false">IF(t&lt;T_para, pos_z, NA())</f>
        <v>#N/A</v>
      </c>
      <c r="AF863" s="412"/>
      <c r="AG863" s="418" t="n">
        <f aca="false">IF(AND(L862&lt;L_rampe,Poussee&lt;Poids*SIN(M862)),0,(-W862+Poussee)/m-Poids*SIN(M862)/m)</f>
        <v>1.88739882031866</v>
      </c>
      <c r="AH863" s="417" t="n">
        <f aca="false">IF(AND(L862&lt;L_rampe,Poussee&lt;Poids*SIN(M862)), g*SIN(M862), (-W862+Poussee)/m)</f>
        <v>-7.87299220548583</v>
      </c>
    </row>
    <row r="864" customFormat="false" ht="12" hidden="false" customHeight="false" outlineLevel="0" collapsed="false">
      <c r="A864" s="416" t="n">
        <f aca="false">IF(B863+0.01&lt;=T_ini+ROUNDUP(Temps_fin_propu,0), 0.01, IF(K863&gt;0, 0.1, 0.0001))</f>
        <v>0.0001</v>
      </c>
      <c r="B864" s="417" t="n">
        <f aca="false">B863+pas</f>
        <v>36.3137000000007</v>
      </c>
      <c r="C864" s="401"/>
      <c r="D864" s="418" t="n">
        <f aca="false">IF(AND(L863&lt;L_rampe,Poussee&lt;Poids*SIN(M863)),0,(-W863+Poussee)/m*COS(M863)-U863/m*SIN(M863))</f>
        <v>-0.790768081175067</v>
      </c>
      <c r="E864" s="419" t="n">
        <f aca="false">IF(AND(L863&lt;L_rampe,Poussee&lt;Poids*SIN(M863)),0,(-W863+Poussee)/m*SIN(M863)+U863/m*COS(M863)-Poids/m)</f>
        <v>-1.97678723465099</v>
      </c>
      <c r="F864" s="417" t="n">
        <f aca="false">SQRT(acc_x^2+acc_z^2)</f>
        <v>2.12908476329253</v>
      </c>
      <c r="G864" s="418" t="n">
        <f aca="false">G863+acc_x*pas</f>
        <v>12.4661815501597</v>
      </c>
      <c r="H864" s="419" t="n">
        <f aca="false">H863+acc_z*pas</f>
        <v>-123.488833859162</v>
      </c>
      <c r="I864" s="417" t="n">
        <f aca="false">SQRT(vit_x^2+vit_z^2)</f>
        <v>124.1164685702</v>
      </c>
      <c r="J864" s="418" t="n">
        <f aca="false">J863+0.5*(vit_x+G863)*pas*(K863&gt;=0)</f>
        <v>913.614336176273</v>
      </c>
      <c r="K864" s="419" t="n">
        <f aca="false">K863+0.5*(vit_z+H863)*pas</f>
        <v>-10.3976710461424</v>
      </c>
      <c r="L864" s="417" t="n">
        <f aca="false">SQRT(pos_x^2+pos_z^2)</f>
        <v>913.673501219115</v>
      </c>
      <c r="M864" s="418" t="n">
        <f aca="false">IF(AND(L863&gt;L_rampe,G864&gt;0),ATAN2(G864,H864),$M$4)</f>
        <v>-1.4701872990714</v>
      </c>
      <c r="N864" s="417" t="n">
        <f aca="false">DEGREES(Beta)</f>
        <v>-84.2355273305292</v>
      </c>
      <c r="O864" s="401"/>
      <c r="P864" s="420" t="n">
        <f aca="false">MATCH(t-pas/2-T_ini,CdP_t)</f>
        <v>23</v>
      </c>
      <c r="Q864" s="417" t="n">
        <f aca="false">(INDEX(CdP,2,i_P+1)-INDEX(CdP,2,i_P+0))/(INDEX(CdP,1,i_P+1)-INDEX(CdP,1,i_P+0))*(t-pas/2-T_ini-INDEX(CdP,1,i_P+0))+INDEX(CdP,2,i_P+0)</f>
        <v>0</v>
      </c>
      <c r="R864" s="418" t="n">
        <f aca="false">Poussee/(g*ISP)</f>
        <v>0</v>
      </c>
      <c r="S864" s="419" t="n">
        <f aca="false">S863-Débit*pas</f>
        <v>7.37799999999998</v>
      </c>
      <c r="T864" s="417" t="n">
        <f aca="false">m*g</f>
        <v>72.3781799999998</v>
      </c>
      <c r="U864" s="421" t="n">
        <f aca="false">IF(pos_xz&lt;L_rampe,Poids*COS(Beta),0)</f>
        <v>0</v>
      </c>
      <c r="V864" s="418" t="n">
        <f aca="false">Rho_moyen*(20000-Alt_rampe-pos_z)/(20000+Alt_rampe+pos_z)</f>
        <v>1.22627437723091</v>
      </c>
      <c r="W864" s="417" t="n">
        <f aca="false">1/2*Rho*Sref*Cx*vit_xz^2</f>
        <v>58.0874332769711</v>
      </c>
      <c r="X864" s="401"/>
      <c r="Y864" s="422" t="str">
        <f aca="false">IF(AND(pos_z&lt;=0,K863&gt;0),"Impact balistique","") &amp; IF(AND(H865&lt;0,vit_z&gt;=0),"Apogée","") &amp; IF(AND(Poussee=0,Q863&gt;0),"Fin de propulsion","") &amp; IF(AND(L865&gt;L_rampe,pos_xz&lt;=L_rampe),"Sortie de rampe","")</f>
        <v/>
      </c>
      <c r="Z864" s="423" t="str">
        <f aca="false">IF(ABS(t-T_para)&lt;pas/2,"Para","")</f>
        <v/>
      </c>
      <c r="AA864" s="424" t="str">
        <f aca="false">IF(ABS(t-T_satellite)&lt;pas/2,"Satellite","")</f>
        <v/>
      </c>
      <c r="AB864" s="412"/>
      <c r="AC864" s="420" t="e">
        <f aca="false">IF(ABS(t-ROUND(t,0))&lt;0.001,t,NA())</f>
        <v>#N/A</v>
      </c>
      <c r="AD864" s="425" t="e">
        <f aca="false">IF(ABS(t-ROUND(t,0))&lt;0.001,pos_x,NA())</f>
        <v>#N/A</v>
      </c>
      <c r="AE864" s="426" t="e">
        <f aca="false">IF(t&lt;T_para, pos_z, NA())</f>
        <v>#N/A</v>
      </c>
      <c r="AF864" s="412"/>
      <c r="AG864" s="418" t="n">
        <f aca="false">IF(AND(L863&lt;L_rampe,Poussee&lt;Poids*SIN(M863)),0,(-W863+Poussee)/m-Poids*SIN(M863)/m)</f>
        <v>1.88736593575522</v>
      </c>
      <c r="AH864" s="417" t="n">
        <f aca="false">IF(AND(L863&lt;L_rampe,Poussee&lt;Poids*SIN(M863)), g*SIN(M863), (-W863+Poussee)/m)</f>
        <v>-7.87302587226995</v>
      </c>
    </row>
    <row r="865" customFormat="false" ht="12" hidden="false" customHeight="false" outlineLevel="0" collapsed="false">
      <c r="A865" s="416" t="n">
        <f aca="false">IF(B864+0.01&lt;=T_ini+ROUNDUP(Temps_fin_propu,0), 0.01, IF(K864&gt;0, 0.1, 0.0001))</f>
        <v>0.0001</v>
      </c>
      <c r="B865" s="417" t="n">
        <f aca="false">B864+pas</f>
        <v>36.3138000000007</v>
      </c>
      <c r="C865" s="401"/>
      <c r="D865" s="418" t="n">
        <f aca="false">IF(AND(L864&lt;L_rampe,Poussee&lt;Poids*SIN(M864)),0,(-W864+Poussee)/m*COS(M864)-U864/m*SIN(M864))</f>
        <v>-0.790765244097216</v>
      </c>
      <c r="E865" s="419" t="n">
        <f aca="false">IF(AND(L864&lt;L_rampe,Poussee&lt;Poids*SIN(M864)),0,(-W864+Poussee)/m*SIN(M864)+U864/m*COS(M864)-Poids/m)</f>
        <v>-1.97675311064515</v>
      </c>
      <c r="F865" s="417" t="n">
        <f aca="false">SQRT(acc_x^2+acc_z^2)</f>
        <v>2.12905202654078</v>
      </c>
      <c r="G865" s="418" t="n">
        <f aca="false">G864+acc_x*pas</f>
        <v>12.4661024736352</v>
      </c>
      <c r="H865" s="419" t="n">
        <f aca="false">H864+acc_z*pas</f>
        <v>-123.489031534473</v>
      </c>
      <c r="I865" s="417" t="n">
        <f aca="false">SQRT(vit_x^2+vit_z^2)</f>
        <v>124.116657303544</v>
      </c>
      <c r="J865" s="418" t="n">
        <f aca="false">J864+0.5*(vit_x+G864)*pas*(K864&gt;=0)</f>
        <v>913.614336176273</v>
      </c>
      <c r="K865" s="419" t="n">
        <f aca="false">K864+0.5*(vit_z+H864)*pas</f>
        <v>-10.4100199394121</v>
      </c>
      <c r="L865" s="417" t="n">
        <f aca="false">SQRT(pos_x^2+pos_z^2)</f>
        <v>913.673641833861</v>
      </c>
      <c r="M865" s="418" t="n">
        <f aca="false">IF(AND(L864&gt;L_rampe,G865&gt;0),ATAN2(G865,H865),$M$4)</f>
        <v>-1.47018809292968</v>
      </c>
      <c r="N865" s="417" t="n">
        <f aca="false">DEGREES(Beta)</f>
        <v>-84.2355728152577</v>
      </c>
      <c r="O865" s="401"/>
      <c r="P865" s="420" t="n">
        <f aca="false">MATCH(t-pas/2-T_ini,CdP_t)</f>
        <v>23</v>
      </c>
      <c r="Q865" s="417" t="n">
        <f aca="false">(INDEX(CdP,2,i_P+1)-INDEX(CdP,2,i_P+0))/(INDEX(CdP,1,i_P+1)-INDEX(CdP,1,i_P+0))*(t-pas/2-T_ini-INDEX(CdP,1,i_P+0))+INDEX(CdP,2,i_P+0)</f>
        <v>0</v>
      </c>
      <c r="R865" s="418" t="n">
        <f aca="false">Poussee/(g*ISP)</f>
        <v>0</v>
      </c>
      <c r="S865" s="419" t="n">
        <f aca="false">S864-Débit*pas</f>
        <v>7.37799999999998</v>
      </c>
      <c r="T865" s="417" t="n">
        <f aca="false">m*g</f>
        <v>72.3781799999998</v>
      </c>
      <c r="U865" s="421" t="n">
        <f aca="false">IF(pos_xz&lt;L_rampe,Poids*COS(Beta),0)</f>
        <v>0</v>
      </c>
      <c r="V865" s="418" t="n">
        <f aca="false">Rho_moyen*(20000-Alt_rampe-pos_z)/(20000+Alt_rampe+pos_z)</f>
        <v>1.2262758915454</v>
      </c>
      <c r="W865" s="417" t="n">
        <f aca="false">1/2*Rho*Sref*Cx*vit_xz^2</f>
        <v>58.087681666165</v>
      </c>
      <c r="X865" s="401"/>
      <c r="Y865" s="422" t="str">
        <f aca="false">IF(AND(pos_z&lt;=0,K864&gt;0),"Impact balistique","") &amp; IF(AND(H866&lt;0,vit_z&gt;=0),"Apogée","") &amp; IF(AND(Poussee=0,Q864&gt;0),"Fin de propulsion","") &amp; IF(AND(L866&gt;L_rampe,pos_xz&lt;=L_rampe),"Sortie de rampe","")</f>
        <v/>
      </c>
      <c r="Z865" s="423" t="str">
        <f aca="false">IF(ABS(t-T_para)&lt;pas/2,"Para","")</f>
        <v/>
      </c>
      <c r="AA865" s="424" t="str">
        <f aca="false">IF(ABS(t-T_satellite)&lt;pas/2,"Satellite","")</f>
        <v/>
      </c>
      <c r="AB865" s="412"/>
      <c r="AC865" s="420" t="e">
        <f aca="false">IF(ABS(t-ROUND(t,0))&lt;0.001,t,NA())</f>
        <v>#N/A</v>
      </c>
      <c r="AD865" s="425" t="e">
        <f aca="false">IF(ABS(t-ROUND(t,0))&lt;0.001,pos_x,NA())</f>
        <v>#N/A</v>
      </c>
      <c r="AE865" s="426" t="e">
        <f aca="false">IF(t&lt;T_para, pos_z, NA())</f>
        <v>#N/A</v>
      </c>
      <c r="AF865" s="412"/>
      <c r="AG865" s="418" t="n">
        <f aca="false">IF(AND(L864&lt;L_rampe,Poussee&lt;Poids*SIN(M864)),0,(-W864+Poussee)/m-Poids*SIN(M864)/m)</f>
        <v>1.88733305147236</v>
      </c>
      <c r="AH865" s="417" t="n">
        <f aca="false">IF(AND(L864&lt;L_rampe,Poussee&lt;Poids*SIN(M864)), g*SIN(M864), (-W864+Poussee)/m)</f>
        <v>-7.87305953875999</v>
      </c>
    </row>
    <row r="866" customFormat="false" ht="12" hidden="false" customHeight="false" outlineLevel="0" collapsed="false">
      <c r="A866" s="416" t="n">
        <f aca="false">IF(B865+0.01&lt;=T_ini+ROUNDUP(Temps_fin_propu,0), 0.01, IF(K865&gt;0, 0.1, 0.0001))</f>
        <v>0.0001</v>
      </c>
      <c r="B866" s="417" t="n">
        <f aca="false">B865+pas</f>
        <v>36.3139000000007</v>
      </c>
      <c r="C866" s="401"/>
      <c r="D866" s="418" t="n">
        <f aca="false">IF(AND(L865&lt;L_rampe,Poussee&lt;Poids*SIN(M865)),0,(-W865+Poussee)/m*COS(M865)-U865/m*SIN(M865))</f>
        <v>-0.790762406994505</v>
      </c>
      <c r="E866" s="419" t="n">
        <f aca="false">IF(AND(L865&lt;L_rampe,Poussee&lt;Poids*SIN(M865)),0,(-W865+Poussee)/m*SIN(M865)+U865/m*COS(M865)-Poids/m)</f>
        <v>-1.97671898693734</v>
      </c>
      <c r="F866" s="417" t="n">
        <f aca="false">SQRT(acc_x^2+acc_z^2)</f>
        <v>2.12901929010385</v>
      </c>
      <c r="G866" s="418" t="n">
        <f aca="false">G865+acc_x*pas</f>
        <v>12.4660233973945</v>
      </c>
      <c r="H866" s="419" t="n">
        <f aca="false">H865+acc_z*pas</f>
        <v>-123.489229206372</v>
      </c>
      <c r="I866" s="417" t="n">
        <f aca="false">SQRT(vit_x^2+vit_z^2)</f>
        <v>124.1168460336</v>
      </c>
      <c r="J866" s="418" t="n">
        <f aca="false">J865+0.5*(vit_x+G865)*pas*(K865&gt;=0)</f>
        <v>913.614336176273</v>
      </c>
      <c r="K866" s="419" t="n">
        <f aca="false">K865+0.5*(vit_z+H865)*pas</f>
        <v>-10.4223688524491</v>
      </c>
      <c r="L866" s="417" t="n">
        <f aca="false">SQRT(pos_x^2+pos_z^2)</f>
        <v>913.673782615715</v>
      </c>
      <c r="M866" s="418" t="n">
        <f aca="false">IF(AND(L865&gt;L_rampe,G866&gt;0),ATAN2(G866,H866),$M$4)</f>
        <v>-1.4701888867805</v>
      </c>
      <c r="N866" s="417" t="n">
        <f aca="false">DEGREES(Beta)</f>
        <v>-84.2356182995593</v>
      </c>
      <c r="O866" s="401"/>
      <c r="P866" s="420" t="n">
        <f aca="false">MATCH(t-pas/2-T_ini,CdP_t)</f>
        <v>23</v>
      </c>
      <c r="Q866" s="417" t="n">
        <f aca="false">(INDEX(CdP,2,i_P+1)-INDEX(CdP,2,i_P+0))/(INDEX(CdP,1,i_P+1)-INDEX(CdP,1,i_P+0))*(t-pas/2-T_ini-INDEX(CdP,1,i_P+0))+INDEX(CdP,2,i_P+0)</f>
        <v>0</v>
      </c>
      <c r="R866" s="418" t="n">
        <f aca="false">Poussee/(g*ISP)</f>
        <v>0</v>
      </c>
      <c r="S866" s="419" t="n">
        <f aca="false">S865-Débit*pas</f>
        <v>7.37799999999998</v>
      </c>
      <c r="T866" s="417" t="n">
        <f aca="false">m*g</f>
        <v>72.3781799999998</v>
      </c>
      <c r="U866" s="421" t="n">
        <f aca="false">IF(pos_xz&lt;L_rampe,Poids*COS(Beta),0)</f>
        <v>0</v>
      </c>
      <c r="V866" s="418" t="n">
        <f aca="false">Rho_moyen*(20000-Alt_rampe-pos_z)/(20000+Alt_rampe+pos_z)</f>
        <v>1.22627740586418</v>
      </c>
      <c r="W866" s="417" t="n">
        <f aca="false">1/2*Rho*Sref*Cx*vit_xz^2</f>
        <v>58.0879300531893</v>
      </c>
      <c r="X866" s="401"/>
      <c r="Y866" s="422" t="str">
        <f aca="false">IF(AND(pos_z&lt;=0,K865&gt;0),"Impact balistique","") &amp; IF(AND(H867&lt;0,vit_z&gt;=0),"Apogée","") &amp; IF(AND(Poussee=0,Q865&gt;0),"Fin de propulsion","") &amp; IF(AND(L867&gt;L_rampe,pos_xz&lt;=L_rampe),"Sortie de rampe","")</f>
        <v/>
      </c>
      <c r="Z866" s="423" t="str">
        <f aca="false">IF(ABS(t-T_para)&lt;pas/2,"Para","")</f>
        <v/>
      </c>
      <c r="AA866" s="424" t="str">
        <f aca="false">IF(ABS(t-T_satellite)&lt;pas/2,"Satellite","")</f>
        <v/>
      </c>
      <c r="AB866" s="412"/>
      <c r="AC866" s="420" t="e">
        <f aca="false">IF(ABS(t-ROUND(t,0))&lt;0.001,t,NA())</f>
        <v>#N/A</v>
      </c>
      <c r="AD866" s="425" t="e">
        <f aca="false">IF(ABS(t-ROUND(t,0))&lt;0.001,pos_x,NA())</f>
        <v>#N/A</v>
      </c>
      <c r="AE866" s="426" t="e">
        <f aca="false">IF(t&lt;T_para, pos_z, NA())</f>
        <v>#N/A</v>
      </c>
      <c r="AF866" s="412"/>
      <c r="AG866" s="418" t="n">
        <f aca="false">IF(AND(L865&lt;L_rampe,Poussee&lt;Poids*SIN(M865)),0,(-W865+Poussee)/m-Poids*SIN(M865)/m)</f>
        <v>1.88730016747008</v>
      </c>
      <c r="AH866" s="417" t="n">
        <f aca="false">IF(AND(L865&lt;L_rampe,Poussee&lt;Poids*SIN(M865)), g*SIN(M865), (-W865+Poussee)/m)</f>
        <v>-7.87309320495597</v>
      </c>
    </row>
    <row r="867" customFormat="false" ht="12" hidden="false" customHeight="false" outlineLevel="0" collapsed="false">
      <c r="A867" s="416" t="n">
        <f aca="false">IF(B866+0.01&lt;=T_ini+ROUNDUP(Temps_fin_propu,0), 0.01, IF(K866&gt;0, 0.1, 0.0001))</f>
        <v>0.0001</v>
      </c>
      <c r="B867" s="417" t="n">
        <f aca="false">B866+pas</f>
        <v>36.3140000000007</v>
      </c>
      <c r="C867" s="401"/>
      <c r="D867" s="418" t="n">
        <f aca="false">IF(AND(L866&lt;L_rampe,Poussee&lt;Poids*SIN(M866)),0,(-W866+Poussee)/m*COS(M866)-U866/m*SIN(M866))</f>
        <v>-0.790759569866935</v>
      </c>
      <c r="E867" s="419" t="n">
        <f aca="false">IF(AND(L866&lt;L_rampe,Poussee&lt;Poids*SIN(M866)),0,(-W866+Poussee)/m*SIN(M866)+U866/m*COS(M866)-Poids/m)</f>
        <v>-1.97668486352757</v>
      </c>
      <c r="F867" s="417" t="n">
        <f aca="false">SQRT(acc_x^2+acc_z^2)</f>
        <v>2.12898655398176</v>
      </c>
      <c r="G867" s="418" t="n">
        <f aca="false">G866+acc_x*pas</f>
        <v>12.4659443214376</v>
      </c>
      <c r="H867" s="419" t="n">
        <f aca="false">H866+acc_z*pas</f>
        <v>-123.489426874858</v>
      </c>
      <c r="I867" s="417" t="n">
        <f aca="false">SQRT(vit_x^2+vit_z^2)</f>
        <v>124.117034760367</v>
      </c>
      <c r="J867" s="418" t="n">
        <f aca="false">J866+0.5*(vit_x+G866)*pas*(K866&gt;=0)</f>
        <v>913.614336176273</v>
      </c>
      <c r="K867" s="419" t="n">
        <f aca="false">K866+0.5*(vit_z+H866)*pas</f>
        <v>-10.4347177852532</v>
      </c>
      <c r="L867" s="417" t="n">
        <f aca="false">SQRT(pos_x^2+pos_z^2)</f>
        <v>913.673923564676</v>
      </c>
      <c r="M867" s="418" t="n">
        <f aca="false">IF(AND(L866&gt;L_rampe,G867&gt;0),ATAN2(G867,H867),$M$4)</f>
        <v>-1.47018968062387</v>
      </c>
      <c r="N867" s="417" t="n">
        <f aca="false">DEGREES(Beta)</f>
        <v>-84.235663783434</v>
      </c>
      <c r="O867" s="401"/>
      <c r="P867" s="420" t="n">
        <f aca="false">MATCH(t-pas/2-T_ini,CdP_t)</f>
        <v>23</v>
      </c>
      <c r="Q867" s="417" t="n">
        <f aca="false">(INDEX(CdP,2,i_P+1)-INDEX(CdP,2,i_P+0))/(INDEX(CdP,1,i_P+1)-INDEX(CdP,1,i_P+0))*(t-pas/2-T_ini-INDEX(CdP,1,i_P+0))+INDEX(CdP,2,i_P+0)</f>
        <v>0</v>
      </c>
      <c r="R867" s="418" t="n">
        <f aca="false">Poussee/(g*ISP)</f>
        <v>0</v>
      </c>
      <c r="S867" s="419" t="n">
        <f aca="false">S866-Débit*pas</f>
        <v>7.37799999999998</v>
      </c>
      <c r="T867" s="417" t="n">
        <f aca="false">m*g</f>
        <v>72.3781799999998</v>
      </c>
      <c r="U867" s="421" t="n">
        <f aca="false">IF(pos_xz&lt;L_rampe,Poids*COS(Beta),0)</f>
        <v>0</v>
      </c>
      <c r="V867" s="418" t="n">
        <f aca="false">Rho_moyen*(20000-Alt_rampe-pos_z)/(20000+Alt_rampe+pos_z)</f>
        <v>1.22627892018726</v>
      </c>
      <c r="W867" s="417" t="n">
        <f aca="false">1/2*Rho*Sref*Cx*vit_xz^2</f>
        <v>58.0881784380439</v>
      </c>
      <c r="X867" s="401"/>
      <c r="Y867" s="422" t="str">
        <f aca="false">IF(AND(pos_z&lt;=0,K866&gt;0),"Impact balistique","") &amp; IF(AND(H868&lt;0,vit_z&gt;=0),"Apogée","") &amp; IF(AND(Poussee=0,Q866&gt;0),"Fin de propulsion","") &amp; IF(AND(L868&gt;L_rampe,pos_xz&lt;=L_rampe),"Sortie de rampe","")</f>
        <v/>
      </c>
      <c r="Z867" s="423" t="str">
        <f aca="false">IF(ABS(t-T_para)&lt;pas/2,"Para","")</f>
        <v/>
      </c>
      <c r="AA867" s="424" t="str">
        <f aca="false">IF(ABS(t-T_satellite)&lt;pas/2,"Satellite","")</f>
        <v/>
      </c>
      <c r="AB867" s="412"/>
      <c r="AC867" s="420" t="e">
        <f aca="false">IF(ABS(t-ROUND(t,0))&lt;0.001,t,NA())</f>
        <v>#N/A</v>
      </c>
      <c r="AD867" s="425" t="e">
        <f aca="false">IF(ABS(t-ROUND(t,0))&lt;0.001,pos_x,NA())</f>
        <v>#N/A</v>
      </c>
      <c r="AE867" s="426" t="e">
        <f aca="false">IF(t&lt;T_para, pos_z, NA())</f>
        <v>#N/A</v>
      </c>
      <c r="AF867" s="412"/>
      <c r="AG867" s="418" t="n">
        <f aca="false">IF(AND(L866&lt;L_rampe,Poussee&lt;Poids*SIN(M866)),0,(-W866+Poussee)/m-Poids*SIN(M866)/m)</f>
        <v>1.88726728374838</v>
      </c>
      <c r="AH867" s="417" t="n">
        <f aca="false">IF(AND(L866&lt;L_rampe,Poussee&lt;Poids*SIN(M866)), g*SIN(M866), (-W866+Poussee)/m)</f>
        <v>-7.87312687085787</v>
      </c>
    </row>
    <row r="868" customFormat="false" ht="12" hidden="false" customHeight="false" outlineLevel="0" collapsed="false">
      <c r="A868" s="416" t="n">
        <f aca="false">IF(B867+0.01&lt;=T_ini+ROUNDUP(Temps_fin_propu,0), 0.01, IF(K867&gt;0, 0.1, 0.0001))</f>
        <v>0.0001</v>
      </c>
      <c r="B868" s="417" t="n">
        <f aca="false">B867+pas</f>
        <v>36.3141000000007</v>
      </c>
      <c r="C868" s="401"/>
      <c r="D868" s="418" t="n">
        <f aca="false">IF(AND(L867&lt;L_rampe,Poussee&lt;Poids*SIN(M867)),0,(-W867+Poussee)/m*COS(M867)-U867/m*SIN(M867))</f>
        <v>-0.790756732714508</v>
      </c>
      <c r="E868" s="419" t="n">
        <f aca="false">IF(AND(L867&lt;L_rampe,Poussee&lt;Poids*SIN(M867)),0,(-W867+Poussee)/m*SIN(M867)+U867/m*COS(M867)-Poids/m)</f>
        <v>-1.97665074041583</v>
      </c>
      <c r="F868" s="417" t="n">
        <f aca="false">SQRT(acc_x^2+acc_z^2)</f>
        <v>2.1289538181745</v>
      </c>
      <c r="G868" s="418" t="n">
        <f aca="false">G867+acc_x*pas</f>
        <v>12.4658652457643</v>
      </c>
      <c r="H868" s="419" t="n">
        <f aca="false">H867+acc_z*pas</f>
        <v>-123.489624539933</v>
      </c>
      <c r="I868" s="417" t="n">
        <f aca="false">SQRT(vit_x^2+vit_z^2)</f>
        <v>124.117223483846</v>
      </c>
      <c r="J868" s="418" t="n">
        <f aca="false">J867+0.5*(vit_x+G867)*pas*(K867&gt;=0)</f>
        <v>913.614336176273</v>
      </c>
      <c r="K868" s="419" t="n">
        <f aca="false">K867+0.5*(vit_z+H867)*pas</f>
        <v>-10.4470667378239</v>
      </c>
      <c r="L868" s="417" t="n">
        <f aca="false">SQRT(pos_x^2+pos_z^2)</f>
        <v>913.674064680746</v>
      </c>
      <c r="M868" s="418" t="n">
        <f aca="false">IF(AND(L867&gt;L_rampe,G868&gt;0),ATAN2(G868,H868),$M$4)</f>
        <v>-1.47019047445979</v>
      </c>
      <c r="N868" s="417" t="n">
        <f aca="false">DEGREES(Beta)</f>
        <v>-84.2357092668819</v>
      </c>
      <c r="O868" s="401"/>
      <c r="P868" s="420" t="n">
        <f aca="false">MATCH(t-pas/2-T_ini,CdP_t)</f>
        <v>23</v>
      </c>
      <c r="Q868" s="417" t="n">
        <f aca="false">(INDEX(CdP,2,i_P+1)-INDEX(CdP,2,i_P+0))/(INDEX(CdP,1,i_P+1)-INDEX(CdP,1,i_P+0))*(t-pas/2-T_ini-INDEX(CdP,1,i_P+0))+INDEX(CdP,2,i_P+0)</f>
        <v>0</v>
      </c>
      <c r="R868" s="418" t="n">
        <f aca="false">Poussee/(g*ISP)</f>
        <v>0</v>
      </c>
      <c r="S868" s="419" t="n">
        <f aca="false">S867-Débit*pas</f>
        <v>7.37799999999998</v>
      </c>
      <c r="T868" s="417" t="n">
        <f aca="false">m*g</f>
        <v>72.3781799999998</v>
      </c>
      <c r="U868" s="421" t="n">
        <f aca="false">IF(pos_xz&lt;L_rampe,Poids*COS(Beta),0)</f>
        <v>0</v>
      </c>
      <c r="V868" s="418" t="n">
        <f aca="false">Rho_moyen*(20000-Alt_rampe-pos_z)/(20000+Alt_rampe+pos_z)</f>
        <v>1.22628043451462</v>
      </c>
      <c r="W868" s="417" t="n">
        <f aca="false">1/2*Rho*Sref*Cx*vit_xz^2</f>
        <v>58.088426820729</v>
      </c>
      <c r="X868" s="401"/>
      <c r="Y868" s="422" t="str">
        <f aca="false">IF(AND(pos_z&lt;=0,K867&gt;0),"Impact balistique","") &amp; IF(AND(H869&lt;0,vit_z&gt;=0),"Apogée","") &amp; IF(AND(Poussee=0,Q867&gt;0),"Fin de propulsion","") &amp; IF(AND(L869&gt;L_rampe,pos_xz&lt;=L_rampe),"Sortie de rampe","")</f>
        <v/>
      </c>
      <c r="Z868" s="423" t="str">
        <f aca="false">IF(ABS(t-T_para)&lt;pas/2,"Para","")</f>
        <v/>
      </c>
      <c r="AA868" s="424" t="str">
        <f aca="false">IF(ABS(t-T_satellite)&lt;pas/2,"Satellite","")</f>
        <v/>
      </c>
      <c r="AB868" s="412"/>
      <c r="AC868" s="420" t="e">
        <f aca="false">IF(ABS(t-ROUND(t,0))&lt;0.001,t,NA())</f>
        <v>#N/A</v>
      </c>
      <c r="AD868" s="425" t="e">
        <f aca="false">IF(ABS(t-ROUND(t,0))&lt;0.001,pos_x,NA())</f>
        <v>#N/A</v>
      </c>
      <c r="AE868" s="426" t="e">
        <f aca="false">IF(t&lt;T_para, pos_z, NA())</f>
        <v>#N/A</v>
      </c>
      <c r="AF868" s="412"/>
      <c r="AG868" s="418" t="n">
        <f aca="false">IF(AND(L867&lt;L_rampe,Poussee&lt;Poids*SIN(M867)),0,(-W867+Poussee)/m-Poids*SIN(M867)/m)</f>
        <v>1.88723440030724</v>
      </c>
      <c r="AH868" s="417" t="n">
        <f aca="false">IF(AND(L867&lt;L_rampe,Poussee&lt;Poids*SIN(M867)), g*SIN(M867), (-W867+Poussee)/m)</f>
        <v>-7.87316053646572</v>
      </c>
    </row>
    <row r="869" customFormat="false" ht="12" hidden="false" customHeight="false" outlineLevel="0" collapsed="false">
      <c r="A869" s="416" t="n">
        <f aca="false">IF(B868+0.01&lt;=T_ini+ROUNDUP(Temps_fin_propu,0), 0.01, IF(K868&gt;0, 0.1, 0.0001))</f>
        <v>0.0001</v>
      </c>
      <c r="B869" s="417" t="n">
        <f aca="false">B868+pas</f>
        <v>36.3142000000007</v>
      </c>
      <c r="C869" s="401"/>
      <c r="D869" s="418" t="n">
        <f aca="false">IF(AND(L868&lt;L_rampe,Poussee&lt;Poids*SIN(M868)),0,(-W868+Poussee)/m*COS(M868)-U868/m*SIN(M868))</f>
        <v>-0.790753895537225</v>
      </c>
      <c r="E869" s="419" t="n">
        <f aca="false">IF(AND(L868&lt;L_rampe,Poussee&lt;Poids*SIN(M868)),0,(-W868+Poussee)/m*SIN(M868)+U868/m*COS(M868)-Poids/m)</f>
        <v>-1.97661661760214</v>
      </c>
      <c r="F869" s="417" t="n">
        <f aca="false">SQRT(acc_x^2+acc_z^2)</f>
        <v>2.12892108268208</v>
      </c>
      <c r="G869" s="418" t="n">
        <f aca="false">G868+acc_x*pas</f>
        <v>12.4657861703747</v>
      </c>
      <c r="H869" s="419" t="n">
        <f aca="false">H868+acc_z*pas</f>
        <v>-123.489822201594</v>
      </c>
      <c r="I869" s="417" t="n">
        <f aca="false">SQRT(vit_x^2+vit_z^2)</f>
        <v>124.117412204037</v>
      </c>
      <c r="J869" s="418" t="n">
        <f aca="false">J868+0.5*(vit_x+G868)*pas*(K868&gt;=0)</f>
        <v>913.614336176273</v>
      </c>
      <c r="K869" s="419" t="n">
        <f aca="false">K868+0.5*(vit_z+H868)*pas</f>
        <v>-10.459415710161</v>
      </c>
      <c r="L869" s="417" t="n">
        <f aca="false">SQRT(pos_x^2+pos_z^2)</f>
        <v>913.674205963926</v>
      </c>
      <c r="M869" s="418" t="n">
        <f aca="false">IF(AND(L868&gt;L_rampe,G869&gt;0),ATAN2(G869,H869),$M$4)</f>
        <v>-1.47019126828826</v>
      </c>
      <c r="N869" s="417" t="n">
        <f aca="false">DEGREES(Beta)</f>
        <v>-84.235754749903</v>
      </c>
      <c r="O869" s="401"/>
      <c r="P869" s="420" t="n">
        <f aca="false">MATCH(t-pas/2-T_ini,CdP_t)</f>
        <v>23</v>
      </c>
      <c r="Q869" s="417" t="n">
        <f aca="false">(INDEX(CdP,2,i_P+1)-INDEX(CdP,2,i_P+0))/(INDEX(CdP,1,i_P+1)-INDEX(CdP,1,i_P+0))*(t-pas/2-T_ini-INDEX(CdP,1,i_P+0))+INDEX(CdP,2,i_P+0)</f>
        <v>0</v>
      </c>
      <c r="R869" s="418" t="n">
        <f aca="false">Poussee/(g*ISP)</f>
        <v>0</v>
      </c>
      <c r="S869" s="419" t="n">
        <f aca="false">S868-Débit*pas</f>
        <v>7.37799999999998</v>
      </c>
      <c r="T869" s="417" t="n">
        <f aca="false">m*g</f>
        <v>72.3781799999998</v>
      </c>
      <c r="U869" s="421" t="n">
        <f aca="false">IF(pos_xz&lt;L_rampe,Poids*COS(Beta),0)</f>
        <v>0</v>
      </c>
      <c r="V869" s="418" t="n">
        <f aca="false">Rho_moyen*(20000-Alt_rampe-pos_z)/(20000+Alt_rampe+pos_z)</f>
        <v>1.22628194884629</v>
      </c>
      <c r="W869" s="417" t="n">
        <f aca="false">1/2*Rho*Sref*Cx*vit_xz^2</f>
        <v>58.0886752012444</v>
      </c>
      <c r="X869" s="401"/>
      <c r="Y869" s="422" t="str">
        <f aca="false">IF(AND(pos_z&lt;=0,K868&gt;0),"Impact balistique","") &amp; IF(AND(H870&lt;0,vit_z&gt;=0),"Apogée","") &amp; IF(AND(Poussee=0,Q868&gt;0),"Fin de propulsion","") &amp; IF(AND(L870&gt;L_rampe,pos_xz&lt;=L_rampe),"Sortie de rampe","")</f>
        <v/>
      </c>
      <c r="Z869" s="423" t="str">
        <f aca="false">IF(ABS(t-T_para)&lt;pas/2,"Para","")</f>
        <v/>
      </c>
      <c r="AA869" s="424" t="str">
        <f aca="false">IF(ABS(t-T_satellite)&lt;pas/2,"Satellite","")</f>
        <v/>
      </c>
      <c r="AB869" s="412"/>
      <c r="AC869" s="420" t="e">
        <f aca="false">IF(ABS(t-ROUND(t,0))&lt;0.001,t,NA())</f>
        <v>#N/A</v>
      </c>
      <c r="AD869" s="425" t="e">
        <f aca="false">IF(ABS(t-ROUND(t,0))&lt;0.001,pos_x,NA())</f>
        <v>#N/A</v>
      </c>
      <c r="AE869" s="426" t="e">
        <f aca="false">IF(t&lt;T_para, pos_z, NA())</f>
        <v>#N/A</v>
      </c>
      <c r="AF869" s="412"/>
      <c r="AG869" s="418" t="n">
        <f aca="false">IF(AND(L868&lt;L_rampe,Poussee&lt;Poids*SIN(M868)),0,(-W868+Poussee)/m-Poids*SIN(M868)/m)</f>
        <v>1.88720151714669</v>
      </c>
      <c r="AH869" s="417" t="n">
        <f aca="false">IF(AND(L868&lt;L_rampe,Poussee&lt;Poids*SIN(M868)), g*SIN(M868), (-W868+Poussee)/m)</f>
        <v>-7.87319420177949</v>
      </c>
    </row>
    <row r="870" customFormat="false" ht="12" hidden="false" customHeight="false" outlineLevel="0" collapsed="false">
      <c r="A870" s="416" t="n">
        <f aca="false">IF(B869+0.01&lt;=T_ini+ROUNDUP(Temps_fin_propu,0), 0.01, IF(K869&gt;0, 0.1, 0.0001))</f>
        <v>0.0001</v>
      </c>
      <c r="B870" s="417" t="n">
        <f aca="false">B869+pas</f>
        <v>36.3143000000007</v>
      </c>
      <c r="C870" s="401"/>
      <c r="D870" s="418" t="n">
        <f aca="false">IF(AND(L869&lt;L_rampe,Poussee&lt;Poids*SIN(M869)),0,(-W869+Poussee)/m*COS(M869)-U869/m*SIN(M869))</f>
        <v>-0.790751058335085</v>
      </c>
      <c r="E870" s="419" t="n">
        <f aca="false">IF(AND(L869&lt;L_rampe,Poussee&lt;Poids*SIN(M869)),0,(-W869+Poussee)/m*SIN(M869)+U869/m*COS(M869)-Poids/m)</f>
        <v>-1.97658249508649</v>
      </c>
      <c r="F870" s="417" t="n">
        <f aca="false">SQRT(acc_x^2+acc_z^2)</f>
        <v>2.12888834750448</v>
      </c>
      <c r="G870" s="418" t="n">
        <f aca="false">G869+acc_x*pas</f>
        <v>12.4657070952689</v>
      </c>
      <c r="H870" s="419" t="n">
        <f aca="false">H869+acc_z*pas</f>
        <v>-123.490019859844</v>
      </c>
      <c r="I870" s="417" t="n">
        <f aca="false">SQRT(vit_x^2+vit_z^2)</f>
        <v>124.11760092094</v>
      </c>
      <c r="J870" s="418" t="n">
        <f aca="false">J869+0.5*(vit_x+G869)*pas*(K869&gt;=0)</f>
        <v>913.614336176273</v>
      </c>
      <c r="K870" s="419" t="n">
        <f aca="false">K869+0.5*(vit_z+H869)*pas</f>
        <v>-10.4717647022641</v>
      </c>
      <c r="L870" s="417" t="n">
        <f aca="false">SQRT(pos_x^2+pos_z^2)</f>
        <v>913.674347414215</v>
      </c>
      <c r="M870" s="418" t="n">
        <f aca="false">IF(AND(L869&gt;L_rampe,G870&gt;0),ATAN2(G870,H870),$M$4)</f>
        <v>-1.47019206210928</v>
      </c>
      <c r="N870" s="417" t="n">
        <f aca="false">DEGREES(Beta)</f>
        <v>-84.2358002324973</v>
      </c>
      <c r="O870" s="401"/>
      <c r="P870" s="420" t="n">
        <f aca="false">MATCH(t-pas/2-T_ini,CdP_t)</f>
        <v>23</v>
      </c>
      <c r="Q870" s="417" t="n">
        <f aca="false">(INDEX(CdP,2,i_P+1)-INDEX(CdP,2,i_P+0))/(INDEX(CdP,1,i_P+1)-INDEX(CdP,1,i_P+0))*(t-pas/2-T_ini-INDEX(CdP,1,i_P+0))+INDEX(CdP,2,i_P+0)</f>
        <v>0</v>
      </c>
      <c r="R870" s="418" t="n">
        <f aca="false">Poussee/(g*ISP)</f>
        <v>0</v>
      </c>
      <c r="S870" s="419" t="n">
        <f aca="false">S869-Débit*pas</f>
        <v>7.37799999999998</v>
      </c>
      <c r="T870" s="417" t="n">
        <f aca="false">m*g</f>
        <v>72.3781799999998</v>
      </c>
      <c r="U870" s="421" t="n">
        <f aca="false">IF(pos_xz&lt;L_rampe,Poids*COS(Beta),0)</f>
        <v>0</v>
      </c>
      <c r="V870" s="418" t="n">
        <f aca="false">Rho_moyen*(20000-Alt_rampe-pos_z)/(20000+Alt_rampe+pos_z)</f>
        <v>1.22628346318225</v>
      </c>
      <c r="W870" s="417" t="n">
        <f aca="false">1/2*Rho*Sref*Cx*vit_xz^2</f>
        <v>58.0889235795902</v>
      </c>
      <c r="X870" s="401"/>
      <c r="Y870" s="422" t="str">
        <f aca="false">IF(AND(pos_z&lt;=0,K869&gt;0),"Impact balistique","") &amp; IF(AND(H871&lt;0,vit_z&gt;=0),"Apogée","") &amp; IF(AND(Poussee=0,Q869&gt;0),"Fin de propulsion","") &amp; IF(AND(L871&gt;L_rampe,pos_xz&lt;=L_rampe),"Sortie de rampe","")</f>
        <v/>
      </c>
      <c r="Z870" s="423" t="str">
        <f aca="false">IF(ABS(t-T_para)&lt;pas/2,"Para","")</f>
        <v/>
      </c>
      <c r="AA870" s="424" t="str">
        <f aca="false">IF(ABS(t-T_satellite)&lt;pas/2,"Satellite","")</f>
        <v/>
      </c>
      <c r="AB870" s="412"/>
      <c r="AC870" s="420" t="e">
        <f aca="false">IF(ABS(t-ROUND(t,0))&lt;0.001,t,NA())</f>
        <v>#N/A</v>
      </c>
      <c r="AD870" s="425" t="e">
        <f aca="false">IF(ABS(t-ROUND(t,0))&lt;0.001,pos_x,NA())</f>
        <v>#N/A</v>
      </c>
      <c r="AE870" s="426" t="e">
        <f aca="false">IF(t&lt;T_para, pos_z, NA())</f>
        <v>#N/A</v>
      </c>
      <c r="AF870" s="412"/>
      <c r="AG870" s="418" t="n">
        <f aca="false">IF(AND(L869&lt;L_rampe,Poussee&lt;Poids*SIN(M869)),0,(-W869+Poussee)/m-Poids*SIN(M869)/m)</f>
        <v>1.88716863426671</v>
      </c>
      <c r="AH870" s="417" t="n">
        <f aca="false">IF(AND(L869&lt;L_rampe,Poussee&lt;Poids*SIN(M869)), g*SIN(M869), (-W869+Poussee)/m)</f>
        <v>-7.8732278667992</v>
      </c>
    </row>
    <row r="871" customFormat="false" ht="12" hidden="false" customHeight="false" outlineLevel="0" collapsed="false">
      <c r="A871" s="416" t="n">
        <f aca="false">IF(B870+0.01&lt;=T_ini+ROUNDUP(Temps_fin_propu,0), 0.01, IF(K870&gt;0, 0.1, 0.0001))</f>
        <v>0.0001</v>
      </c>
      <c r="B871" s="417" t="n">
        <f aca="false">B870+pas</f>
        <v>36.3144000000007</v>
      </c>
      <c r="C871" s="401"/>
      <c r="D871" s="418" t="n">
        <f aca="false">IF(AND(L870&lt;L_rampe,Poussee&lt;Poids*SIN(M870)),0,(-W870+Poussee)/m*COS(M870)-U870/m*SIN(M870))</f>
        <v>-0.790748221108091</v>
      </c>
      <c r="E871" s="419" t="n">
        <f aca="false">IF(AND(L870&lt;L_rampe,Poussee&lt;Poids*SIN(M870)),0,(-W870+Poussee)/m*SIN(M870)+U870/m*COS(M870)-Poids/m)</f>
        <v>-1.97654837286887</v>
      </c>
      <c r="F871" s="417" t="n">
        <f aca="false">SQRT(acc_x^2+acc_z^2)</f>
        <v>2.12885561264173</v>
      </c>
      <c r="G871" s="418" t="n">
        <f aca="false">G870+acc_x*pas</f>
        <v>12.4656280204468</v>
      </c>
      <c r="H871" s="419" t="n">
        <f aca="false">H870+acc_z*pas</f>
        <v>-123.490217514681</v>
      </c>
      <c r="I871" s="417" t="n">
        <f aca="false">SQRT(vit_x^2+vit_z^2)</f>
        <v>124.117789634554</v>
      </c>
      <c r="J871" s="418" t="n">
        <f aca="false">J870+0.5*(vit_x+G870)*pas*(K870&gt;=0)</f>
        <v>913.614336176273</v>
      </c>
      <c r="K871" s="419" t="n">
        <f aca="false">K870+0.5*(vit_z+H870)*pas</f>
        <v>-10.4841137141328</v>
      </c>
      <c r="L871" s="417" t="n">
        <f aca="false">SQRT(pos_x^2+pos_z^2)</f>
        <v>913.674489031615</v>
      </c>
      <c r="M871" s="418" t="n">
        <f aca="false">IF(AND(L870&gt;L_rampe,G871&gt;0),ATAN2(G871,H871),$M$4)</f>
        <v>-1.47019285592285</v>
      </c>
      <c r="N871" s="417" t="n">
        <f aca="false">DEGREES(Beta)</f>
        <v>-84.2358457146647</v>
      </c>
      <c r="O871" s="401"/>
      <c r="P871" s="420" t="n">
        <f aca="false">MATCH(t-pas/2-T_ini,CdP_t)</f>
        <v>23</v>
      </c>
      <c r="Q871" s="417" t="n">
        <f aca="false">(INDEX(CdP,2,i_P+1)-INDEX(CdP,2,i_P+0))/(INDEX(CdP,1,i_P+1)-INDEX(CdP,1,i_P+0))*(t-pas/2-T_ini-INDEX(CdP,1,i_P+0))+INDEX(CdP,2,i_P+0)</f>
        <v>0</v>
      </c>
      <c r="R871" s="418" t="n">
        <f aca="false">Poussee/(g*ISP)</f>
        <v>0</v>
      </c>
      <c r="S871" s="419" t="n">
        <f aca="false">S870-Débit*pas</f>
        <v>7.37799999999998</v>
      </c>
      <c r="T871" s="417" t="n">
        <f aca="false">m*g</f>
        <v>72.3781799999998</v>
      </c>
      <c r="U871" s="421" t="n">
        <f aca="false">IF(pos_xz&lt;L_rampe,Poids*COS(Beta),0)</f>
        <v>0</v>
      </c>
      <c r="V871" s="418" t="n">
        <f aca="false">Rho_moyen*(20000-Alt_rampe-pos_z)/(20000+Alt_rampe+pos_z)</f>
        <v>1.2262849775225</v>
      </c>
      <c r="W871" s="417" t="n">
        <f aca="false">1/2*Rho*Sref*Cx*vit_xz^2</f>
        <v>58.0891719557664</v>
      </c>
      <c r="X871" s="401"/>
      <c r="Y871" s="422" t="str">
        <f aca="false">IF(AND(pos_z&lt;=0,K870&gt;0),"Impact balistique","") &amp; IF(AND(H872&lt;0,vit_z&gt;=0),"Apogée","") &amp; IF(AND(Poussee=0,Q870&gt;0),"Fin de propulsion","") &amp; IF(AND(L872&gt;L_rampe,pos_xz&lt;=L_rampe),"Sortie de rampe","")</f>
        <v/>
      </c>
      <c r="Z871" s="423" t="str">
        <f aca="false">IF(ABS(t-T_para)&lt;pas/2,"Para","")</f>
        <v/>
      </c>
      <c r="AA871" s="424" t="str">
        <f aca="false">IF(ABS(t-T_satellite)&lt;pas/2,"Satellite","")</f>
        <v/>
      </c>
      <c r="AB871" s="412"/>
      <c r="AC871" s="420" t="e">
        <f aca="false">IF(ABS(t-ROUND(t,0))&lt;0.001,t,NA())</f>
        <v>#N/A</v>
      </c>
      <c r="AD871" s="425" t="e">
        <f aca="false">IF(ABS(t-ROUND(t,0))&lt;0.001,pos_x,NA())</f>
        <v>#N/A</v>
      </c>
      <c r="AE871" s="426" t="e">
        <f aca="false">IF(t&lt;T_para, pos_z, NA())</f>
        <v>#N/A</v>
      </c>
      <c r="AF871" s="412"/>
      <c r="AG871" s="418" t="n">
        <f aca="false">IF(AND(L870&lt;L_rampe,Poussee&lt;Poids*SIN(M870)),0,(-W870+Poussee)/m-Poids*SIN(M870)/m)</f>
        <v>1.8871357516673</v>
      </c>
      <c r="AH871" s="417" t="n">
        <f aca="false">IF(AND(L870&lt;L_rampe,Poussee&lt;Poids*SIN(M870)), g*SIN(M870), (-W870+Poussee)/m)</f>
        <v>-7.87326153152485</v>
      </c>
    </row>
    <row r="872" customFormat="false" ht="12" hidden="false" customHeight="false" outlineLevel="0" collapsed="false">
      <c r="A872" s="416" t="n">
        <f aca="false">IF(B871+0.01&lt;=T_ini+ROUNDUP(Temps_fin_propu,0), 0.01, IF(K871&gt;0, 0.1, 0.0001))</f>
        <v>0.0001</v>
      </c>
      <c r="B872" s="417" t="n">
        <f aca="false">B871+pas</f>
        <v>36.3145000000007</v>
      </c>
      <c r="C872" s="401"/>
      <c r="D872" s="418" t="n">
        <f aca="false">IF(AND(L871&lt;L_rampe,Poussee&lt;Poids*SIN(M871)),0,(-W871+Poussee)/m*COS(M871)-U871/m*SIN(M871))</f>
        <v>-0.790745383856242</v>
      </c>
      <c r="E872" s="419" t="n">
        <f aca="false">IF(AND(L871&lt;L_rampe,Poussee&lt;Poids*SIN(M871)),0,(-W871+Poussee)/m*SIN(M871)+U871/m*COS(M871)-Poids/m)</f>
        <v>-1.97651425094928</v>
      </c>
      <c r="F872" s="417" t="n">
        <f aca="false">SQRT(acc_x^2+acc_z^2)</f>
        <v>2.1288228780938</v>
      </c>
      <c r="G872" s="418" t="n">
        <f aca="false">G871+acc_x*pas</f>
        <v>12.4655489459084</v>
      </c>
      <c r="H872" s="419" t="n">
        <f aca="false">H871+acc_z*pas</f>
        <v>-123.490415166106</v>
      </c>
      <c r="I872" s="417" t="n">
        <f aca="false">SQRT(vit_x^2+vit_z^2)</f>
        <v>124.11797834488</v>
      </c>
      <c r="J872" s="418" t="n">
        <f aca="false">J871+0.5*(vit_x+G871)*pas*(K871&gt;=0)</f>
        <v>913.614336176273</v>
      </c>
      <c r="K872" s="419" t="n">
        <f aca="false">K871+0.5*(vit_z+H871)*pas</f>
        <v>-10.4964627457668</v>
      </c>
      <c r="L872" s="417" t="n">
        <f aca="false">SQRT(pos_x^2+pos_z^2)</f>
        <v>913.674630816127</v>
      </c>
      <c r="M872" s="418" t="n">
        <f aca="false">IF(AND(L871&gt;L_rampe,G872&gt;0),ATAN2(G872,H872),$M$4)</f>
        <v>-1.47019364972898</v>
      </c>
      <c r="N872" s="417" t="n">
        <f aca="false">DEGREES(Beta)</f>
        <v>-84.2358911964053</v>
      </c>
      <c r="O872" s="401"/>
      <c r="P872" s="420" t="n">
        <f aca="false">MATCH(t-pas/2-T_ini,CdP_t)</f>
        <v>23</v>
      </c>
      <c r="Q872" s="417" t="n">
        <f aca="false">(INDEX(CdP,2,i_P+1)-INDEX(CdP,2,i_P+0))/(INDEX(CdP,1,i_P+1)-INDEX(CdP,1,i_P+0))*(t-pas/2-T_ini-INDEX(CdP,1,i_P+0))+INDEX(CdP,2,i_P+0)</f>
        <v>0</v>
      </c>
      <c r="R872" s="418" t="n">
        <f aca="false">Poussee/(g*ISP)</f>
        <v>0</v>
      </c>
      <c r="S872" s="419" t="n">
        <f aca="false">S871-Débit*pas</f>
        <v>7.37799999999998</v>
      </c>
      <c r="T872" s="417" t="n">
        <f aca="false">m*g</f>
        <v>72.3781799999998</v>
      </c>
      <c r="U872" s="421" t="n">
        <f aca="false">IF(pos_xz&lt;L_rampe,Poids*COS(Beta),0)</f>
        <v>0</v>
      </c>
      <c r="V872" s="418" t="n">
        <f aca="false">Rho_moyen*(20000-Alt_rampe-pos_z)/(20000+Alt_rampe+pos_z)</f>
        <v>1.22628649186705</v>
      </c>
      <c r="W872" s="417" t="n">
        <f aca="false">1/2*Rho*Sref*Cx*vit_xz^2</f>
        <v>58.089420329773</v>
      </c>
      <c r="X872" s="401"/>
      <c r="Y872" s="422" t="str">
        <f aca="false">IF(AND(pos_z&lt;=0,K871&gt;0),"Impact balistique","") &amp; IF(AND(H873&lt;0,vit_z&gt;=0),"Apogée","") &amp; IF(AND(Poussee=0,Q871&gt;0),"Fin de propulsion","") &amp; IF(AND(L873&gt;L_rampe,pos_xz&lt;=L_rampe),"Sortie de rampe","")</f>
        <v/>
      </c>
      <c r="Z872" s="423" t="str">
        <f aca="false">IF(ABS(t-T_para)&lt;pas/2,"Para","")</f>
        <v/>
      </c>
      <c r="AA872" s="424" t="str">
        <f aca="false">IF(ABS(t-T_satellite)&lt;pas/2,"Satellite","")</f>
        <v/>
      </c>
      <c r="AB872" s="412"/>
      <c r="AC872" s="420" t="e">
        <f aca="false">IF(ABS(t-ROUND(t,0))&lt;0.001,t,NA())</f>
        <v>#N/A</v>
      </c>
      <c r="AD872" s="425" t="e">
        <f aca="false">IF(ABS(t-ROUND(t,0))&lt;0.001,pos_x,NA())</f>
        <v>#N/A</v>
      </c>
      <c r="AE872" s="426" t="e">
        <f aca="false">IF(t&lt;T_para, pos_z, NA())</f>
        <v>#N/A</v>
      </c>
      <c r="AF872" s="412"/>
      <c r="AG872" s="418" t="n">
        <f aca="false">IF(AND(L871&lt;L_rampe,Poussee&lt;Poids*SIN(M871)),0,(-W871+Poussee)/m-Poids*SIN(M871)/m)</f>
        <v>1.88710286934847</v>
      </c>
      <c r="AH872" s="417" t="n">
        <f aca="false">IF(AND(L871&lt;L_rampe,Poussee&lt;Poids*SIN(M871)), g*SIN(M871), (-W871+Poussee)/m)</f>
        <v>-7.87329519595643</v>
      </c>
    </row>
    <row r="873" customFormat="false" ht="12" hidden="false" customHeight="false" outlineLevel="0" collapsed="false">
      <c r="A873" s="416" t="n">
        <f aca="false">IF(B872+0.01&lt;=T_ini+ROUNDUP(Temps_fin_propu,0), 0.01, IF(K872&gt;0, 0.1, 0.0001))</f>
        <v>0.0001</v>
      </c>
      <c r="B873" s="417" t="n">
        <f aca="false">B872+pas</f>
        <v>36.3146000000007</v>
      </c>
      <c r="C873" s="401"/>
      <c r="D873" s="418" t="n">
        <f aca="false">IF(AND(L872&lt;L_rampe,Poussee&lt;Poids*SIN(M872)),0,(-W872+Poussee)/m*COS(M872)-U872/m*SIN(M872))</f>
        <v>-0.790742546579539</v>
      </c>
      <c r="E873" s="419" t="n">
        <f aca="false">IF(AND(L872&lt;L_rampe,Poussee&lt;Poids*SIN(M872)),0,(-W872+Poussee)/m*SIN(M872)+U872/m*COS(M872)-Poids/m)</f>
        <v>-1.97648012932774</v>
      </c>
      <c r="F873" s="417" t="n">
        <f aca="false">SQRT(acc_x^2+acc_z^2)</f>
        <v>2.12879014386071</v>
      </c>
      <c r="G873" s="418" t="n">
        <f aca="false">G872+acc_x*pas</f>
        <v>12.4654698716537</v>
      </c>
      <c r="H873" s="419" t="n">
        <f aca="false">H872+acc_z*pas</f>
        <v>-123.490612814119</v>
      </c>
      <c r="I873" s="417" t="n">
        <f aca="false">SQRT(vit_x^2+vit_z^2)</f>
        <v>124.118167051918</v>
      </c>
      <c r="J873" s="418" t="n">
        <f aca="false">J872+0.5*(vit_x+G872)*pas*(K872&gt;=0)</f>
        <v>913.614336176273</v>
      </c>
      <c r="K873" s="419" t="n">
        <f aca="false">K872+0.5*(vit_z+H872)*pas</f>
        <v>-10.5088117971659</v>
      </c>
      <c r="L873" s="417" t="n">
        <f aca="false">SQRT(pos_x^2+pos_z^2)</f>
        <v>913.674772767751</v>
      </c>
      <c r="M873" s="418" t="n">
        <f aca="false">IF(AND(L872&gt;L_rampe,G873&gt;0),ATAN2(G873,H873),$M$4)</f>
        <v>-1.47019444352765</v>
      </c>
      <c r="N873" s="417" t="n">
        <f aca="false">DEGREES(Beta)</f>
        <v>-84.2359366777191</v>
      </c>
      <c r="O873" s="401"/>
      <c r="P873" s="420" t="n">
        <f aca="false">MATCH(t-pas/2-T_ini,CdP_t)</f>
        <v>23</v>
      </c>
      <c r="Q873" s="417" t="n">
        <f aca="false">(INDEX(CdP,2,i_P+1)-INDEX(CdP,2,i_P+0))/(INDEX(CdP,1,i_P+1)-INDEX(CdP,1,i_P+0))*(t-pas/2-T_ini-INDEX(CdP,1,i_P+0))+INDEX(CdP,2,i_P+0)</f>
        <v>0</v>
      </c>
      <c r="R873" s="418" t="n">
        <f aca="false">Poussee/(g*ISP)</f>
        <v>0</v>
      </c>
      <c r="S873" s="419" t="n">
        <f aca="false">S872-Débit*pas</f>
        <v>7.37799999999998</v>
      </c>
      <c r="T873" s="417" t="n">
        <f aca="false">m*g</f>
        <v>72.3781799999998</v>
      </c>
      <c r="U873" s="421" t="n">
        <f aca="false">IF(pos_xz&lt;L_rampe,Poids*COS(Beta),0)</f>
        <v>0</v>
      </c>
      <c r="V873" s="418" t="n">
        <f aca="false">Rho_moyen*(20000-Alt_rampe-pos_z)/(20000+Alt_rampe+pos_z)</f>
        <v>1.2262880062159</v>
      </c>
      <c r="W873" s="417" t="n">
        <f aca="false">1/2*Rho*Sref*Cx*vit_xz^2</f>
        <v>58.08966870161</v>
      </c>
      <c r="X873" s="401"/>
      <c r="Y873" s="422" t="str">
        <f aca="false">IF(AND(pos_z&lt;=0,K872&gt;0),"Impact balistique","") &amp; IF(AND(H874&lt;0,vit_z&gt;=0),"Apogée","") &amp; IF(AND(Poussee=0,Q872&gt;0),"Fin de propulsion","") &amp; IF(AND(L874&gt;L_rampe,pos_xz&lt;=L_rampe),"Sortie de rampe","")</f>
        <v/>
      </c>
      <c r="Z873" s="423" t="str">
        <f aca="false">IF(ABS(t-T_para)&lt;pas/2,"Para","")</f>
        <v/>
      </c>
      <c r="AA873" s="424" t="str">
        <f aca="false">IF(ABS(t-T_satellite)&lt;pas/2,"Satellite","")</f>
        <v/>
      </c>
      <c r="AB873" s="412"/>
      <c r="AC873" s="420" t="e">
        <f aca="false">IF(ABS(t-ROUND(t,0))&lt;0.001,t,NA())</f>
        <v>#N/A</v>
      </c>
      <c r="AD873" s="425" t="e">
        <f aca="false">IF(ABS(t-ROUND(t,0))&lt;0.001,pos_x,NA())</f>
        <v>#N/A</v>
      </c>
      <c r="AE873" s="426" t="e">
        <f aca="false">IF(t&lt;T_para, pos_z, NA())</f>
        <v>#N/A</v>
      </c>
      <c r="AF873" s="412"/>
      <c r="AG873" s="418" t="n">
        <f aca="false">IF(AND(L872&lt;L_rampe,Poussee&lt;Poids*SIN(M872)),0,(-W872+Poussee)/m-Poids*SIN(M872)/m)</f>
        <v>1.88706998731021</v>
      </c>
      <c r="AH873" s="417" t="n">
        <f aca="false">IF(AND(L872&lt;L_rampe,Poussee&lt;Poids*SIN(M872)), g*SIN(M872), (-W872+Poussee)/m)</f>
        <v>-7.87332886009395</v>
      </c>
    </row>
    <row r="874" customFormat="false" ht="12" hidden="false" customHeight="false" outlineLevel="0" collapsed="false">
      <c r="A874" s="416" t="n">
        <f aca="false">IF(B873+0.01&lt;=T_ini+ROUNDUP(Temps_fin_propu,0), 0.01, IF(K873&gt;0, 0.1, 0.0001))</f>
        <v>0.0001</v>
      </c>
      <c r="B874" s="417" t="n">
        <f aca="false">B873+pas</f>
        <v>36.3147000000007</v>
      </c>
      <c r="C874" s="401"/>
      <c r="D874" s="418" t="n">
        <f aca="false">IF(AND(L873&lt;L_rampe,Poussee&lt;Poids*SIN(M873)),0,(-W873+Poussee)/m*COS(M873)-U873/m*SIN(M873))</f>
        <v>-0.790739709277979</v>
      </c>
      <c r="E874" s="419" t="n">
        <f aca="false">IF(AND(L873&lt;L_rampe,Poussee&lt;Poids*SIN(M873)),0,(-W873+Poussee)/m*SIN(M873)+U873/m*COS(M873)-Poids/m)</f>
        <v>-1.97644600800423</v>
      </c>
      <c r="F874" s="417" t="n">
        <f aca="false">SQRT(acc_x^2+acc_z^2)</f>
        <v>2.12875740994245</v>
      </c>
      <c r="G874" s="418" t="n">
        <f aca="false">G873+acc_x*pas</f>
        <v>12.4653907976828</v>
      </c>
      <c r="H874" s="419" t="n">
        <f aca="false">H873+acc_z*pas</f>
        <v>-123.49081045872</v>
      </c>
      <c r="I874" s="417" t="n">
        <f aca="false">SQRT(vit_x^2+vit_z^2)</f>
        <v>124.118355755668</v>
      </c>
      <c r="J874" s="418" t="n">
        <f aca="false">J873+0.5*(vit_x+G873)*pas*(K873&gt;=0)</f>
        <v>913.614336176273</v>
      </c>
      <c r="K874" s="419" t="n">
        <f aca="false">K873+0.5*(vit_z+H873)*pas</f>
        <v>-10.5211608683295</v>
      </c>
      <c r="L874" s="417" t="n">
        <f aca="false">SQRT(pos_x^2+pos_z^2)</f>
        <v>913.674914886487</v>
      </c>
      <c r="M874" s="418" t="n">
        <f aca="false">IF(AND(L873&gt;L_rampe,G874&gt;0),ATAN2(G874,H874),$M$4)</f>
        <v>-1.47019523731888</v>
      </c>
      <c r="N874" s="417" t="n">
        <f aca="false">DEGREES(Beta)</f>
        <v>-84.2359821586061</v>
      </c>
      <c r="O874" s="401"/>
      <c r="P874" s="420" t="n">
        <f aca="false">MATCH(t-pas/2-T_ini,CdP_t)</f>
        <v>23</v>
      </c>
      <c r="Q874" s="417" t="n">
        <f aca="false">(INDEX(CdP,2,i_P+1)-INDEX(CdP,2,i_P+0))/(INDEX(CdP,1,i_P+1)-INDEX(CdP,1,i_P+0))*(t-pas/2-T_ini-INDEX(CdP,1,i_P+0))+INDEX(CdP,2,i_P+0)</f>
        <v>0</v>
      </c>
      <c r="R874" s="418" t="n">
        <f aca="false">Poussee/(g*ISP)</f>
        <v>0</v>
      </c>
      <c r="S874" s="419" t="n">
        <f aca="false">S873-Débit*pas</f>
        <v>7.37799999999998</v>
      </c>
      <c r="T874" s="417" t="n">
        <f aca="false">m*g</f>
        <v>72.3781799999998</v>
      </c>
      <c r="U874" s="421" t="n">
        <f aca="false">IF(pos_xz&lt;L_rampe,Poids*COS(Beta),0)</f>
        <v>0</v>
      </c>
      <c r="V874" s="418" t="n">
        <f aca="false">Rho_moyen*(20000-Alt_rampe-pos_z)/(20000+Alt_rampe+pos_z)</f>
        <v>1.22628952056904</v>
      </c>
      <c r="W874" s="417" t="n">
        <f aca="false">1/2*Rho*Sref*Cx*vit_xz^2</f>
        <v>58.0899170712774</v>
      </c>
      <c r="X874" s="401"/>
      <c r="Y874" s="422" t="str">
        <f aca="false">IF(AND(pos_z&lt;=0,K873&gt;0),"Impact balistique","") &amp; IF(AND(H875&lt;0,vit_z&gt;=0),"Apogée","") &amp; IF(AND(Poussee=0,Q873&gt;0),"Fin de propulsion","") &amp; IF(AND(L875&gt;L_rampe,pos_xz&lt;=L_rampe),"Sortie de rampe","")</f>
        <v/>
      </c>
      <c r="Z874" s="423" t="str">
        <f aca="false">IF(ABS(t-T_para)&lt;pas/2,"Para","")</f>
        <v/>
      </c>
      <c r="AA874" s="424" t="str">
        <f aca="false">IF(ABS(t-T_satellite)&lt;pas/2,"Satellite","")</f>
        <v/>
      </c>
      <c r="AB874" s="412"/>
      <c r="AC874" s="420" t="e">
        <f aca="false">IF(ABS(t-ROUND(t,0))&lt;0.001,t,NA())</f>
        <v>#N/A</v>
      </c>
      <c r="AD874" s="425" t="e">
        <f aca="false">IF(ABS(t-ROUND(t,0))&lt;0.001,pos_x,NA())</f>
        <v>#N/A</v>
      </c>
      <c r="AE874" s="426" t="e">
        <f aca="false">IF(t&lt;T_para, pos_z, NA())</f>
        <v>#N/A</v>
      </c>
      <c r="AF874" s="412"/>
      <c r="AG874" s="418" t="n">
        <f aca="false">IF(AND(L873&lt;L_rampe,Poussee&lt;Poids*SIN(M873)),0,(-W873+Poussee)/m-Poids*SIN(M873)/m)</f>
        <v>1.88703710555254</v>
      </c>
      <c r="AH874" s="417" t="n">
        <f aca="false">IF(AND(L873&lt;L_rampe,Poussee&lt;Poids*SIN(M873)), g*SIN(M873), (-W873+Poussee)/m)</f>
        <v>-7.8733625239374</v>
      </c>
    </row>
    <row r="875" customFormat="false" ht="12" hidden="false" customHeight="false" outlineLevel="0" collapsed="false">
      <c r="A875" s="416" t="n">
        <f aca="false">IF(B874+0.01&lt;=T_ini+ROUNDUP(Temps_fin_propu,0), 0.01, IF(K874&gt;0, 0.1, 0.0001))</f>
        <v>0.0001</v>
      </c>
      <c r="B875" s="417" t="n">
        <f aca="false">B874+pas</f>
        <v>36.3148000000007</v>
      </c>
      <c r="C875" s="401"/>
      <c r="D875" s="418" t="n">
        <f aca="false">IF(AND(L874&lt;L_rampe,Poussee&lt;Poids*SIN(M874)),0,(-W874+Poussee)/m*COS(M874)-U874/m*SIN(M874))</f>
        <v>-0.790736871951571</v>
      </c>
      <c r="E875" s="419" t="n">
        <f aca="false">IF(AND(L874&lt;L_rampe,Poussee&lt;Poids*SIN(M874)),0,(-W874+Poussee)/m*SIN(M874)+U874/m*COS(M874)-Poids/m)</f>
        <v>-1.97641188697876</v>
      </c>
      <c r="F875" s="417" t="n">
        <f aca="false">SQRT(acc_x^2+acc_z^2)</f>
        <v>2.12872467633902</v>
      </c>
      <c r="G875" s="418" t="n">
        <f aca="false">G874+acc_x*pas</f>
        <v>12.4653117239956</v>
      </c>
      <c r="H875" s="419" t="n">
        <f aca="false">H874+acc_z*pas</f>
        <v>-123.491008099909</v>
      </c>
      <c r="I875" s="417" t="n">
        <f aca="false">SQRT(vit_x^2+vit_z^2)</f>
        <v>124.118544456129</v>
      </c>
      <c r="J875" s="418" t="n">
        <f aca="false">J874+0.5*(vit_x+G874)*pas*(K874&gt;=0)</f>
        <v>913.614336176273</v>
      </c>
      <c r="K875" s="419" t="n">
        <f aca="false">K874+0.5*(vit_z+H874)*pas</f>
        <v>-10.5335099592574</v>
      </c>
      <c r="L875" s="417" t="n">
        <f aca="false">SQRT(pos_x^2+pos_z^2)</f>
        <v>913.675057172337</v>
      </c>
      <c r="M875" s="418" t="n">
        <f aca="false">IF(AND(L874&gt;L_rampe,G875&gt;0),ATAN2(G875,H875),$M$4)</f>
        <v>-1.47019603110265</v>
      </c>
      <c r="N875" s="417" t="n">
        <f aca="false">DEGREES(Beta)</f>
        <v>-84.2360276390664</v>
      </c>
      <c r="O875" s="401"/>
      <c r="P875" s="420" t="n">
        <f aca="false">MATCH(t-pas/2-T_ini,CdP_t)</f>
        <v>23</v>
      </c>
      <c r="Q875" s="417" t="n">
        <f aca="false">(INDEX(CdP,2,i_P+1)-INDEX(CdP,2,i_P+0))/(INDEX(CdP,1,i_P+1)-INDEX(CdP,1,i_P+0))*(t-pas/2-T_ini-INDEX(CdP,1,i_P+0))+INDEX(CdP,2,i_P+0)</f>
        <v>0</v>
      </c>
      <c r="R875" s="418" t="n">
        <f aca="false">Poussee/(g*ISP)</f>
        <v>0</v>
      </c>
      <c r="S875" s="419" t="n">
        <f aca="false">S874-Débit*pas</f>
        <v>7.37799999999998</v>
      </c>
      <c r="T875" s="417" t="n">
        <f aca="false">m*g</f>
        <v>72.3781799999998</v>
      </c>
      <c r="U875" s="421" t="n">
        <f aca="false">IF(pos_xz&lt;L_rampe,Poids*COS(Beta),0)</f>
        <v>0</v>
      </c>
      <c r="V875" s="418" t="n">
        <f aca="false">Rho_moyen*(20000-Alt_rampe-pos_z)/(20000+Alt_rampe+pos_z)</f>
        <v>1.22629103492647</v>
      </c>
      <c r="W875" s="417" t="n">
        <f aca="false">1/2*Rho*Sref*Cx*vit_xz^2</f>
        <v>58.0901654387751</v>
      </c>
      <c r="X875" s="401"/>
      <c r="Y875" s="422" t="str">
        <f aca="false">IF(AND(pos_z&lt;=0,K874&gt;0),"Impact balistique","") &amp; IF(AND(H876&lt;0,vit_z&gt;=0),"Apogée","") &amp; IF(AND(Poussee=0,Q874&gt;0),"Fin de propulsion","") &amp; IF(AND(L876&gt;L_rampe,pos_xz&lt;=L_rampe),"Sortie de rampe","")</f>
        <v/>
      </c>
      <c r="Z875" s="423" t="str">
        <f aca="false">IF(ABS(t-T_para)&lt;pas/2,"Para","")</f>
        <v/>
      </c>
      <c r="AA875" s="424" t="str">
        <f aca="false">IF(ABS(t-T_satellite)&lt;pas/2,"Satellite","")</f>
        <v/>
      </c>
      <c r="AB875" s="412"/>
      <c r="AC875" s="420" t="e">
        <f aca="false">IF(ABS(t-ROUND(t,0))&lt;0.001,t,NA())</f>
        <v>#N/A</v>
      </c>
      <c r="AD875" s="425" t="e">
        <f aca="false">IF(ABS(t-ROUND(t,0))&lt;0.001,pos_x,NA())</f>
        <v>#N/A</v>
      </c>
      <c r="AE875" s="426" t="e">
        <f aca="false">IF(t&lt;T_para, pos_z, NA())</f>
        <v>#N/A</v>
      </c>
      <c r="AF875" s="412"/>
      <c r="AG875" s="418" t="n">
        <f aca="false">IF(AND(L874&lt;L_rampe,Poussee&lt;Poids*SIN(M874)),0,(-W874+Poussee)/m-Poids*SIN(M874)/m)</f>
        <v>1.88700422407543</v>
      </c>
      <c r="AH875" s="417" t="n">
        <f aca="false">IF(AND(L874&lt;L_rampe,Poussee&lt;Poids*SIN(M874)), g*SIN(M874), (-W874+Poussee)/m)</f>
        <v>-7.87339618748679</v>
      </c>
    </row>
    <row r="876" customFormat="false" ht="12" hidden="false" customHeight="false" outlineLevel="0" collapsed="false">
      <c r="A876" s="416" t="n">
        <f aca="false">IF(B875+0.01&lt;=T_ini+ROUNDUP(Temps_fin_propu,0), 0.01, IF(K875&gt;0, 0.1, 0.0001))</f>
        <v>0.0001</v>
      </c>
      <c r="B876" s="417" t="n">
        <f aca="false">B875+pas</f>
        <v>36.3149000000007</v>
      </c>
      <c r="C876" s="401"/>
      <c r="D876" s="418" t="n">
        <f aca="false">IF(AND(L875&lt;L_rampe,Poussee&lt;Poids*SIN(M875)),0,(-W875+Poussee)/m*COS(M875)-U875/m*SIN(M875))</f>
        <v>-0.790734034600308</v>
      </c>
      <c r="E876" s="419" t="n">
        <f aca="false">IF(AND(L875&lt;L_rampe,Poussee&lt;Poids*SIN(M875)),0,(-W875+Poussee)/m*SIN(M875)+U875/m*COS(M875)-Poids/m)</f>
        <v>-1.97637776625132</v>
      </c>
      <c r="F876" s="417" t="n">
        <f aca="false">SQRT(acc_x^2+acc_z^2)</f>
        <v>2.12869194305044</v>
      </c>
      <c r="G876" s="418" t="n">
        <f aca="false">G875+acc_x*pas</f>
        <v>12.4652326505922</v>
      </c>
      <c r="H876" s="419" t="n">
        <f aca="false">H875+acc_z*pas</f>
        <v>-123.491205737685</v>
      </c>
      <c r="I876" s="417" t="n">
        <f aca="false">SQRT(vit_x^2+vit_z^2)</f>
        <v>124.118733153302</v>
      </c>
      <c r="J876" s="418" t="n">
        <f aca="false">J875+0.5*(vit_x+G875)*pas*(K875&gt;=0)</f>
        <v>913.614336176273</v>
      </c>
      <c r="K876" s="419" t="n">
        <f aca="false">K875+0.5*(vit_z+H875)*pas</f>
        <v>-10.5458590699493</v>
      </c>
      <c r="L876" s="417" t="n">
        <f aca="false">SQRT(pos_x^2+pos_z^2)</f>
        <v>913.675199625302</v>
      </c>
      <c r="M876" s="418" t="n">
        <f aca="false">IF(AND(L875&gt;L_rampe,G876&gt;0),ATAN2(G876,H876),$M$4)</f>
        <v>-1.47019682487898</v>
      </c>
      <c r="N876" s="417" t="n">
        <f aca="false">DEGREES(Beta)</f>
        <v>-84.2360731190998</v>
      </c>
      <c r="O876" s="401"/>
      <c r="P876" s="420" t="n">
        <f aca="false">MATCH(t-pas/2-T_ini,CdP_t)</f>
        <v>23</v>
      </c>
      <c r="Q876" s="417" t="n">
        <f aca="false">(INDEX(CdP,2,i_P+1)-INDEX(CdP,2,i_P+0))/(INDEX(CdP,1,i_P+1)-INDEX(CdP,1,i_P+0))*(t-pas/2-T_ini-INDEX(CdP,1,i_P+0))+INDEX(CdP,2,i_P+0)</f>
        <v>0</v>
      </c>
      <c r="R876" s="418" t="n">
        <f aca="false">Poussee/(g*ISP)</f>
        <v>0</v>
      </c>
      <c r="S876" s="419" t="n">
        <f aca="false">S875-Débit*pas</f>
        <v>7.37799999999998</v>
      </c>
      <c r="T876" s="417" t="n">
        <f aca="false">m*g</f>
        <v>72.3781799999998</v>
      </c>
      <c r="U876" s="421" t="n">
        <f aca="false">IF(pos_xz&lt;L_rampe,Poids*COS(Beta),0)</f>
        <v>0</v>
      </c>
      <c r="V876" s="418" t="n">
        <f aca="false">Rho_moyen*(20000-Alt_rampe-pos_z)/(20000+Alt_rampe+pos_z)</f>
        <v>1.2262925492882</v>
      </c>
      <c r="W876" s="417" t="n">
        <f aca="false">1/2*Rho*Sref*Cx*vit_xz^2</f>
        <v>58.0904138041033</v>
      </c>
      <c r="X876" s="401"/>
      <c r="Y876" s="422" t="str">
        <f aca="false">IF(AND(pos_z&lt;=0,K875&gt;0),"Impact balistique","") &amp; IF(AND(H877&lt;0,vit_z&gt;=0),"Apogée","") &amp; IF(AND(Poussee=0,Q875&gt;0),"Fin de propulsion","") &amp; IF(AND(L877&gt;L_rampe,pos_xz&lt;=L_rampe),"Sortie de rampe","")</f>
        <v/>
      </c>
      <c r="Z876" s="423" t="str">
        <f aca="false">IF(ABS(t-T_para)&lt;pas/2,"Para","")</f>
        <v/>
      </c>
      <c r="AA876" s="424" t="str">
        <f aca="false">IF(ABS(t-T_satellite)&lt;pas/2,"Satellite","")</f>
        <v/>
      </c>
      <c r="AB876" s="412"/>
      <c r="AC876" s="420" t="e">
        <f aca="false">IF(ABS(t-ROUND(t,0))&lt;0.001,t,NA())</f>
        <v>#N/A</v>
      </c>
      <c r="AD876" s="425" t="e">
        <f aca="false">IF(ABS(t-ROUND(t,0))&lt;0.001,pos_x,NA())</f>
        <v>#N/A</v>
      </c>
      <c r="AE876" s="426" t="e">
        <f aca="false">IF(t&lt;T_para, pos_z, NA())</f>
        <v>#N/A</v>
      </c>
      <c r="AF876" s="412"/>
      <c r="AG876" s="418" t="n">
        <f aca="false">IF(AND(L875&lt;L_rampe,Poussee&lt;Poids*SIN(M875)),0,(-W875+Poussee)/m-Poids*SIN(M875)/m)</f>
        <v>1.8869713428789</v>
      </c>
      <c r="AH876" s="417" t="n">
        <f aca="false">IF(AND(L875&lt;L_rampe,Poussee&lt;Poids*SIN(M875)), g*SIN(M875), (-W875+Poussee)/m)</f>
        <v>-7.87342985074211</v>
      </c>
    </row>
    <row r="877" customFormat="false" ht="12" hidden="false" customHeight="false" outlineLevel="0" collapsed="false">
      <c r="A877" s="416" t="n">
        <f aca="false">IF(B876+0.01&lt;=T_ini+ROUNDUP(Temps_fin_propu,0), 0.01, IF(K876&gt;0, 0.1, 0.0001))</f>
        <v>0.0001</v>
      </c>
      <c r="B877" s="417" t="n">
        <f aca="false">B876+pas</f>
        <v>36.3150000000007</v>
      </c>
      <c r="C877" s="401"/>
      <c r="D877" s="418" t="n">
        <f aca="false">IF(AND(L876&lt;L_rampe,Poussee&lt;Poids*SIN(M876)),0,(-W876+Poussee)/m*COS(M876)-U876/m*SIN(M876))</f>
        <v>-0.790731197224195</v>
      </c>
      <c r="E877" s="419" t="n">
        <f aca="false">IF(AND(L876&lt;L_rampe,Poussee&lt;Poids*SIN(M876)),0,(-W876+Poussee)/m*SIN(M876)+U876/m*COS(M876)-Poids/m)</f>
        <v>-1.97634364582192</v>
      </c>
      <c r="F877" s="417" t="n">
        <f aca="false">SQRT(acc_x^2+acc_z^2)</f>
        <v>2.12865921007669</v>
      </c>
      <c r="G877" s="418" t="n">
        <f aca="false">G876+acc_x*pas</f>
        <v>12.4651535774724</v>
      </c>
      <c r="H877" s="419" t="n">
        <f aca="false">H876+acc_z*pas</f>
        <v>-123.49140337205</v>
      </c>
      <c r="I877" s="417" t="n">
        <f aca="false">SQRT(vit_x^2+vit_z^2)</f>
        <v>124.118921847188</v>
      </c>
      <c r="J877" s="418" t="n">
        <f aca="false">J876+0.5*(vit_x+G876)*pas*(K876&gt;=0)</f>
        <v>913.614336176273</v>
      </c>
      <c r="K877" s="419" t="n">
        <f aca="false">K876+0.5*(vit_z+H876)*pas</f>
        <v>-10.5582082004048</v>
      </c>
      <c r="L877" s="417" t="n">
        <f aca="false">SQRT(pos_x^2+pos_z^2)</f>
        <v>913.675342245382</v>
      </c>
      <c r="M877" s="418" t="n">
        <f aca="false">IF(AND(L876&gt;L_rampe,G877&gt;0),ATAN2(G877,H877),$M$4)</f>
        <v>-1.47019761864786</v>
      </c>
      <c r="N877" s="417" t="n">
        <f aca="false">DEGREES(Beta)</f>
        <v>-84.2361185987064</v>
      </c>
      <c r="O877" s="401"/>
      <c r="P877" s="420" t="n">
        <f aca="false">MATCH(t-pas/2-T_ini,CdP_t)</f>
        <v>23</v>
      </c>
      <c r="Q877" s="417" t="n">
        <f aca="false">(INDEX(CdP,2,i_P+1)-INDEX(CdP,2,i_P+0))/(INDEX(CdP,1,i_P+1)-INDEX(CdP,1,i_P+0))*(t-pas/2-T_ini-INDEX(CdP,1,i_P+0))+INDEX(CdP,2,i_P+0)</f>
        <v>0</v>
      </c>
      <c r="R877" s="418" t="n">
        <f aca="false">Poussee/(g*ISP)</f>
        <v>0</v>
      </c>
      <c r="S877" s="419" t="n">
        <f aca="false">S876-Débit*pas</f>
        <v>7.37799999999998</v>
      </c>
      <c r="T877" s="417" t="n">
        <f aca="false">m*g</f>
        <v>72.3781799999998</v>
      </c>
      <c r="U877" s="421" t="n">
        <f aca="false">IF(pos_xz&lt;L_rampe,Poids*COS(Beta),0)</f>
        <v>0</v>
      </c>
      <c r="V877" s="418" t="n">
        <f aca="false">Rho_moyen*(20000-Alt_rampe-pos_z)/(20000+Alt_rampe+pos_z)</f>
        <v>1.22629406365422</v>
      </c>
      <c r="W877" s="417" t="n">
        <f aca="false">1/2*Rho*Sref*Cx*vit_xz^2</f>
        <v>58.0906621672619</v>
      </c>
      <c r="X877" s="401"/>
      <c r="Y877" s="422" t="str">
        <f aca="false">IF(AND(pos_z&lt;=0,K876&gt;0),"Impact balistique","") &amp; IF(AND(H878&lt;0,vit_z&gt;=0),"Apogée","") &amp; IF(AND(Poussee=0,Q876&gt;0),"Fin de propulsion","") &amp; IF(AND(L878&gt;L_rampe,pos_xz&lt;=L_rampe),"Sortie de rampe","")</f>
        <v/>
      </c>
      <c r="Z877" s="423" t="str">
        <f aca="false">IF(ABS(t-T_para)&lt;pas/2,"Para","")</f>
        <v/>
      </c>
      <c r="AA877" s="424" t="str">
        <f aca="false">IF(ABS(t-T_satellite)&lt;pas/2,"Satellite","")</f>
        <v/>
      </c>
      <c r="AB877" s="412"/>
      <c r="AC877" s="420" t="e">
        <f aca="false">IF(ABS(t-ROUND(t,0))&lt;0.001,t,NA())</f>
        <v>#N/A</v>
      </c>
      <c r="AD877" s="425" t="e">
        <f aca="false">IF(ABS(t-ROUND(t,0))&lt;0.001,pos_x,NA())</f>
        <v>#N/A</v>
      </c>
      <c r="AE877" s="426" t="e">
        <f aca="false">IF(t&lt;T_para, pos_z, NA())</f>
        <v>#N/A</v>
      </c>
      <c r="AF877" s="412"/>
      <c r="AG877" s="418" t="n">
        <f aca="false">IF(AND(L876&lt;L_rampe,Poussee&lt;Poids*SIN(M876)),0,(-W876+Poussee)/m-Poids*SIN(M876)/m)</f>
        <v>1.88693846196294</v>
      </c>
      <c r="AH877" s="417" t="n">
        <f aca="false">IF(AND(L876&lt;L_rampe,Poussee&lt;Poids*SIN(M876)), g*SIN(M876), (-W876+Poussee)/m)</f>
        <v>-7.87346351370337</v>
      </c>
    </row>
    <row r="878" customFormat="false" ht="12" hidden="false" customHeight="false" outlineLevel="0" collapsed="false">
      <c r="A878" s="416" t="n">
        <f aca="false">IF(B877+0.01&lt;=T_ini+ROUNDUP(Temps_fin_propu,0), 0.01, IF(K877&gt;0, 0.1, 0.0001))</f>
        <v>0.0001</v>
      </c>
      <c r="B878" s="417" t="n">
        <f aca="false">B877+pas</f>
        <v>36.3151000000007</v>
      </c>
      <c r="C878" s="401"/>
      <c r="D878" s="418" t="n">
        <f aca="false">IF(AND(L877&lt;L_rampe,Poussee&lt;Poids*SIN(M877)),0,(-W877+Poussee)/m*COS(M877)-U877/m*SIN(M877))</f>
        <v>-0.790728359823232</v>
      </c>
      <c r="E878" s="419" t="n">
        <f aca="false">IF(AND(L877&lt;L_rampe,Poussee&lt;Poids*SIN(M877)),0,(-W877+Poussee)/m*SIN(M877)+U877/m*COS(M877)-Poids/m)</f>
        <v>-1.97630952569056</v>
      </c>
      <c r="F878" s="417" t="n">
        <f aca="false">SQRT(acc_x^2+acc_z^2)</f>
        <v>2.12862647741777</v>
      </c>
      <c r="G878" s="418" t="n">
        <f aca="false">G877+acc_x*pas</f>
        <v>12.4650745046365</v>
      </c>
      <c r="H878" s="419" t="n">
        <f aca="false">H877+acc_z*pas</f>
        <v>-123.491601003002</v>
      </c>
      <c r="I878" s="417" t="n">
        <f aca="false">SQRT(vit_x^2+vit_z^2)</f>
        <v>124.119110537785</v>
      </c>
      <c r="J878" s="418" t="n">
        <f aca="false">J877+0.5*(vit_x+G877)*pas*(K877&gt;=0)</f>
        <v>913.614336176273</v>
      </c>
      <c r="K878" s="419" t="n">
        <f aca="false">K877+0.5*(vit_z+H877)*pas</f>
        <v>-10.5705573506236</v>
      </c>
      <c r="L878" s="417" t="n">
        <f aca="false">SQRT(pos_x^2+pos_z^2)</f>
        <v>913.675485032577</v>
      </c>
      <c r="M878" s="418" t="n">
        <f aca="false">IF(AND(L877&gt;L_rampe,G878&gt;0),ATAN2(G878,H878),$M$4)</f>
        <v>-1.47019841240929</v>
      </c>
      <c r="N878" s="417" t="n">
        <f aca="false">DEGREES(Beta)</f>
        <v>-84.2361640778862</v>
      </c>
      <c r="O878" s="401"/>
      <c r="P878" s="420" t="n">
        <f aca="false">MATCH(t-pas/2-T_ini,CdP_t)</f>
        <v>23</v>
      </c>
      <c r="Q878" s="417" t="n">
        <f aca="false">(INDEX(CdP,2,i_P+1)-INDEX(CdP,2,i_P+0))/(INDEX(CdP,1,i_P+1)-INDEX(CdP,1,i_P+0))*(t-pas/2-T_ini-INDEX(CdP,1,i_P+0))+INDEX(CdP,2,i_P+0)</f>
        <v>0</v>
      </c>
      <c r="R878" s="418" t="n">
        <f aca="false">Poussee/(g*ISP)</f>
        <v>0</v>
      </c>
      <c r="S878" s="419" t="n">
        <f aca="false">S877-Débit*pas</f>
        <v>7.37799999999998</v>
      </c>
      <c r="T878" s="417" t="n">
        <f aca="false">m*g</f>
        <v>72.3781799999998</v>
      </c>
      <c r="U878" s="421" t="n">
        <f aca="false">IF(pos_xz&lt;L_rampe,Poids*COS(Beta),0)</f>
        <v>0</v>
      </c>
      <c r="V878" s="418" t="n">
        <f aca="false">Rho_moyen*(20000-Alt_rampe-pos_z)/(20000+Alt_rampe+pos_z)</f>
        <v>1.22629557802454</v>
      </c>
      <c r="W878" s="417" t="n">
        <f aca="false">1/2*Rho*Sref*Cx*vit_xz^2</f>
        <v>58.0909105282509</v>
      </c>
      <c r="X878" s="401"/>
      <c r="Y878" s="422" t="str">
        <f aca="false">IF(AND(pos_z&lt;=0,K877&gt;0),"Impact balistique","") &amp; IF(AND(H879&lt;0,vit_z&gt;=0),"Apogée","") &amp; IF(AND(Poussee=0,Q877&gt;0),"Fin de propulsion","") &amp; IF(AND(L879&gt;L_rampe,pos_xz&lt;=L_rampe),"Sortie de rampe","")</f>
        <v/>
      </c>
      <c r="Z878" s="423" t="str">
        <f aca="false">IF(ABS(t-T_para)&lt;pas/2,"Para","")</f>
        <v/>
      </c>
      <c r="AA878" s="424" t="str">
        <f aca="false">IF(ABS(t-T_satellite)&lt;pas/2,"Satellite","")</f>
        <v/>
      </c>
      <c r="AB878" s="412"/>
      <c r="AC878" s="420" t="e">
        <f aca="false">IF(ABS(t-ROUND(t,0))&lt;0.001,t,NA())</f>
        <v>#N/A</v>
      </c>
      <c r="AD878" s="425" t="e">
        <f aca="false">IF(ABS(t-ROUND(t,0))&lt;0.001,pos_x,NA())</f>
        <v>#N/A</v>
      </c>
      <c r="AE878" s="426" t="e">
        <f aca="false">IF(t&lt;T_para, pos_z, NA())</f>
        <v>#N/A</v>
      </c>
      <c r="AF878" s="412"/>
      <c r="AG878" s="418" t="n">
        <f aca="false">IF(AND(L877&lt;L_rampe,Poussee&lt;Poids*SIN(M877)),0,(-W877+Poussee)/m-Poids*SIN(M877)/m)</f>
        <v>1.88690558132756</v>
      </c>
      <c r="AH878" s="417" t="n">
        <f aca="false">IF(AND(L877&lt;L_rampe,Poussee&lt;Poids*SIN(M877)), g*SIN(M877), (-W877+Poussee)/m)</f>
        <v>-7.87349717637056</v>
      </c>
    </row>
    <row r="879" customFormat="false" ht="12" hidden="false" customHeight="false" outlineLevel="0" collapsed="false">
      <c r="A879" s="416" t="n">
        <f aca="false">IF(B878+0.01&lt;=T_ini+ROUNDUP(Temps_fin_propu,0), 0.01, IF(K878&gt;0, 0.1, 0.0001))</f>
        <v>0.0001</v>
      </c>
      <c r="B879" s="417" t="n">
        <f aca="false">B878+pas</f>
        <v>36.3152000000007</v>
      </c>
      <c r="C879" s="401"/>
      <c r="D879" s="418" t="n">
        <f aca="false">IF(AND(L878&lt;L_rampe,Poussee&lt;Poids*SIN(M878)),0,(-W878+Poussee)/m*COS(M878)-U878/m*SIN(M878))</f>
        <v>-0.79072552239742</v>
      </c>
      <c r="E879" s="419" t="n">
        <f aca="false">IF(AND(L878&lt;L_rampe,Poussee&lt;Poids*SIN(M878)),0,(-W878+Poussee)/m*SIN(M878)+U878/m*COS(M878)-Poids/m)</f>
        <v>-1.97627540585723</v>
      </c>
      <c r="F879" s="417" t="n">
        <f aca="false">SQRT(acc_x^2+acc_z^2)</f>
        <v>2.12859374507369</v>
      </c>
      <c r="G879" s="418" t="n">
        <f aca="false">G878+acc_x*pas</f>
        <v>12.4649954320842</v>
      </c>
      <c r="H879" s="419" t="n">
        <f aca="false">H878+acc_z*pas</f>
        <v>-123.491798630543</v>
      </c>
      <c r="I879" s="417" t="n">
        <f aca="false">SQRT(vit_x^2+vit_z^2)</f>
        <v>124.119299225094</v>
      </c>
      <c r="J879" s="418" t="n">
        <f aca="false">J878+0.5*(vit_x+G878)*pas*(K878&gt;=0)</f>
        <v>913.614336176273</v>
      </c>
      <c r="K879" s="419" t="n">
        <f aca="false">K878+0.5*(vit_z+H878)*pas</f>
        <v>-10.5829065206052</v>
      </c>
      <c r="L879" s="417" t="n">
        <f aca="false">SQRT(pos_x^2+pos_z^2)</f>
        <v>913.675627986889</v>
      </c>
      <c r="M879" s="418" t="n">
        <f aca="false">IF(AND(L878&gt;L_rampe,G879&gt;0),ATAN2(G879,H879),$M$4)</f>
        <v>-1.47019920616327</v>
      </c>
      <c r="N879" s="417" t="n">
        <f aca="false">DEGREES(Beta)</f>
        <v>-84.2362095566393</v>
      </c>
      <c r="O879" s="401"/>
      <c r="P879" s="420" t="n">
        <f aca="false">MATCH(t-pas/2-T_ini,CdP_t)</f>
        <v>23</v>
      </c>
      <c r="Q879" s="417" t="n">
        <f aca="false">(INDEX(CdP,2,i_P+1)-INDEX(CdP,2,i_P+0))/(INDEX(CdP,1,i_P+1)-INDEX(CdP,1,i_P+0))*(t-pas/2-T_ini-INDEX(CdP,1,i_P+0))+INDEX(CdP,2,i_P+0)</f>
        <v>0</v>
      </c>
      <c r="R879" s="418" t="n">
        <f aca="false">Poussee/(g*ISP)</f>
        <v>0</v>
      </c>
      <c r="S879" s="419" t="n">
        <f aca="false">S878-Débit*pas</f>
        <v>7.37799999999998</v>
      </c>
      <c r="T879" s="417" t="n">
        <f aca="false">m*g</f>
        <v>72.3781799999998</v>
      </c>
      <c r="U879" s="421" t="n">
        <f aca="false">IF(pos_xz&lt;L_rampe,Poids*COS(Beta),0)</f>
        <v>0</v>
      </c>
      <c r="V879" s="418" t="n">
        <f aca="false">Rho_moyen*(20000-Alt_rampe-pos_z)/(20000+Alt_rampe+pos_z)</f>
        <v>1.22629709239915</v>
      </c>
      <c r="W879" s="417" t="n">
        <f aca="false">1/2*Rho*Sref*Cx*vit_xz^2</f>
        <v>58.0911588870702</v>
      </c>
      <c r="X879" s="401"/>
      <c r="Y879" s="422" t="str">
        <f aca="false">IF(AND(pos_z&lt;=0,K878&gt;0),"Impact balistique","") &amp; IF(AND(H880&lt;0,vit_z&gt;=0),"Apogée","") &amp; IF(AND(Poussee=0,Q878&gt;0),"Fin de propulsion","") &amp; IF(AND(L880&gt;L_rampe,pos_xz&lt;=L_rampe),"Sortie de rampe","")</f>
        <v/>
      </c>
      <c r="Z879" s="423" t="str">
        <f aca="false">IF(ABS(t-T_para)&lt;pas/2,"Para","")</f>
        <v/>
      </c>
      <c r="AA879" s="424" t="str">
        <f aca="false">IF(ABS(t-T_satellite)&lt;pas/2,"Satellite","")</f>
        <v/>
      </c>
      <c r="AB879" s="412"/>
      <c r="AC879" s="420" t="e">
        <f aca="false">IF(ABS(t-ROUND(t,0))&lt;0.001,t,NA())</f>
        <v>#N/A</v>
      </c>
      <c r="AD879" s="425" t="e">
        <f aca="false">IF(ABS(t-ROUND(t,0))&lt;0.001,pos_x,NA())</f>
        <v>#N/A</v>
      </c>
      <c r="AE879" s="426" t="e">
        <f aca="false">IF(t&lt;T_para, pos_z, NA())</f>
        <v>#N/A</v>
      </c>
      <c r="AF879" s="412"/>
      <c r="AG879" s="418" t="n">
        <f aca="false">IF(AND(L878&lt;L_rampe,Poussee&lt;Poids*SIN(M878)),0,(-W878+Poussee)/m-Poids*SIN(M878)/m)</f>
        <v>1.88687270097275</v>
      </c>
      <c r="AH879" s="417" t="n">
        <f aca="false">IF(AND(L878&lt;L_rampe,Poussee&lt;Poids*SIN(M878)), g*SIN(M878), (-W878+Poussee)/m)</f>
        <v>-7.8735308387437</v>
      </c>
    </row>
    <row r="880" customFormat="false" ht="12" hidden="false" customHeight="false" outlineLevel="0" collapsed="false">
      <c r="A880" s="416" t="n">
        <f aca="false">IF(B879+0.01&lt;=T_ini+ROUNDUP(Temps_fin_propu,0), 0.01, IF(K879&gt;0, 0.1, 0.0001))</f>
        <v>0.0001</v>
      </c>
      <c r="B880" s="417" t="n">
        <f aca="false">B879+pas</f>
        <v>36.3153000000007</v>
      </c>
      <c r="C880" s="401"/>
      <c r="D880" s="418" t="n">
        <f aca="false">IF(AND(L879&lt;L_rampe,Poussee&lt;Poids*SIN(M879)),0,(-W879+Poussee)/m*COS(M879)-U879/m*SIN(M879))</f>
        <v>-0.790722684946757</v>
      </c>
      <c r="E880" s="419" t="n">
        <f aca="false">IF(AND(L879&lt;L_rampe,Poussee&lt;Poids*SIN(M879)),0,(-W879+Poussee)/m*SIN(M879)+U879/m*COS(M879)-Poids/m)</f>
        <v>-1.97624128632193</v>
      </c>
      <c r="F880" s="417" t="n">
        <f aca="false">SQRT(acc_x^2+acc_z^2)</f>
        <v>2.12856101304444</v>
      </c>
      <c r="G880" s="418" t="n">
        <f aca="false">G879+acc_x*pas</f>
        <v>12.4649163598157</v>
      </c>
      <c r="H880" s="419" t="n">
        <f aca="false">H879+acc_z*pas</f>
        <v>-123.491996254672</v>
      </c>
      <c r="I880" s="417" t="n">
        <f aca="false">SQRT(vit_x^2+vit_z^2)</f>
        <v>124.119487909115</v>
      </c>
      <c r="J880" s="418" t="n">
        <f aca="false">J879+0.5*(vit_x+G879)*pas*(K879&gt;=0)</f>
        <v>913.614336176273</v>
      </c>
      <c r="K880" s="419" t="n">
        <f aca="false">K879+0.5*(vit_z+H879)*pas</f>
        <v>-10.5952557103495</v>
      </c>
      <c r="L880" s="417" t="n">
        <f aca="false">SQRT(pos_x^2+pos_z^2)</f>
        <v>913.675771108318</v>
      </c>
      <c r="M880" s="418" t="n">
        <f aca="false">IF(AND(L879&gt;L_rampe,G880&gt;0),ATAN2(G880,H880),$M$4)</f>
        <v>-1.4701999999098</v>
      </c>
      <c r="N880" s="417" t="n">
        <f aca="false">DEGREES(Beta)</f>
        <v>-84.2362550349657</v>
      </c>
      <c r="O880" s="401"/>
      <c r="P880" s="420" t="n">
        <f aca="false">MATCH(t-pas/2-T_ini,CdP_t)</f>
        <v>23</v>
      </c>
      <c r="Q880" s="417" t="n">
        <f aca="false">(INDEX(CdP,2,i_P+1)-INDEX(CdP,2,i_P+0))/(INDEX(CdP,1,i_P+1)-INDEX(CdP,1,i_P+0))*(t-pas/2-T_ini-INDEX(CdP,1,i_P+0))+INDEX(CdP,2,i_P+0)</f>
        <v>0</v>
      </c>
      <c r="R880" s="418" t="n">
        <f aca="false">Poussee/(g*ISP)</f>
        <v>0</v>
      </c>
      <c r="S880" s="419" t="n">
        <f aca="false">S879-Débit*pas</f>
        <v>7.37799999999998</v>
      </c>
      <c r="T880" s="417" t="n">
        <f aca="false">m*g</f>
        <v>72.3781799999998</v>
      </c>
      <c r="U880" s="421" t="n">
        <f aca="false">IF(pos_xz&lt;L_rampe,Poids*COS(Beta),0)</f>
        <v>0</v>
      </c>
      <c r="V880" s="418" t="n">
        <f aca="false">Rho_moyen*(20000-Alt_rampe-pos_z)/(20000+Alt_rampe+pos_z)</f>
        <v>1.22629860677806</v>
      </c>
      <c r="W880" s="417" t="n">
        <f aca="false">1/2*Rho*Sref*Cx*vit_xz^2</f>
        <v>58.09140724372</v>
      </c>
      <c r="X880" s="401"/>
      <c r="Y880" s="422" t="str">
        <f aca="false">IF(AND(pos_z&lt;=0,K879&gt;0),"Impact balistique","") &amp; IF(AND(H881&lt;0,vit_z&gt;=0),"Apogée","") &amp; IF(AND(Poussee=0,Q879&gt;0),"Fin de propulsion","") &amp; IF(AND(L881&gt;L_rampe,pos_xz&lt;=L_rampe),"Sortie de rampe","")</f>
        <v/>
      </c>
      <c r="Z880" s="423" t="str">
        <f aca="false">IF(ABS(t-T_para)&lt;pas/2,"Para","")</f>
        <v/>
      </c>
      <c r="AA880" s="424" t="str">
        <f aca="false">IF(ABS(t-T_satellite)&lt;pas/2,"Satellite","")</f>
        <v/>
      </c>
      <c r="AB880" s="412"/>
      <c r="AC880" s="420" t="e">
        <f aca="false">IF(ABS(t-ROUND(t,0))&lt;0.001,t,NA())</f>
        <v>#N/A</v>
      </c>
      <c r="AD880" s="425" t="e">
        <f aca="false">IF(ABS(t-ROUND(t,0))&lt;0.001,pos_x,NA())</f>
        <v>#N/A</v>
      </c>
      <c r="AE880" s="426" t="e">
        <f aca="false">IF(t&lt;T_para, pos_z, NA())</f>
        <v>#N/A</v>
      </c>
      <c r="AF880" s="412"/>
      <c r="AG880" s="418" t="n">
        <f aca="false">IF(AND(L879&lt;L_rampe,Poussee&lt;Poids*SIN(M879)),0,(-W879+Poussee)/m-Poids*SIN(M879)/m)</f>
        <v>1.88683982089852</v>
      </c>
      <c r="AH880" s="417" t="n">
        <f aca="false">IF(AND(L879&lt;L_rampe,Poussee&lt;Poids*SIN(M879)), g*SIN(M879), (-W879+Poussee)/m)</f>
        <v>-7.87356450082277</v>
      </c>
    </row>
    <row r="881" customFormat="false" ht="12" hidden="false" customHeight="false" outlineLevel="0" collapsed="false">
      <c r="A881" s="416" t="n">
        <f aca="false">IF(B880+0.01&lt;=T_ini+ROUNDUP(Temps_fin_propu,0), 0.01, IF(K880&gt;0, 0.1, 0.0001))</f>
        <v>0.0001</v>
      </c>
      <c r="B881" s="417" t="n">
        <f aca="false">B880+pas</f>
        <v>36.3154000000007</v>
      </c>
      <c r="C881" s="401"/>
      <c r="D881" s="418" t="n">
        <f aca="false">IF(AND(L880&lt;L_rampe,Poussee&lt;Poids*SIN(M880)),0,(-W880+Poussee)/m*COS(M880)-U880/m*SIN(M880))</f>
        <v>-0.790719847471245</v>
      </c>
      <c r="E881" s="419" t="n">
        <f aca="false">IF(AND(L880&lt;L_rampe,Poussee&lt;Poids*SIN(M880)),0,(-W880+Poussee)/m*SIN(M880)+U880/m*COS(M880)-Poids/m)</f>
        <v>-1.97620716708467</v>
      </c>
      <c r="F881" s="417" t="n">
        <f aca="false">SQRT(acc_x^2+acc_z^2)</f>
        <v>2.12852828133003</v>
      </c>
      <c r="G881" s="418" t="n">
        <f aca="false">G880+acc_x*pas</f>
        <v>12.464837287831</v>
      </c>
      <c r="H881" s="419" t="n">
        <f aca="false">H880+acc_z*pas</f>
        <v>-123.492193875388</v>
      </c>
      <c r="I881" s="417" t="n">
        <f aca="false">SQRT(vit_x^2+vit_z^2)</f>
        <v>124.119676589849</v>
      </c>
      <c r="J881" s="418" t="n">
        <f aca="false">J880+0.5*(vit_x+G880)*pas*(K880&gt;=0)</f>
        <v>913.614336176273</v>
      </c>
      <c r="K881" s="419" t="n">
        <f aca="false">K880+0.5*(vit_z+H880)*pas</f>
        <v>-10.607604919856</v>
      </c>
      <c r="L881" s="417" t="n">
        <f aca="false">SQRT(pos_x^2+pos_z^2)</f>
        <v>913.675914396865</v>
      </c>
      <c r="M881" s="418" t="n">
        <f aca="false">IF(AND(L880&gt;L_rampe,G881&gt;0),ATAN2(G881,H881),$M$4)</f>
        <v>-1.47020079364889</v>
      </c>
      <c r="N881" s="417" t="n">
        <f aca="false">DEGREES(Beta)</f>
        <v>-84.2363005128652</v>
      </c>
      <c r="O881" s="401"/>
      <c r="P881" s="420" t="n">
        <f aca="false">MATCH(t-pas/2-T_ini,CdP_t)</f>
        <v>23</v>
      </c>
      <c r="Q881" s="417" t="n">
        <f aca="false">(INDEX(CdP,2,i_P+1)-INDEX(CdP,2,i_P+0))/(INDEX(CdP,1,i_P+1)-INDEX(CdP,1,i_P+0))*(t-pas/2-T_ini-INDEX(CdP,1,i_P+0))+INDEX(CdP,2,i_P+0)</f>
        <v>0</v>
      </c>
      <c r="R881" s="418" t="n">
        <f aca="false">Poussee/(g*ISP)</f>
        <v>0</v>
      </c>
      <c r="S881" s="419" t="n">
        <f aca="false">S880-Débit*pas</f>
        <v>7.37799999999998</v>
      </c>
      <c r="T881" s="417" t="n">
        <f aca="false">m*g</f>
        <v>72.3781799999998</v>
      </c>
      <c r="U881" s="421" t="n">
        <f aca="false">IF(pos_xz&lt;L_rampe,Poids*COS(Beta),0)</f>
        <v>0</v>
      </c>
      <c r="V881" s="418" t="n">
        <f aca="false">Rho_moyen*(20000-Alt_rampe-pos_z)/(20000+Alt_rampe+pos_z)</f>
        <v>1.22630012116126</v>
      </c>
      <c r="W881" s="417" t="n">
        <f aca="false">1/2*Rho*Sref*Cx*vit_xz^2</f>
        <v>58.0916555982002</v>
      </c>
      <c r="X881" s="401"/>
      <c r="Y881" s="422" t="str">
        <f aca="false">IF(AND(pos_z&lt;=0,K880&gt;0),"Impact balistique","") &amp; IF(AND(H882&lt;0,vit_z&gt;=0),"Apogée","") &amp; IF(AND(Poussee=0,Q880&gt;0),"Fin de propulsion","") &amp; IF(AND(L882&gt;L_rampe,pos_xz&lt;=L_rampe),"Sortie de rampe","")</f>
        <v/>
      </c>
      <c r="Z881" s="423" t="str">
        <f aca="false">IF(ABS(t-T_para)&lt;pas/2,"Para","")</f>
        <v/>
      </c>
      <c r="AA881" s="424" t="str">
        <f aca="false">IF(ABS(t-T_satellite)&lt;pas/2,"Satellite","")</f>
        <v/>
      </c>
      <c r="AB881" s="412"/>
      <c r="AC881" s="420" t="e">
        <f aca="false">IF(ABS(t-ROUND(t,0))&lt;0.001,t,NA())</f>
        <v>#N/A</v>
      </c>
      <c r="AD881" s="425" t="e">
        <f aca="false">IF(ABS(t-ROUND(t,0))&lt;0.001,pos_x,NA())</f>
        <v>#N/A</v>
      </c>
      <c r="AE881" s="426" t="e">
        <f aca="false">IF(t&lt;T_para, pos_z, NA())</f>
        <v>#N/A</v>
      </c>
      <c r="AF881" s="412"/>
      <c r="AG881" s="418" t="n">
        <f aca="false">IF(AND(L880&lt;L_rampe,Poussee&lt;Poids*SIN(M880)),0,(-W880+Poussee)/m-Poids*SIN(M880)/m)</f>
        <v>1.88680694110486</v>
      </c>
      <c r="AH881" s="417" t="n">
        <f aca="false">IF(AND(L880&lt;L_rampe,Poussee&lt;Poids*SIN(M880)), g*SIN(M880), (-W880+Poussee)/m)</f>
        <v>-7.87359816260778</v>
      </c>
    </row>
    <row r="882" customFormat="false" ht="12" hidden="false" customHeight="false" outlineLevel="0" collapsed="false">
      <c r="A882" s="416" t="n">
        <f aca="false">IF(B881+0.01&lt;=T_ini+ROUNDUP(Temps_fin_propu,0), 0.01, IF(K881&gt;0, 0.1, 0.0001))</f>
        <v>0.0001</v>
      </c>
      <c r="B882" s="417" t="n">
        <f aca="false">B881+pas</f>
        <v>36.3155000000007</v>
      </c>
      <c r="C882" s="401"/>
      <c r="D882" s="418" t="n">
        <f aca="false">IF(AND(L881&lt;L_rampe,Poussee&lt;Poids*SIN(M881)),0,(-W881+Poussee)/m*COS(M881)-U881/m*SIN(M881))</f>
        <v>-0.790717009970886</v>
      </c>
      <c r="E882" s="419" t="n">
        <f aca="false">IF(AND(L881&lt;L_rampe,Poussee&lt;Poids*SIN(M881)),0,(-W881+Poussee)/m*SIN(M881)+U881/m*COS(M881)-Poids/m)</f>
        <v>-1.97617304814545</v>
      </c>
      <c r="F882" s="417" t="n">
        <f aca="false">SQRT(acc_x^2+acc_z^2)</f>
        <v>2.12849554993046</v>
      </c>
      <c r="G882" s="418" t="n">
        <f aca="false">G881+acc_x*pas</f>
        <v>12.46475821613</v>
      </c>
      <c r="H882" s="419" t="n">
        <f aca="false">H881+acc_z*pas</f>
        <v>-123.492391492693</v>
      </c>
      <c r="I882" s="417" t="n">
        <f aca="false">SQRT(vit_x^2+vit_z^2)</f>
        <v>124.119865267294</v>
      </c>
      <c r="J882" s="418" t="n">
        <f aca="false">J881+0.5*(vit_x+G881)*pas*(K881&gt;=0)</f>
        <v>913.614336176273</v>
      </c>
      <c r="K882" s="419" t="n">
        <f aca="false">K881+0.5*(vit_z+H881)*pas</f>
        <v>-10.6199541491244</v>
      </c>
      <c r="L882" s="417" t="n">
        <f aca="false">SQRT(pos_x^2+pos_z^2)</f>
        <v>913.676057852531</v>
      </c>
      <c r="M882" s="418" t="n">
        <f aca="false">IF(AND(L881&gt;L_rampe,G882&gt;0),ATAN2(G882,H882),$M$4)</f>
        <v>-1.47020158738052</v>
      </c>
      <c r="N882" s="417" t="n">
        <f aca="false">DEGREES(Beta)</f>
        <v>-84.236345990338</v>
      </c>
      <c r="O882" s="401"/>
      <c r="P882" s="420" t="n">
        <f aca="false">MATCH(t-pas/2-T_ini,CdP_t)</f>
        <v>23</v>
      </c>
      <c r="Q882" s="417" t="n">
        <f aca="false">(INDEX(CdP,2,i_P+1)-INDEX(CdP,2,i_P+0))/(INDEX(CdP,1,i_P+1)-INDEX(CdP,1,i_P+0))*(t-pas/2-T_ini-INDEX(CdP,1,i_P+0))+INDEX(CdP,2,i_P+0)</f>
        <v>0</v>
      </c>
      <c r="R882" s="418" t="n">
        <f aca="false">Poussee/(g*ISP)</f>
        <v>0</v>
      </c>
      <c r="S882" s="419" t="n">
        <f aca="false">S881-Débit*pas</f>
        <v>7.37799999999998</v>
      </c>
      <c r="T882" s="417" t="n">
        <f aca="false">m*g</f>
        <v>72.3781799999998</v>
      </c>
      <c r="U882" s="421" t="n">
        <f aca="false">IF(pos_xz&lt;L_rampe,Poids*COS(Beta),0)</f>
        <v>0</v>
      </c>
      <c r="V882" s="418" t="n">
        <f aca="false">Rho_moyen*(20000-Alt_rampe-pos_z)/(20000+Alt_rampe+pos_z)</f>
        <v>1.22630163554876</v>
      </c>
      <c r="W882" s="417" t="n">
        <f aca="false">1/2*Rho*Sref*Cx*vit_xz^2</f>
        <v>58.0919039505109</v>
      </c>
      <c r="X882" s="401"/>
      <c r="Y882" s="422" t="str">
        <f aca="false">IF(AND(pos_z&lt;=0,K881&gt;0),"Impact balistique","") &amp; IF(AND(H883&lt;0,vit_z&gt;=0),"Apogée","") &amp; IF(AND(Poussee=0,Q881&gt;0),"Fin de propulsion","") &amp; IF(AND(L883&gt;L_rampe,pos_xz&lt;=L_rampe),"Sortie de rampe","")</f>
        <v/>
      </c>
      <c r="Z882" s="423" t="str">
        <f aca="false">IF(ABS(t-T_para)&lt;pas/2,"Para","")</f>
        <v/>
      </c>
      <c r="AA882" s="424" t="str">
        <f aca="false">IF(ABS(t-T_satellite)&lt;pas/2,"Satellite","")</f>
        <v/>
      </c>
      <c r="AB882" s="412"/>
      <c r="AC882" s="420" t="e">
        <f aca="false">IF(ABS(t-ROUND(t,0))&lt;0.001,t,NA())</f>
        <v>#N/A</v>
      </c>
      <c r="AD882" s="425" t="e">
        <f aca="false">IF(ABS(t-ROUND(t,0))&lt;0.001,pos_x,NA())</f>
        <v>#N/A</v>
      </c>
      <c r="AE882" s="426" t="e">
        <f aca="false">IF(t&lt;T_para, pos_z, NA())</f>
        <v>#N/A</v>
      </c>
      <c r="AF882" s="412"/>
      <c r="AG882" s="418" t="n">
        <f aca="false">IF(AND(L881&lt;L_rampe,Poussee&lt;Poids*SIN(M881)),0,(-W881+Poussee)/m-Poids*SIN(M881)/m)</f>
        <v>1.88677406159178</v>
      </c>
      <c r="AH882" s="417" t="n">
        <f aca="false">IF(AND(L881&lt;L_rampe,Poussee&lt;Poids*SIN(M881)), g*SIN(M881), (-W881+Poussee)/m)</f>
        <v>-7.87363182409872</v>
      </c>
    </row>
    <row r="883" customFormat="false" ht="12" hidden="false" customHeight="false" outlineLevel="0" collapsed="false">
      <c r="A883" s="416" t="n">
        <f aca="false">IF(B882+0.01&lt;=T_ini+ROUNDUP(Temps_fin_propu,0), 0.01, IF(K882&gt;0, 0.1, 0.0001))</f>
        <v>0.0001</v>
      </c>
      <c r="B883" s="417" t="n">
        <f aca="false">B882+pas</f>
        <v>36.3156000000007</v>
      </c>
      <c r="C883" s="401"/>
      <c r="D883" s="418" t="n">
        <f aca="false">IF(AND(L882&lt;L_rampe,Poussee&lt;Poids*SIN(M882)),0,(-W882+Poussee)/m*COS(M882)-U882/m*SIN(M882))</f>
        <v>-0.79071417244568</v>
      </c>
      <c r="E883" s="419" t="n">
        <f aca="false">IF(AND(L882&lt;L_rampe,Poussee&lt;Poids*SIN(M882)),0,(-W882+Poussee)/m*SIN(M882)+U882/m*COS(M882)-Poids/m)</f>
        <v>-1.97613892950425</v>
      </c>
      <c r="F883" s="417" t="n">
        <f aca="false">SQRT(acc_x^2+acc_z^2)</f>
        <v>2.12846281884572</v>
      </c>
      <c r="G883" s="418" t="n">
        <f aca="false">G882+acc_x*pas</f>
        <v>12.4646791447127</v>
      </c>
      <c r="H883" s="419" t="n">
        <f aca="false">H882+acc_z*pas</f>
        <v>-123.492589106586</v>
      </c>
      <c r="I883" s="417" t="n">
        <f aca="false">SQRT(vit_x^2+vit_z^2)</f>
        <v>124.120053941451</v>
      </c>
      <c r="J883" s="418" t="n">
        <f aca="false">J882+0.5*(vit_x+G882)*pas*(K882&gt;=0)</f>
        <v>913.614336176273</v>
      </c>
      <c r="K883" s="419" t="n">
        <f aca="false">K882+0.5*(vit_z+H882)*pas</f>
        <v>-10.6323033981544</v>
      </c>
      <c r="L883" s="417" t="n">
        <f aca="false">SQRT(pos_x^2+pos_z^2)</f>
        <v>913.676201475316</v>
      </c>
      <c r="M883" s="418" t="n">
        <f aca="false">IF(AND(L882&gt;L_rampe,G883&gt;0),ATAN2(G883,H883),$M$4)</f>
        <v>-1.47020238110471</v>
      </c>
      <c r="N883" s="417" t="n">
        <f aca="false">DEGREES(Beta)</f>
        <v>-84.2363914673841</v>
      </c>
      <c r="O883" s="401"/>
      <c r="P883" s="420" t="n">
        <f aca="false">MATCH(t-pas/2-T_ini,CdP_t)</f>
        <v>23</v>
      </c>
      <c r="Q883" s="417" t="n">
        <f aca="false">(INDEX(CdP,2,i_P+1)-INDEX(CdP,2,i_P+0))/(INDEX(CdP,1,i_P+1)-INDEX(CdP,1,i_P+0))*(t-pas/2-T_ini-INDEX(CdP,1,i_P+0))+INDEX(CdP,2,i_P+0)</f>
        <v>0</v>
      </c>
      <c r="R883" s="418" t="n">
        <f aca="false">Poussee/(g*ISP)</f>
        <v>0</v>
      </c>
      <c r="S883" s="419" t="n">
        <f aca="false">S882-Débit*pas</f>
        <v>7.37799999999998</v>
      </c>
      <c r="T883" s="417" t="n">
        <f aca="false">m*g</f>
        <v>72.3781799999998</v>
      </c>
      <c r="U883" s="421" t="n">
        <f aca="false">IF(pos_xz&lt;L_rampe,Poids*COS(Beta),0)</f>
        <v>0</v>
      </c>
      <c r="V883" s="418" t="n">
        <f aca="false">Rho_moyen*(20000-Alt_rampe-pos_z)/(20000+Alt_rampe+pos_z)</f>
        <v>1.22630314994055</v>
      </c>
      <c r="W883" s="417" t="n">
        <f aca="false">1/2*Rho*Sref*Cx*vit_xz^2</f>
        <v>58.0921523006519</v>
      </c>
      <c r="X883" s="401"/>
      <c r="Y883" s="422" t="str">
        <f aca="false">IF(AND(pos_z&lt;=0,K882&gt;0),"Impact balistique","") &amp; IF(AND(H884&lt;0,vit_z&gt;=0),"Apogée","") &amp; IF(AND(Poussee=0,Q882&gt;0),"Fin de propulsion","") &amp; IF(AND(L884&gt;L_rampe,pos_xz&lt;=L_rampe),"Sortie de rampe","")</f>
        <v/>
      </c>
      <c r="Z883" s="423" t="str">
        <f aca="false">IF(ABS(t-T_para)&lt;pas/2,"Para","")</f>
        <v/>
      </c>
      <c r="AA883" s="424" t="str">
        <f aca="false">IF(ABS(t-T_satellite)&lt;pas/2,"Satellite","")</f>
        <v/>
      </c>
      <c r="AB883" s="412"/>
      <c r="AC883" s="420" t="e">
        <f aca="false">IF(ABS(t-ROUND(t,0))&lt;0.001,t,NA())</f>
        <v>#N/A</v>
      </c>
      <c r="AD883" s="425" t="e">
        <f aca="false">IF(ABS(t-ROUND(t,0))&lt;0.001,pos_x,NA())</f>
        <v>#N/A</v>
      </c>
      <c r="AE883" s="426" t="e">
        <f aca="false">IF(t&lt;T_para, pos_z, NA())</f>
        <v>#N/A</v>
      </c>
      <c r="AF883" s="412"/>
      <c r="AG883" s="418" t="n">
        <f aca="false">IF(AND(L882&lt;L_rampe,Poussee&lt;Poids*SIN(M882)),0,(-W882+Poussee)/m-Poids*SIN(M882)/m)</f>
        <v>1.88674118235927</v>
      </c>
      <c r="AH883" s="417" t="n">
        <f aca="false">IF(AND(L882&lt;L_rampe,Poussee&lt;Poids*SIN(M882)), g*SIN(M882), (-W882+Poussee)/m)</f>
        <v>-7.87366548529561</v>
      </c>
    </row>
    <row r="884" customFormat="false" ht="12" hidden="false" customHeight="false" outlineLevel="0" collapsed="false">
      <c r="A884" s="416" t="n">
        <f aca="false">IF(B883+0.01&lt;=T_ini+ROUNDUP(Temps_fin_propu,0), 0.01, IF(K883&gt;0, 0.1, 0.0001))</f>
        <v>0.0001</v>
      </c>
      <c r="B884" s="417" t="n">
        <f aca="false">B883+pas</f>
        <v>36.3157000000007</v>
      </c>
      <c r="C884" s="401"/>
      <c r="D884" s="418" t="n">
        <f aca="false">IF(AND(L883&lt;L_rampe,Poussee&lt;Poids*SIN(M883)),0,(-W883+Poussee)/m*COS(M883)-U883/m*SIN(M883))</f>
        <v>-0.790711334895626</v>
      </c>
      <c r="E884" s="419" t="n">
        <f aca="false">IF(AND(L883&lt;L_rampe,Poussee&lt;Poids*SIN(M883)),0,(-W883+Poussee)/m*SIN(M883)+U883/m*COS(M883)-Poids/m)</f>
        <v>-1.97610481116109</v>
      </c>
      <c r="F884" s="417" t="n">
        <f aca="false">SQRT(acc_x^2+acc_z^2)</f>
        <v>2.12843008807582</v>
      </c>
      <c r="G884" s="418" t="n">
        <f aca="false">G883+acc_x*pas</f>
        <v>12.4646000735792</v>
      </c>
      <c r="H884" s="419" t="n">
        <f aca="false">H883+acc_z*pas</f>
        <v>-123.492786717067</v>
      </c>
      <c r="I884" s="417" t="n">
        <f aca="false">SQRT(vit_x^2+vit_z^2)</f>
        <v>124.120242612321</v>
      </c>
      <c r="J884" s="418" t="n">
        <f aca="false">J883+0.5*(vit_x+G883)*pas*(K883&gt;=0)</f>
        <v>913.614336176273</v>
      </c>
      <c r="K884" s="419" t="n">
        <f aca="false">K883+0.5*(vit_z+H883)*pas</f>
        <v>-10.6446526669455</v>
      </c>
      <c r="L884" s="417" t="n">
        <f aca="false">SQRT(pos_x^2+pos_z^2)</f>
        <v>913.676345265221</v>
      </c>
      <c r="M884" s="418" t="n">
        <f aca="false">IF(AND(L883&gt;L_rampe,G884&gt;0),ATAN2(G884,H884),$M$4)</f>
        <v>-1.47020317482145</v>
      </c>
      <c r="N884" s="417" t="n">
        <f aca="false">DEGREES(Beta)</f>
        <v>-84.2364369440033</v>
      </c>
      <c r="O884" s="401"/>
      <c r="P884" s="420" t="n">
        <f aca="false">MATCH(t-pas/2-T_ini,CdP_t)</f>
        <v>23</v>
      </c>
      <c r="Q884" s="417" t="n">
        <f aca="false">(INDEX(CdP,2,i_P+1)-INDEX(CdP,2,i_P+0))/(INDEX(CdP,1,i_P+1)-INDEX(CdP,1,i_P+0))*(t-pas/2-T_ini-INDEX(CdP,1,i_P+0))+INDEX(CdP,2,i_P+0)</f>
        <v>0</v>
      </c>
      <c r="R884" s="418" t="n">
        <f aca="false">Poussee/(g*ISP)</f>
        <v>0</v>
      </c>
      <c r="S884" s="419" t="n">
        <f aca="false">S883-Débit*pas</f>
        <v>7.37799999999998</v>
      </c>
      <c r="T884" s="417" t="n">
        <f aca="false">m*g</f>
        <v>72.3781799999998</v>
      </c>
      <c r="U884" s="421" t="n">
        <f aca="false">IF(pos_xz&lt;L_rampe,Poids*COS(Beta),0)</f>
        <v>0</v>
      </c>
      <c r="V884" s="418" t="n">
        <f aca="false">Rho_moyen*(20000-Alt_rampe-pos_z)/(20000+Alt_rampe+pos_z)</f>
        <v>1.22630466433664</v>
      </c>
      <c r="W884" s="417" t="n">
        <f aca="false">1/2*Rho*Sref*Cx*vit_xz^2</f>
        <v>58.0924006486233</v>
      </c>
      <c r="X884" s="401"/>
      <c r="Y884" s="422" t="str">
        <f aca="false">IF(AND(pos_z&lt;=0,K883&gt;0),"Impact balistique","") &amp; IF(AND(H885&lt;0,vit_z&gt;=0),"Apogée","") &amp; IF(AND(Poussee=0,Q883&gt;0),"Fin de propulsion","") &amp; IF(AND(L885&gt;L_rampe,pos_xz&lt;=L_rampe),"Sortie de rampe","")</f>
        <v/>
      </c>
      <c r="Z884" s="423" t="str">
        <f aca="false">IF(ABS(t-T_para)&lt;pas/2,"Para","")</f>
        <v/>
      </c>
      <c r="AA884" s="424" t="str">
        <f aca="false">IF(ABS(t-T_satellite)&lt;pas/2,"Satellite","")</f>
        <v/>
      </c>
      <c r="AB884" s="412"/>
      <c r="AC884" s="420" t="e">
        <f aca="false">IF(ABS(t-ROUND(t,0))&lt;0.001,t,NA())</f>
        <v>#N/A</v>
      </c>
      <c r="AD884" s="425" t="e">
        <f aca="false">IF(ABS(t-ROUND(t,0))&lt;0.001,pos_x,NA())</f>
        <v>#N/A</v>
      </c>
      <c r="AE884" s="426" t="e">
        <f aca="false">IF(t&lt;T_para, pos_z, NA())</f>
        <v>#N/A</v>
      </c>
      <c r="AF884" s="412"/>
      <c r="AG884" s="418" t="n">
        <f aca="false">IF(AND(L883&lt;L_rampe,Poussee&lt;Poids*SIN(M883)),0,(-W883+Poussee)/m-Poids*SIN(M883)/m)</f>
        <v>1.88670830340734</v>
      </c>
      <c r="AH884" s="417" t="n">
        <f aca="false">IF(AND(L883&lt;L_rampe,Poussee&lt;Poids*SIN(M883)), g*SIN(M883), (-W883+Poussee)/m)</f>
        <v>-7.87369914619843</v>
      </c>
    </row>
    <row r="885" customFormat="false" ht="12" hidden="false" customHeight="false" outlineLevel="0" collapsed="false">
      <c r="A885" s="416" t="n">
        <f aca="false">IF(B884+0.01&lt;=T_ini+ROUNDUP(Temps_fin_propu,0), 0.01, IF(K884&gt;0, 0.1, 0.0001))</f>
        <v>0.0001</v>
      </c>
      <c r="B885" s="417" t="n">
        <f aca="false">B884+pas</f>
        <v>36.3158000000007</v>
      </c>
      <c r="C885" s="401"/>
      <c r="D885" s="418" t="n">
        <f aca="false">IF(AND(L884&lt;L_rampe,Poussee&lt;Poids*SIN(M884)),0,(-W884+Poussee)/m*COS(M884)-U884/m*SIN(M884))</f>
        <v>-0.790708497320728</v>
      </c>
      <c r="E885" s="419" t="n">
        <f aca="false">IF(AND(L884&lt;L_rampe,Poussee&lt;Poids*SIN(M884)),0,(-W884+Poussee)/m*SIN(M884)+U884/m*COS(M884)-Poids/m)</f>
        <v>-1.97607069311596</v>
      </c>
      <c r="F885" s="417" t="n">
        <f aca="false">SQRT(acc_x^2+acc_z^2)</f>
        <v>2.12839735762075</v>
      </c>
      <c r="G885" s="418" t="n">
        <f aca="false">G884+acc_x*pas</f>
        <v>12.4645210027295</v>
      </c>
      <c r="H885" s="419" t="n">
        <f aca="false">H884+acc_z*pas</f>
        <v>-123.492984324136</v>
      </c>
      <c r="I885" s="417" t="n">
        <f aca="false">SQRT(vit_x^2+vit_z^2)</f>
        <v>124.120431279902</v>
      </c>
      <c r="J885" s="418" t="n">
        <f aca="false">J884+0.5*(vit_x+G884)*pas*(K884&gt;=0)</f>
        <v>913.614336176273</v>
      </c>
      <c r="K885" s="419" t="n">
        <f aca="false">K884+0.5*(vit_z+H884)*pas</f>
        <v>-10.6570019554976</v>
      </c>
      <c r="L885" s="417" t="n">
        <f aca="false">SQRT(pos_x^2+pos_z^2)</f>
        <v>913.676489222248</v>
      </c>
      <c r="M885" s="418" t="n">
        <f aca="false">IF(AND(L884&gt;L_rampe,G885&gt;0),ATAN2(G885,H885),$M$4)</f>
        <v>-1.47020396853074</v>
      </c>
      <c r="N885" s="417" t="n">
        <f aca="false">DEGREES(Beta)</f>
        <v>-84.2364824201959</v>
      </c>
      <c r="O885" s="401"/>
      <c r="P885" s="420" t="n">
        <f aca="false">MATCH(t-pas/2-T_ini,CdP_t)</f>
        <v>23</v>
      </c>
      <c r="Q885" s="417" t="n">
        <f aca="false">(INDEX(CdP,2,i_P+1)-INDEX(CdP,2,i_P+0))/(INDEX(CdP,1,i_P+1)-INDEX(CdP,1,i_P+0))*(t-pas/2-T_ini-INDEX(CdP,1,i_P+0))+INDEX(CdP,2,i_P+0)</f>
        <v>0</v>
      </c>
      <c r="R885" s="418" t="n">
        <f aca="false">Poussee/(g*ISP)</f>
        <v>0</v>
      </c>
      <c r="S885" s="419" t="n">
        <f aca="false">S884-Débit*pas</f>
        <v>7.37799999999998</v>
      </c>
      <c r="T885" s="417" t="n">
        <f aca="false">m*g</f>
        <v>72.3781799999998</v>
      </c>
      <c r="U885" s="421" t="n">
        <f aca="false">IF(pos_xz&lt;L_rampe,Poids*COS(Beta),0)</f>
        <v>0</v>
      </c>
      <c r="V885" s="418" t="n">
        <f aca="false">Rho_moyen*(20000-Alt_rampe-pos_z)/(20000+Alt_rampe+pos_z)</f>
        <v>1.22630617873702</v>
      </c>
      <c r="W885" s="417" t="n">
        <f aca="false">1/2*Rho*Sref*Cx*vit_xz^2</f>
        <v>58.0926489944252</v>
      </c>
      <c r="X885" s="401"/>
      <c r="Y885" s="422" t="str">
        <f aca="false">IF(AND(pos_z&lt;=0,K884&gt;0),"Impact balistique","") &amp; IF(AND(H886&lt;0,vit_z&gt;=0),"Apogée","") &amp; IF(AND(Poussee=0,Q884&gt;0),"Fin de propulsion","") &amp; IF(AND(L886&gt;L_rampe,pos_xz&lt;=L_rampe),"Sortie de rampe","")</f>
        <v/>
      </c>
      <c r="Z885" s="423" t="str">
        <f aca="false">IF(ABS(t-T_para)&lt;pas/2,"Para","")</f>
        <v/>
      </c>
      <c r="AA885" s="424" t="str">
        <f aca="false">IF(ABS(t-T_satellite)&lt;pas/2,"Satellite","")</f>
        <v/>
      </c>
      <c r="AB885" s="412"/>
      <c r="AC885" s="420" t="e">
        <f aca="false">IF(ABS(t-ROUND(t,0))&lt;0.001,t,NA())</f>
        <v>#N/A</v>
      </c>
      <c r="AD885" s="425" t="e">
        <f aca="false">IF(ABS(t-ROUND(t,0))&lt;0.001,pos_x,NA())</f>
        <v>#N/A</v>
      </c>
      <c r="AE885" s="426" t="e">
        <f aca="false">IF(t&lt;T_para, pos_z, NA())</f>
        <v>#N/A</v>
      </c>
      <c r="AF885" s="412"/>
      <c r="AG885" s="418" t="n">
        <f aca="false">IF(AND(L884&lt;L_rampe,Poussee&lt;Poids*SIN(M884)),0,(-W884+Poussee)/m-Poids*SIN(M884)/m)</f>
        <v>1.88667542473598</v>
      </c>
      <c r="AH885" s="417" t="n">
        <f aca="false">IF(AND(L884&lt;L_rampe,Poussee&lt;Poids*SIN(M884)), g*SIN(M884), (-W884+Poussee)/m)</f>
        <v>-7.87373280680719</v>
      </c>
    </row>
    <row r="886" customFormat="false" ht="12" hidden="false" customHeight="false" outlineLevel="0" collapsed="false">
      <c r="A886" s="416" t="n">
        <f aca="false">IF(B885+0.01&lt;=T_ini+ROUNDUP(Temps_fin_propu,0), 0.01, IF(K885&gt;0, 0.1, 0.0001))</f>
        <v>0.0001</v>
      </c>
      <c r="B886" s="417" t="n">
        <f aca="false">B885+pas</f>
        <v>36.3159000000007</v>
      </c>
      <c r="C886" s="401"/>
      <c r="D886" s="418" t="n">
        <f aca="false">IF(AND(L885&lt;L_rampe,Poussee&lt;Poids*SIN(M885)),0,(-W885+Poussee)/m*COS(M885)-U885/m*SIN(M885))</f>
        <v>-0.790705659720985</v>
      </c>
      <c r="E886" s="419" t="n">
        <f aca="false">IF(AND(L885&lt;L_rampe,Poussee&lt;Poids*SIN(M885)),0,(-W885+Poussee)/m*SIN(M885)+U885/m*COS(M885)-Poids/m)</f>
        <v>-1.97603657536887</v>
      </c>
      <c r="F886" s="417" t="n">
        <f aca="false">SQRT(acc_x^2+acc_z^2)</f>
        <v>2.12836462748053</v>
      </c>
      <c r="G886" s="418" t="n">
        <f aca="false">G885+acc_x*pas</f>
        <v>12.4644419321635</v>
      </c>
      <c r="H886" s="419" t="n">
        <f aca="false">H885+acc_z*pas</f>
        <v>-123.493181927794</v>
      </c>
      <c r="I886" s="417" t="n">
        <f aca="false">SQRT(vit_x^2+vit_z^2)</f>
        <v>124.120619944196</v>
      </c>
      <c r="J886" s="418" t="n">
        <f aca="false">J885+0.5*(vit_x+G885)*pas*(K885&gt;=0)</f>
        <v>913.614336176273</v>
      </c>
      <c r="K886" s="419" t="n">
        <f aca="false">K885+0.5*(vit_z+H885)*pas</f>
        <v>-10.6693512638102</v>
      </c>
      <c r="L886" s="417" t="n">
        <f aca="false">SQRT(pos_x^2+pos_z^2)</f>
        <v>913.676633346395</v>
      </c>
      <c r="M886" s="418" t="n">
        <f aca="false">IF(AND(L885&gt;L_rampe,G886&gt;0),ATAN2(G886,H886),$M$4)</f>
        <v>-1.47020476223258</v>
      </c>
      <c r="N886" s="417" t="n">
        <f aca="false">DEGREES(Beta)</f>
        <v>-84.2365278959617</v>
      </c>
      <c r="O886" s="401"/>
      <c r="P886" s="420" t="n">
        <f aca="false">MATCH(t-pas/2-T_ini,CdP_t)</f>
        <v>23</v>
      </c>
      <c r="Q886" s="417" t="n">
        <f aca="false">(INDEX(CdP,2,i_P+1)-INDEX(CdP,2,i_P+0))/(INDEX(CdP,1,i_P+1)-INDEX(CdP,1,i_P+0))*(t-pas/2-T_ini-INDEX(CdP,1,i_P+0))+INDEX(CdP,2,i_P+0)</f>
        <v>0</v>
      </c>
      <c r="R886" s="418" t="n">
        <f aca="false">Poussee/(g*ISP)</f>
        <v>0</v>
      </c>
      <c r="S886" s="419" t="n">
        <f aca="false">S885-Débit*pas</f>
        <v>7.37799999999998</v>
      </c>
      <c r="T886" s="417" t="n">
        <f aca="false">m*g</f>
        <v>72.3781799999998</v>
      </c>
      <c r="U886" s="421" t="n">
        <f aca="false">IF(pos_xz&lt;L_rampe,Poids*COS(Beta),0)</f>
        <v>0</v>
      </c>
      <c r="V886" s="418" t="n">
        <f aca="false">Rho_moyen*(20000-Alt_rampe-pos_z)/(20000+Alt_rampe+pos_z)</f>
        <v>1.22630769314169</v>
      </c>
      <c r="W886" s="417" t="n">
        <f aca="false">1/2*Rho*Sref*Cx*vit_xz^2</f>
        <v>58.0928973380575</v>
      </c>
      <c r="X886" s="401"/>
      <c r="Y886" s="422" t="str">
        <f aca="false">IF(AND(pos_z&lt;=0,K885&gt;0),"Impact balistique","") &amp; IF(AND(H887&lt;0,vit_z&gt;=0),"Apogée","") &amp; IF(AND(Poussee=0,Q885&gt;0),"Fin de propulsion","") &amp; IF(AND(L887&gt;L_rampe,pos_xz&lt;=L_rampe),"Sortie de rampe","")</f>
        <v/>
      </c>
      <c r="Z886" s="423" t="str">
        <f aca="false">IF(ABS(t-T_para)&lt;pas/2,"Para","")</f>
        <v/>
      </c>
      <c r="AA886" s="424" t="str">
        <f aca="false">IF(ABS(t-T_satellite)&lt;pas/2,"Satellite","")</f>
        <v/>
      </c>
      <c r="AB886" s="412"/>
      <c r="AC886" s="420" t="e">
        <f aca="false">IF(ABS(t-ROUND(t,0))&lt;0.001,t,NA())</f>
        <v>#N/A</v>
      </c>
      <c r="AD886" s="425" t="e">
        <f aca="false">IF(ABS(t-ROUND(t,0))&lt;0.001,pos_x,NA())</f>
        <v>#N/A</v>
      </c>
      <c r="AE886" s="426" t="e">
        <f aca="false">IF(t&lt;T_para, pos_z, NA())</f>
        <v>#N/A</v>
      </c>
      <c r="AF886" s="412"/>
      <c r="AG886" s="418" t="n">
        <f aca="false">IF(AND(L885&lt;L_rampe,Poussee&lt;Poids*SIN(M885)),0,(-W885+Poussee)/m-Poids*SIN(M885)/m)</f>
        <v>1.8866425463452</v>
      </c>
      <c r="AH886" s="417" t="n">
        <f aca="false">IF(AND(L885&lt;L_rampe,Poussee&lt;Poids*SIN(M885)), g*SIN(M885), (-W885+Poussee)/m)</f>
        <v>-7.87376646712189</v>
      </c>
    </row>
    <row r="887" customFormat="false" ht="12" hidden="false" customHeight="false" outlineLevel="0" collapsed="false">
      <c r="A887" s="416" t="n">
        <f aca="false">IF(B886+0.01&lt;=T_ini+ROUNDUP(Temps_fin_propu,0), 0.01, IF(K886&gt;0, 0.1, 0.0001))</f>
        <v>0.0001</v>
      </c>
      <c r="B887" s="417" t="n">
        <f aca="false">B886+pas</f>
        <v>36.3160000000007</v>
      </c>
      <c r="C887" s="401"/>
      <c r="D887" s="418" t="n">
        <f aca="false">IF(AND(L886&lt;L_rampe,Poussee&lt;Poids*SIN(M886)),0,(-W886+Poussee)/m*COS(M886)-U886/m*SIN(M886))</f>
        <v>-0.790702822096397</v>
      </c>
      <c r="E887" s="419" t="n">
        <f aca="false">IF(AND(L886&lt;L_rampe,Poussee&lt;Poids*SIN(M886)),0,(-W886+Poussee)/m*SIN(M886)+U886/m*COS(M886)-Poids/m)</f>
        <v>-1.97600245791981</v>
      </c>
      <c r="F887" s="417" t="n">
        <f aca="false">SQRT(acc_x^2+acc_z^2)</f>
        <v>2.12833189765514</v>
      </c>
      <c r="G887" s="418" t="n">
        <f aca="false">G886+acc_x*pas</f>
        <v>12.4643628618813</v>
      </c>
      <c r="H887" s="419" t="n">
        <f aca="false">H886+acc_z*pas</f>
        <v>-123.49337952804</v>
      </c>
      <c r="I887" s="417" t="n">
        <f aca="false">SQRT(vit_x^2+vit_z^2)</f>
        <v>124.120808605202</v>
      </c>
      <c r="J887" s="418" t="n">
        <f aca="false">J886+0.5*(vit_x+G886)*pas*(K886&gt;=0)</f>
        <v>913.614336176273</v>
      </c>
      <c r="K887" s="419" t="n">
        <f aca="false">K886+0.5*(vit_z+H886)*pas</f>
        <v>-10.681700591883</v>
      </c>
      <c r="L887" s="417" t="n">
        <f aca="false">SQRT(pos_x^2+pos_z^2)</f>
        <v>913.676777637665</v>
      </c>
      <c r="M887" s="418" t="n">
        <f aca="false">IF(AND(L886&gt;L_rampe,G887&gt;0),ATAN2(G887,H887),$M$4)</f>
        <v>-1.47020555592698</v>
      </c>
      <c r="N887" s="417" t="n">
        <f aca="false">DEGREES(Beta)</f>
        <v>-84.2365733713008</v>
      </c>
      <c r="O887" s="401"/>
      <c r="P887" s="420" t="n">
        <f aca="false">MATCH(t-pas/2-T_ini,CdP_t)</f>
        <v>23</v>
      </c>
      <c r="Q887" s="417" t="n">
        <f aca="false">(INDEX(CdP,2,i_P+1)-INDEX(CdP,2,i_P+0))/(INDEX(CdP,1,i_P+1)-INDEX(CdP,1,i_P+0))*(t-pas/2-T_ini-INDEX(CdP,1,i_P+0))+INDEX(CdP,2,i_P+0)</f>
        <v>0</v>
      </c>
      <c r="R887" s="418" t="n">
        <f aca="false">Poussee/(g*ISP)</f>
        <v>0</v>
      </c>
      <c r="S887" s="419" t="n">
        <f aca="false">S886-Débit*pas</f>
        <v>7.37799999999998</v>
      </c>
      <c r="T887" s="417" t="n">
        <f aca="false">m*g</f>
        <v>72.3781799999998</v>
      </c>
      <c r="U887" s="421" t="n">
        <f aca="false">IF(pos_xz&lt;L_rampe,Poids*COS(Beta),0)</f>
        <v>0</v>
      </c>
      <c r="V887" s="418" t="n">
        <f aca="false">Rho_moyen*(20000-Alt_rampe-pos_z)/(20000+Alt_rampe+pos_z)</f>
        <v>1.22630920755066</v>
      </c>
      <c r="W887" s="417" t="n">
        <f aca="false">1/2*Rho*Sref*Cx*vit_xz^2</f>
        <v>58.0931456795202</v>
      </c>
      <c r="X887" s="401"/>
      <c r="Y887" s="422" t="str">
        <f aca="false">IF(AND(pos_z&lt;=0,K886&gt;0),"Impact balistique","") &amp; IF(AND(H888&lt;0,vit_z&gt;=0),"Apogée","") &amp; IF(AND(Poussee=0,Q886&gt;0),"Fin de propulsion","") &amp; IF(AND(L888&gt;L_rampe,pos_xz&lt;=L_rampe),"Sortie de rampe","")</f>
        <v/>
      </c>
      <c r="Z887" s="423" t="str">
        <f aca="false">IF(ABS(t-T_para)&lt;pas/2,"Para","")</f>
        <v/>
      </c>
      <c r="AA887" s="424" t="str">
        <f aca="false">IF(ABS(t-T_satellite)&lt;pas/2,"Satellite","")</f>
        <v/>
      </c>
      <c r="AB887" s="412"/>
      <c r="AC887" s="420" t="e">
        <f aca="false">IF(ABS(t-ROUND(t,0))&lt;0.001,t,NA())</f>
        <v>#N/A</v>
      </c>
      <c r="AD887" s="425" t="e">
        <f aca="false">IF(ABS(t-ROUND(t,0))&lt;0.001,pos_x,NA())</f>
        <v>#N/A</v>
      </c>
      <c r="AE887" s="426" t="e">
        <f aca="false">IF(t&lt;T_para, pos_z, NA())</f>
        <v>#N/A</v>
      </c>
      <c r="AF887" s="412"/>
      <c r="AG887" s="418" t="n">
        <f aca="false">IF(AND(L886&lt;L_rampe,Poussee&lt;Poids*SIN(M886)),0,(-W886+Poussee)/m-Poids*SIN(M886)/m)</f>
        <v>1.88660966823499</v>
      </c>
      <c r="AH887" s="417" t="n">
        <f aca="false">IF(AND(L886&lt;L_rampe,Poussee&lt;Poids*SIN(M886)), g*SIN(M886), (-W886+Poussee)/m)</f>
        <v>-7.87380012714253</v>
      </c>
    </row>
    <row r="888" customFormat="false" ht="12" hidden="false" customHeight="false" outlineLevel="0" collapsed="false">
      <c r="A888" s="416" t="n">
        <f aca="false">IF(B887+0.01&lt;=T_ini+ROUNDUP(Temps_fin_propu,0), 0.01, IF(K887&gt;0, 0.1, 0.0001))</f>
        <v>0.0001</v>
      </c>
      <c r="B888" s="417" t="n">
        <f aca="false">B887+pas</f>
        <v>36.3161000000007</v>
      </c>
      <c r="C888" s="401"/>
      <c r="D888" s="418" t="n">
        <f aca="false">IF(AND(L887&lt;L_rampe,Poussee&lt;Poids*SIN(M887)),0,(-W887+Poussee)/m*COS(M887)-U887/m*SIN(M887))</f>
        <v>-0.790699984446965</v>
      </c>
      <c r="E888" s="419" t="n">
        <f aca="false">IF(AND(L887&lt;L_rampe,Poussee&lt;Poids*SIN(M887)),0,(-W887+Poussee)/m*SIN(M887)+U887/m*COS(M887)-Poids/m)</f>
        <v>-1.97596834076878</v>
      </c>
      <c r="F888" s="417" t="n">
        <f aca="false">SQRT(acc_x^2+acc_z^2)</f>
        <v>2.12829916814459</v>
      </c>
      <c r="G888" s="418" t="n">
        <f aca="false">G887+acc_x*pas</f>
        <v>12.4642837918829</v>
      </c>
      <c r="H888" s="419" t="n">
        <f aca="false">H887+acc_z*pas</f>
        <v>-123.493577124874</v>
      </c>
      <c r="I888" s="417" t="n">
        <f aca="false">SQRT(vit_x^2+vit_z^2)</f>
        <v>124.12099726292</v>
      </c>
      <c r="J888" s="418" t="n">
        <f aca="false">J887+0.5*(vit_x+G887)*pas*(K887&gt;=0)</f>
        <v>913.614336176273</v>
      </c>
      <c r="K888" s="419" t="n">
        <f aca="false">K887+0.5*(vit_z+H887)*pas</f>
        <v>-10.6940499397156</v>
      </c>
      <c r="L888" s="417" t="n">
        <f aca="false">SQRT(pos_x^2+pos_z^2)</f>
        <v>913.676922096058</v>
      </c>
      <c r="M888" s="418" t="n">
        <f aca="false">IF(AND(L887&gt;L_rampe,G888&gt;0),ATAN2(G888,H888),$M$4)</f>
        <v>-1.47020634961393</v>
      </c>
      <c r="N888" s="417" t="n">
        <f aca="false">DEGREES(Beta)</f>
        <v>-84.2366188462132</v>
      </c>
      <c r="O888" s="401"/>
      <c r="P888" s="420" t="n">
        <f aca="false">MATCH(t-pas/2-T_ini,CdP_t)</f>
        <v>23</v>
      </c>
      <c r="Q888" s="417" t="n">
        <f aca="false">(INDEX(CdP,2,i_P+1)-INDEX(CdP,2,i_P+0))/(INDEX(CdP,1,i_P+1)-INDEX(CdP,1,i_P+0))*(t-pas/2-T_ini-INDEX(CdP,1,i_P+0))+INDEX(CdP,2,i_P+0)</f>
        <v>0</v>
      </c>
      <c r="R888" s="418" t="n">
        <f aca="false">Poussee/(g*ISP)</f>
        <v>0</v>
      </c>
      <c r="S888" s="419" t="n">
        <f aca="false">S887-Débit*pas</f>
        <v>7.37799999999998</v>
      </c>
      <c r="T888" s="417" t="n">
        <f aca="false">m*g</f>
        <v>72.3781799999998</v>
      </c>
      <c r="U888" s="421" t="n">
        <f aca="false">IF(pos_xz&lt;L_rampe,Poids*COS(Beta),0)</f>
        <v>0</v>
      </c>
      <c r="V888" s="418" t="n">
        <f aca="false">Rho_moyen*(20000-Alt_rampe-pos_z)/(20000+Alt_rampe+pos_z)</f>
        <v>1.22631072196392</v>
      </c>
      <c r="W888" s="417" t="n">
        <f aca="false">1/2*Rho*Sref*Cx*vit_xz^2</f>
        <v>58.0933940188133</v>
      </c>
      <c r="X888" s="401"/>
      <c r="Y888" s="422" t="str">
        <f aca="false">IF(AND(pos_z&lt;=0,K887&gt;0),"Impact balistique","") &amp; IF(AND(H889&lt;0,vit_z&gt;=0),"Apogée","") &amp; IF(AND(Poussee=0,Q887&gt;0),"Fin de propulsion","") &amp; IF(AND(L889&gt;L_rampe,pos_xz&lt;=L_rampe),"Sortie de rampe","")</f>
        <v/>
      </c>
      <c r="Z888" s="423" t="str">
        <f aca="false">IF(ABS(t-T_para)&lt;pas/2,"Para","")</f>
        <v/>
      </c>
      <c r="AA888" s="424" t="str">
        <f aca="false">IF(ABS(t-T_satellite)&lt;pas/2,"Satellite","")</f>
        <v/>
      </c>
      <c r="AB888" s="412"/>
      <c r="AC888" s="420" t="e">
        <f aca="false">IF(ABS(t-ROUND(t,0))&lt;0.001,t,NA())</f>
        <v>#N/A</v>
      </c>
      <c r="AD888" s="425" t="e">
        <f aca="false">IF(ABS(t-ROUND(t,0))&lt;0.001,pos_x,NA())</f>
        <v>#N/A</v>
      </c>
      <c r="AE888" s="426" t="e">
        <f aca="false">IF(t&lt;T_para, pos_z, NA())</f>
        <v>#N/A</v>
      </c>
      <c r="AF888" s="412"/>
      <c r="AG888" s="418" t="n">
        <f aca="false">IF(AND(L887&lt;L_rampe,Poussee&lt;Poids*SIN(M887)),0,(-W887+Poussee)/m-Poids*SIN(M887)/m)</f>
        <v>1.88657679040536</v>
      </c>
      <c r="AH888" s="417" t="n">
        <f aca="false">IF(AND(L887&lt;L_rampe,Poussee&lt;Poids*SIN(M887)), g*SIN(M887), (-W887+Poussee)/m)</f>
        <v>-7.87383378686911</v>
      </c>
    </row>
    <row r="889" customFormat="false" ht="12" hidden="false" customHeight="false" outlineLevel="0" collapsed="false">
      <c r="A889" s="416" t="n">
        <f aca="false">IF(B888+0.01&lt;=T_ini+ROUNDUP(Temps_fin_propu,0), 0.01, IF(K888&gt;0, 0.1, 0.0001))</f>
        <v>0.0001</v>
      </c>
      <c r="B889" s="417" t="n">
        <f aca="false">B888+pas</f>
        <v>36.3162000000007</v>
      </c>
      <c r="C889" s="401"/>
      <c r="D889" s="418" t="n">
        <f aca="false">IF(AND(L888&lt;L_rampe,Poussee&lt;Poids*SIN(M888)),0,(-W888+Poussee)/m*COS(M888)-U888/m*SIN(M888))</f>
        <v>-0.79069714677269</v>
      </c>
      <c r="E889" s="419" t="n">
        <f aca="false">IF(AND(L888&lt;L_rampe,Poussee&lt;Poids*SIN(M888)),0,(-W888+Poussee)/m*SIN(M888)+U888/m*COS(M888)-Poids/m)</f>
        <v>-1.97593422391578</v>
      </c>
      <c r="F889" s="417" t="n">
        <f aca="false">SQRT(acc_x^2+acc_z^2)</f>
        <v>2.12826643894887</v>
      </c>
      <c r="G889" s="418" t="n">
        <f aca="false">G888+acc_x*pas</f>
        <v>12.4642047221682</v>
      </c>
      <c r="H889" s="419" t="n">
        <f aca="false">H888+acc_z*pas</f>
        <v>-123.493774718296</v>
      </c>
      <c r="I889" s="417" t="n">
        <f aca="false">SQRT(vit_x^2+vit_z^2)</f>
        <v>124.12118591735</v>
      </c>
      <c r="J889" s="418" t="n">
        <f aca="false">J888+0.5*(vit_x+G888)*pas*(K888&gt;=0)</f>
        <v>913.614336176273</v>
      </c>
      <c r="K889" s="419" t="n">
        <f aca="false">K888+0.5*(vit_z+H888)*pas</f>
        <v>-10.7063993073078</v>
      </c>
      <c r="L889" s="417" t="n">
        <f aca="false">SQRT(pos_x^2+pos_z^2)</f>
        <v>913.677066721574</v>
      </c>
      <c r="M889" s="418" t="n">
        <f aca="false">IF(AND(L888&gt;L_rampe,G889&gt;0),ATAN2(G889,H889),$M$4)</f>
        <v>-1.47020714329343</v>
      </c>
      <c r="N889" s="417" t="n">
        <f aca="false">DEGREES(Beta)</f>
        <v>-84.2366643206989</v>
      </c>
      <c r="O889" s="401"/>
      <c r="P889" s="420" t="n">
        <f aca="false">MATCH(t-pas/2-T_ini,CdP_t)</f>
        <v>23</v>
      </c>
      <c r="Q889" s="417" t="n">
        <f aca="false">(INDEX(CdP,2,i_P+1)-INDEX(CdP,2,i_P+0))/(INDEX(CdP,1,i_P+1)-INDEX(CdP,1,i_P+0))*(t-pas/2-T_ini-INDEX(CdP,1,i_P+0))+INDEX(CdP,2,i_P+0)</f>
        <v>0</v>
      </c>
      <c r="R889" s="418" t="n">
        <f aca="false">Poussee/(g*ISP)</f>
        <v>0</v>
      </c>
      <c r="S889" s="419" t="n">
        <f aca="false">S888-Débit*pas</f>
        <v>7.37799999999998</v>
      </c>
      <c r="T889" s="417" t="n">
        <f aca="false">m*g</f>
        <v>72.3781799999998</v>
      </c>
      <c r="U889" s="421" t="n">
        <f aca="false">IF(pos_xz&lt;L_rampe,Poids*COS(Beta),0)</f>
        <v>0</v>
      </c>
      <c r="V889" s="418" t="n">
        <f aca="false">Rho_moyen*(20000-Alt_rampe-pos_z)/(20000+Alt_rampe+pos_z)</f>
        <v>1.22631223638148</v>
      </c>
      <c r="W889" s="417" t="n">
        <f aca="false">1/2*Rho*Sref*Cx*vit_xz^2</f>
        <v>58.0936423559368</v>
      </c>
      <c r="X889" s="401"/>
      <c r="Y889" s="422" t="str">
        <f aca="false">IF(AND(pos_z&lt;=0,K888&gt;0),"Impact balistique","") &amp; IF(AND(H890&lt;0,vit_z&gt;=0),"Apogée","") &amp; IF(AND(Poussee=0,Q888&gt;0),"Fin de propulsion","") &amp; IF(AND(L890&gt;L_rampe,pos_xz&lt;=L_rampe),"Sortie de rampe","")</f>
        <v/>
      </c>
      <c r="Z889" s="423" t="str">
        <f aca="false">IF(ABS(t-T_para)&lt;pas/2,"Para","")</f>
        <v/>
      </c>
      <c r="AA889" s="424" t="str">
        <f aca="false">IF(ABS(t-T_satellite)&lt;pas/2,"Satellite","")</f>
        <v/>
      </c>
      <c r="AB889" s="412"/>
      <c r="AC889" s="420" t="e">
        <f aca="false">IF(ABS(t-ROUND(t,0))&lt;0.001,t,NA())</f>
        <v>#N/A</v>
      </c>
      <c r="AD889" s="425" t="e">
        <f aca="false">IF(ABS(t-ROUND(t,0))&lt;0.001,pos_x,NA())</f>
        <v>#N/A</v>
      </c>
      <c r="AE889" s="426" t="e">
        <f aca="false">IF(t&lt;T_para, pos_z, NA())</f>
        <v>#N/A</v>
      </c>
      <c r="AF889" s="412"/>
      <c r="AG889" s="418" t="n">
        <f aca="false">IF(AND(L888&lt;L_rampe,Poussee&lt;Poids*SIN(M888)),0,(-W888+Poussee)/m-Poids*SIN(M888)/m)</f>
        <v>1.88654391285629</v>
      </c>
      <c r="AH889" s="417" t="n">
        <f aca="false">IF(AND(L888&lt;L_rampe,Poussee&lt;Poids*SIN(M888)), g*SIN(M888), (-W888+Poussee)/m)</f>
        <v>-7.87386744630163</v>
      </c>
    </row>
    <row r="890" customFormat="false" ht="12" hidden="false" customHeight="false" outlineLevel="0" collapsed="false">
      <c r="A890" s="416" t="n">
        <f aca="false">IF(B889+0.01&lt;=T_ini+ROUNDUP(Temps_fin_propu,0), 0.01, IF(K889&gt;0, 0.1, 0.0001))</f>
        <v>0.0001</v>
      </c>
      <c r="B890" s="417" t="n">
        <f aca="false">B889+pas</f>
        <v>36.3163000000007</v>
      </c>
      <c r="C890" s="401"/>
      <c r="D890" s="418" t="n">
        <f aca="false">IF(AND(L889&lt;L_rampe,Poussee&lt;Poids*SIN(M889)),0,(-W889+Poussee)/m*COS(M889)-U889/m*SIN(M889))</f>
        <v>-0.790694309073574</v>
      </c>
      <c r="E890" s="419" t="n">
        <f aca="false">IF(AND(L889&lt;L_rampe,Poussee&lt;Poids*SIN(M889)),0,(-W889+Poussee)/m*SIN(M889)+U889/m*COS(M889)-Poids/m)</f>
        <v>-1.97590010736082</v>
      </c>
      <c r="F890" s="417" t="n">
        <f aca="false">SQRT(acc_x^2+acc_z^2)</f>
        <v>2.128233710068</v>
      </c>
      <c r="G890" s="418" t="n">
        <f aca="false">G889+acc_x*pas</f>
        <v>12.4641256527373</v>
      </c>
      <c r="H890" s="419" t="n">
        <f aca="false">H889+acc_z*pas</f>
        <v>-123.493972308307</v>
      </c>
      <c r="I890" s="417" t="n">
        <f aca="false">SQRT(vit_x^2+vit_z^2)</f>
        <v>124.121374568493</v>
      </c>
      <c r="J890" s="418" t="n">
        <f aca="false">J889+0.5*(vit_x+G889)*pas*(K889&gt;=0)</f>
        <v>913.614336176273</v>
      </c>
      <c r="K890" s="419" t="n">
        <f aca="false">K889+0.5*(vit_z+H889)*pas</f>
        <v>-10.7187486946591</v>
      </c>
      <c r="L890" s="417" t="n">
        <f aca="false">SQRT(pos_x^2+pos_z^2)</f>
        <v>913.677211514215</v>
      </c>
      <c r="M890" s="418" t="n">
        <f aca="false">IF(AND(L889&gt;L_rampe,G890&gt;0),ATAN2(G890,H890),$M$4)</f>
        <v>-1.47020793696548</v>
      </c>
      <c r="N890" s="417" t="n">
        <f aca="false">DEGREES(Beta)</f>
        <v>-84.2367097947578</v>
      </c>
      <c r="O890" s="401"/>
      <c r="P890" s="420" t="n">
        <f aca="false">MATCH(t-pas/2-T_ini,CdP_t)</f>
        <v>23</v>
      </c>
      <c r="Q890" s="417" t="n">
        <f aca="false">(INDEX(CdP,2,i_P+1)-INDEX(CdP,2,i_P+0))/(INDEX(CdP,1,i_P+1)-INDEX(CdP,1,i_P+0))*(t-pas/2-T_ini-INDEX(CdP,1,i_P+0))+INDEX(CdP,2,i_P+0)</f>
        <v>0</v>
      </c>
      <c r="R890" s="418" t="n">
        <f aca="false">Poussee/(g*ISP)</f>
        <v>0</v>
      </c>
      <c r="S890" s="419" t="n">
        <f aca="false">S889-Débit*pas</f>
        <v>7.37799999999998</v>
      </c>
      <c r="T890" s="417" t="n">
        <f aca="false">m*g</f>
        <v>72.3781799999998</v>
      </c>
      <c r="U890" s="421" t="n">
        <f aca="false">IF(pos_xz&lt;L_rampe,Poids*COS(Beta),0)</f>
        <v>0</v>
      </c>
      <c r="V890" s="418" t="n">
        <f aca="false">Rho_moyen*(20000-Alt_rampe-pos_z)/(20000+Alt_rampe+pos_z)</f>
        <v>1.22631375080333</v>
      </c>
      <c r="W890" s="417" t="n">
        <f aca="false">1/2*Rho*Sref*Cx*vit_xz^2</f>
        <v>58.0938906908909</v>
      </c>
      <c r="X890" s="401"/>
      <c r="Y890" s="422" t="str">
        <f aca="false">IF(AND(pos_z&lt;=0,K889&gt;0),"Impact balistique","") &amp; IF(AND(H891&lt;0,vit_z&gt;=0),"Apogée","") &amp; IF(AND(Poussee=0,Q889&gt;0),"Fin de propulsion","") &amp; IF(AND(L891&gt;L_rampe,pos_xz&lt;=L_rampe),"Sortie de rampe","")</f>
        <v/>
      </c>
      <c r="Z890" s="423" t="str">
        <f aca="false">IF(ABS(t-T_para)&lt;pas/2,"Para","")</f>
        <v/>
      </c>
      <c r="AA890" s="424" t="str">
        <f aca="false">IF(ABS(t-T_satellite)&lt;pas/2,"Satellite","")</f>
        <v/>
      </c>
      <c r="AB890" s="412"/>
      <c r="AC890" s="420" t="e">
        <f aca="false">IF(ABS(t-ROUND(t,0))&lt;0.001,t,NA())</f>
        <v>#N/A</v>
      </c>
      <c r="AD890" s="425" t="e">
        <f aca="false">IF(ABS(t-ROUND(t,0))&lt;0.001,pos_x,NA())</f>
        <v>#N/A</v>
      </c>
      <c r="AE890" s="426" t="e">
        <f aca="false">IF(t&lt;T_para, pos_z, NA())</f>
        <v>#N/A</v>
      </c>
      <c r="AF890" s="412"/>
      <c r="AG890" s="418" t="n">
        <f aca="false">IF(AND(L889&lt;L_rampe,Poussee&lt;Poids*SIN(M889)),0,(-W889+Poussee)/m-Poids*SIN(M889)/m)</f>
        <v>1.88651103558781</v>
      </c>
      <c r="AH890" s="417" t="n">
        <f aca="false">IF(AND(L889&lt;L_rampe,Poussee&lt;Poids*SIN(M889)), g*SIN(M889), (-W889+Poussee)/m)</f>
        <v>-7.87390110544009</v>
      </c>
    </row>
    <row r="891" customFormat="false" ht="12" hidden="false" customHeight="false" outlineLevel="0" collapsed="false">
      <c r="A891" s="416" t="n">
        <f aca="false">IF(B890+0.01&lt;=T_ini+ROUNDUP(Temps_fin_propu,0), 0.01, IF(K890&gt;0, 0.1, 0.0001))</f>
        <v>0.0001</v>
      </c>
      <c r="B891" s="417" t="n">
        <f aca="false">B890+pas</f>
        <v>36.3164000000008</v>
      </c>
      <c r="C891" s="401"/>
      <c r="D891" s="418" t="n">
        <f aca="false">IF(AND(L890&lt;L_rampe,Poussee&lt;Poids*SIN(M890)),0,(-W890+Poussee)/m*COS(M890)-U890/m*SIN(M890))</f>
        <v>-0.790691471349615</v>
      </c>
      <c r="E891" s="419" t="n">
        <f aca="false">IF(AND(L890&lt;L_rampe,Poussee&lt;Poids*SIN(M890)),0,(-W890+Poussee)/m*SIN(M890)+U890/m*COS(M890)-Poids/m)</f>
        <v>-1.97586599110387</v>
      </c>
      <c r="F891" s="417" t="n">
        <f aca="false">SQRT(acc_x^2+acc_z^2)</f>
        <v>2.12820098150196</v>
      </c>
      <c r="G891" s="418" t="n">
        <f aca="false">G890+acc_x*pas</f>
        <v>12.4640465835902</v>
      </c>
      <c r="H891" s="419" t="n">
        <f aca="false">H890+acc_z*pas</f>
        <v>-123.494169894906</v>
      </c>
      <c r="I891" s="417" t="n">
        <f aca="false">SQRT(vit_x^2+vit_z^2)</f>
        <v>124.121563216348</v>
      </c>
      <c r="J891" s="418" t="n">
        <f aca="false">J890+0.5*(vit_x+G890)*pas*(K890&gt;=0)</f>
        <v>913.614336176273</v>
      </c>
      <c r="K891" s="419" t="n">
        <f aca="false">K890+0.5*(vit_z+H890)*pas</f>
        <v>-10.7310981017693</v>
      </c>
      <c r="L891" s="417" t="n">
        <f aca="false">SQRT(pos_x^2+pos_z^2)</f>
        <v>913.677356473981</v>
      </c>
      <c r="M891" s="418" t="n">
        <f aca="false">IF(AND(L890&gt;L_rampe,G891&gt;0),ATAN2(G891,H891),$M$4)</f>
        <v>-1.47020873063009</v>
      </c>
      <c r="N891" s="417" t="n">
        <f aca="false">DEGREES(Beta)</f>
        <v>-84.2367552683901</v>
      </c>
      <c r="O891" s="401"/>
      <c r="P891" s="420" t="n">
        <f aca="false">MATCH(t-pas/2-T_ini,CdP_t)</f>
        <v>23</v>
      </c>
      <c r="Q891" s="417" t="n">
        <f aca="false">(INDEX(CdP,2,i_P+1)-INDEX(CdP,2,i_P+0))/(INDEX(CdP,1,i_P+1)-INDEX(CdP,1,i_P+0))*(t-pas/2-T_ini-INDEX(CdP,1,i_P+0))+INDEX(CdP,2,i_P+0)</f>
        <v>0</v>
      </c>
      <c r="R891" s="418" t="n">
        <f aca="false">Poussee/(g*ISP)</f>
        <v>0</v>
      </c>
      <c r="S891" s="419" t="n">
        <f aca="false">S890-Débit*pas</f>
        <v>7.37799999999998</v>
      </c>
      <c r="T891" s="417" t="n">
        <f aca="false">m*g</f>
        <v>72.3781799999998</v>
      </c>
      <c r="U891" s="421" t="n">
        <f aca="false">IF(pos_xz&lt;L_rampe,Poids*COS(Beta),0)</f>
        <v>0</v>
      </c>
      <c r="V891" s="418" t="n">
        <f aca="false">Rho_moyen*(20000-Alt_rampe-pos_z)/(20000+Alt_rampe+pos_z)</f>
        <v>1.22631526522948</v>
      </c>
      <c r="W891" s="417" t="n">
        <f aca="false">1/2*Rho*Sref*Cx*vit_xz^2</f>
        <v>58.0941390236753</v>
      </c>
      <c r="X891" s="401"/>
      <c r="Y891" s="422" t="str">
        <f aca="false">IF(AND(pos_z&lt;=0,K890&gt;0),"Impact balistique","") &amp; IF(AND(H892&lt;0,vit_z&gt;=0),"Apogée","") &amp; IF(AND(Poussee=0,Q890&gt;0),"Fin de propulsion","") &amp; IF(AND(L892&gt;L_rampe,pos_xz&lt;=L_rampe),"Sortie de rampe","")</f>
        <v/>
      </c>
      <c r="Z891" s="423" t="str">
        <f aca="false">IF(ABS(t-T_para)&lt;pas/2,"Para","")</f>
        <v/>
      </c>
      <c r="AA891" s="424" t="str">
        <f aca="false">IF(ABS(t-T_satellite)&lt;pas/2,"Satellite","")</f>
        <v/>
      </c>
      <c r="AB891" s="412"/>
      <c r="AC891" s="420" t="e">
        <f aca="false">IF(ABS(t-ROUND(t,0))&lt;0.001,t,NA())</f>
        <v>#N/A</v>
      </c>
      <c r="AD891" s="425" t="e">
        <f aca="false">IF(ABS(t-ROUND(t,0))&lt;0.001,pos_x,NA())</f>
        <v>#N/A</v>
      </c>
      <c r="AE891" s="426" t="e">
        <f aca="false">IF(t&lt;T_para, pos_z, NA())</f>
        <v>#N/A</v>
      </c>
      <c r="AF891" s="412"/>
      <c r="AG891" s="418" t="n">
        <f aca="false">IF(AND(L890&lt;L_rampe,Poussee&lt;Poids*SIN(M890)),0,(-W890+Poussee)/m-Poids*SIN(M890)/m)</f>
        <v>1.88647815859989</v>
      </c>
      <c r="AH891" s="417" t="n">
        <f aca="false">IF(AND(L890&lt;L_rampe,Poussee&lt;Poids*SIN(M890)), g*SIN(M890), (-W890+Poussee)/m)</f>
        <v>-7.87393476428449</v>
      </c>
    </row>
    <row r="892" customFormat="false" ht="12" hidden="false" customHeight="false" outlineLevel="0" collapsed="false">
      <c r="A892" s="416" t="n">
        <f aca="false">IF(B891+0.01&lt;=T_ini+ROUNDUP(Temps_fin_propu,0), 0.01, IF(K891&gt;0, 0.1, 0.0001))</f>
        <v>0.0001</v>
      </c>
      <c r="B892" s="417" t="n">
        <f aca="false">B891+pas</f>
        <v>36.3165000000008</v>
      </c>
      <c r="C892" s="401"/>
      <c r="D892" s="418" t="n">
        <f aca="false">IF(AND(L891&lt;L_rampe,Poussee&lt;Poids*SIN(M891)),0,(-W891+Poussee)/m*COS(M891)-U891/m*SIN(M891))</f>
        <v>-0.790688633600815</v>
      </c>
      <c r="E892" s="419" t="n">
        <f aca="false">IF(AND(L891&lt;L_rampe,Poussee&lt;Poids*SIN(M891)),0,(-W891+Poussee)/m*SIN(M891)+U891/m*COS(M891)-Poids/m)</f>
        <v>-1.97583187514497</v>
      </c>
      <c r="F892" s="417" t="n">
        <f aca="false">SQRT(acc_x^2+acc_z^2)</f>
        <v>2.12816825325077</v>
      </c>
      <c r="G892" s="418" t="n">
        <f aca="false">G891+acc_x*pas</f>
        <v>12.4639675147268</v>
      </c>
      <c r="H892" s="419" t="n">
        <f aca="false">H891+acc_z*pas</f>
        <v>-123.494367478094</v>
      </c>
      <c r="I892" s="417" t="n">
        <f aca="false">SQRT(vit_x^2+vit_z^2)</f>
        <v>124.121751860915</v>
      </c>
      <c r="J892" s="418" t="n">
        <f aca="false">J891+0.5*(vit_x+G891)*pas*(K891&gt;=0)</f>
        <v>913.614336176273</v>
      </c>
      <c r="K892" s="419" t="n">
        <f aca="false">K891+0.5*(vit_z+H891)*pas</f>
        <v>-10.7434475286379</v>
      </c>
      <c r="L892" s="417" t="n">
        <f aca="false">SQRT(pos_x^2+pos_z^2)</f>
        <v>913.677501600873</v>
      </c>
      <c r="M892" s="418" t="n">
        <f aca="false">IF(AND(L891&gt;L_rampe,G892&gt;0),ATAN2(G892,H892),$M$4)</f>
        <v>-1.47020952428724</v>
      </c>
      <c r="N892" s="417" t="n">
        <f aca="false">DEGREES(Beta)</f>
        <v>-84.2368007415956</v>
      </c>
      <c r="O892" s="401"/>
      <c r="P892" s="420" t="n">
        <f aca="false">MATCH(t-pas/2-T_ini,CdP_t)</f>
        <v>23</v>
      </c>
      <c r="Q892" s="417" t="n">
        <f aca="false">(INDEX(CdP,2,i_P+1)-INDEX(CdP,2,i_P+0))/(INDEX(CdP,1,i_P+1)-INDEX(CdP,1,i_P+0))*(t-pas/2-T_ini-INDEX(CdP,1,i_P+0))+INDEX(CdP,2,i_P+0)</f>
        <v>0</v>
      </c>
      <c r="R892" s="418" t="n">
        <f aca="false">Poussee/(g*ISP)</f>
        <v>0</v>
      </c>
      <c r="S892" s="419" t="n">
        <f aca="false">S891-Débit*pas</f>
        <v>7.37799999999998</v>
      </c>
      <c r="T892" s="417" t="n">
        <f aca="false">m*g</f>
        <v>72.3781799999998</v>
      </c>
      <c r="U892" s="421" t="n">
        <f aca="false">IF(pos_xz&lt;L_rampe,Poids*COS(Beta),0)</f>
        <v>0</v>
      </c>
      <c r="V892" s="418" t="n">
        <f aca="false">Rho_moyen*(20000-Alt_rampe-pos_z)/(20000+Alt_rampe+pos_z)</f>
        <v>1.22631677965992</v>
      </c>
      <c r="W892" s="417" t="n">
        <f aca="false">1/2*Rho*Sref*Cx*vit_xz^2</f>
        <v>58.0943873542902</v>
      </c>
      <c r="X892" s="401"/>
      <c r="Y892" s="422" t="str">
        <f aca="false">IF(AND(pos_z&lt;=0,K891&gt;0),"Impact balistique","") &amp; IF(AND(H893&lt;0,vit_z&gt;=0),"Apogée","") &amp; IF(AND(Poussee=0,Q891&gt;0),"Fin de propulsion","") &amp; IF(AND(L893&gt;L_rampe,pos_xz&lt;=L_rampe),"Sortie de rampe","")</f>
        <v/>
      </c>
      <c r="Z892" s="423" t="str">
        <f aca="false">IF(ABS(t-T_para)&lt;pas/2,"Para","")</f>
        <v/>
      </c>
      <c r="AA892" s="424" t="str">
        <f aca="false">IF(ABS(t-T_satellite)&lt;pas/2,"Satellite","")</f>
        <v/>
      </c>
      <c r="AB892" s="412"/>
      <c r="AC892" s="420" t="e">
        <f aca="false">IF(ABS(t-ROUND(t,0))&lt;0.001,t,NA())</f>
        <v>#N/A</v>
      </c>
      <c r="AD892" s="425" t="e">
        <f aca="false">IF(ABS(t-ROUND(t,0))&lt;0.001,pos_x,NA())</f>
        <v>#N/A</v>
      </c>
      <c r="AE892" s="426" t="e">
        <f aca="false">IF(t&lt;T_para, pos_z, NA())</f>
        <v>#N/A</v>
      </c>
      <c r="AF892" s="412"/>
      <c r="AG892" s="418" t="n">
        <f aca="false">IF(AND(L891&lt;L_rampe,Poussee&lt;Poids*SIN(M891)),0,(-W891+Poussee)/m-Poids*SIN(M891)/m)</f>
        <v>1.88644528189256</v>
      </c>
      <c r="AH892" s="417" t="n">
        <f aca="false">IF(AND(L891&lt;L_rampe,Poussee&lt;Poids*SIN(M891)), g*SIN(M891), (-W891+Poussee)/m)</f>
        <v>-7.87396842283483</v>
      </c>
    </row>
    <row r="893" customFormat="false" ht="12" hidden="false" customHeight="false" outlineLevel="0" collapsed="false">
      <c r="A893" s="416" t="n">
        <f aca="false">IF(B892+0.01&lt;=T_ini+ROUNDUP(Temps_fin_propu,0), 0.01, IF(K892&gt;0, 0.1, 0.0001))</f>
        <v>0.0001</v>
      </c>
      <c r="B893" s="417" t="n">
        <f aca="false">B892+pas</f>
        <v>36.3166000000008</v>
      </c>
      <c r="C893" s="401"/>
      <c r="D893" s="418" t="n">
        <f aca="false">IF(AND(L892&lt;L_rampe,Poussee&lt;Poids*SIN(M892)),0,(-W892+Poussee)/m*COS(M892)-U892/m*SIN(M892))</f>
        <v>-0.790685795827177</v>
      </c>
      <c r="E893" s="419" t="n">
        <f aca="false">IF(AND(L892&lt;L_rampe,Poussee&lt;Poids*SIN(M892)),0,(-W892+Poussee)/m*SIN(M892)+U892/m*COS(M892)-Poids/m)</f>
        <v>-1.9757977594841</v>
      </c>
      <c r="F893" s="417" t="n">
        <f aca="false">SQRT(acc_x^2+acc_z^2)</f>
        <v>2.12813552531441</v>
      </c>
      <c r="G893" s="418" t="n">
        <f aca="false">G892+acc_x*pas</f>
        <v>12.4638884461472</v>
      </c>
      <c r="H893" s="419" t="n">
        <f aca="false">H892+acc_z*pas</f>
        <v>-123.49456505787</v>
      </c>
      <c r="I893" s="417" t="n">
        <f aca="false">SQRT(vit_x^2+vit_z^2)</f>
        <v>124.121940502195</v>
      </c>
      <c r="J893" s="418" t="n">
        <f aca="false">J892+0.5*(vit_x+G892)*pas*(K892&gt;=0)</f>
        <v>913.614336176273</v>
      </c>
      <c r="K893" s="419" t="n">
        <f aca="false">K892+0.5*(vit_z+H892)*pas</f>
        <v>-10.7557969752647</v>
      </c>
      <c r="L893" s="417" t="n">
        <f aca="false">SQRT(pos_x^2+pos_z^2)</f>
        <v>913.677646894891</v>
      </c>
      <c r="M893" s="418" t="n">
        <f aca="false">IF(AND(L892&gt;L_rampe,G893&gt;0),ATAN2(G893,H893),$M$4)</f>
        <v>-1.47021031793696</v>
      </c>
      <c r="N893" s="417" t="n">
        <f aca="false">DEGREES(Beta)</f>
        <v>-84.2368462143745</v>
      </c>
      <c r="O893" s="401"/>
      <c r="P893" s="420" t="n">
        <f aca="false">MATCH(t-pas/2-T_ini,CdP_t)</f>
        <v>23</v>
      </c>
      <c r="Q893" s="417" t="n">
        <f aca="false">(INDEX(CdP,2,i_P+1)-INDEX(CdP,2,i_P+0))/(INDEX(CdP,1,i_P+1)-INDEX(CdP,1,i_P+0))*(t-pas/2-T_ini-INDEX(CdP,1,i_P+0))+INDEX(CdP,2,i_P+0)</f>
        <v>0</v>
      </c>
      <c r="R893" s="418" t="n">
        <f aca="false">Poussee/(g*ISP)</f>
        <v>0</v>
      </c>
      <c r="S893" s="419" t="n">
        <f aca="false">S892-Débit*pas</f>
        <v>7.37799999999998</v>
      </c>
      <c r="T893" s="417" t="n">
        <f aca="false">m*g</f>
        <v>72.3781799999998</v>
      </c>
      <c r="U893" s="421" t="n">
        <f aca="false">IF(pos_xz&lt;L_rampe,Poids*COS(Beta),0)</f>
        <v>0</v>
      </c>
      <c r="V893" s="418" t="n">
        <f aca="false">Rho_moyen*(20000-Alt_rampe-pos_z)/(20000+Alt_rampe+pos_z)</f>
        <v>1.22631829409465</v>
      </c>
      <c r="W893" s="417" t="n">
        <f aca="false">1/2*Rho*Sref*Cx*vit_xz^2</f>
        <v>58.0946356827354</v>
      </c>
      <c r="X893" s="401"/>
      <c r="Y893" s="422" t="str">
        <f aca="false">IF(AND(pos_z&lt;=0,K892&gt;0),"Impact balistique","") &amp; IF(AND(H894&lt;0,vit_z&gt;=0),"Apogée","") &amp; IF(AND(Poussee=0,Q892&gt;0),"Fin de propulsion","") &amp; IF(AND(L894&gt;L_rampe,pos_xz&lt;=L_rampe),"Sortie de rampe","")</f>
        <v/>
      </c>
      <c r="Z893" s="423" t="str">
        <f aca="false">IF(ABS(t-T_para)&lt;pas/2,"Para","")</f>
        <v/>
      </c>
      <c r="AA893" s="424" t="str">
        <f aca="false">IF(ABS(t-T_satellite)&lt;pas/2,"Satellite","")</f>
        <v/>
      </c>
      <c r="AB893" s="412"/>
      <c r="AC893" s="420" t="e">
        <f aca="false">IF(ABS(t-ROUND(t,0))&lt;0.001,t,NA())</f>
        <v>#N/A</v>
      </c>
      <c r="AD893" s="425" t="e">
        <f aca="false">IF(ABS(t-ROUND(t,0))&lt;0.001,pos_x,NA())</f>
        <v>#N/A</v>
      </c>
      <c r="AE893" s="426" t="e">
        <f aca="false">IF(t&lt;T_para, pos_z, NA())</f>
        <v>#N/A</v>
      </c>
      <c r="AF893" s="412"/>
      <c r="AG893" s="418" t="n">
        <f aca="false">IF(AND(L892&lt;L_rampe,Poussee&lt;Poids*SIN(M892)),0,(-W892+Poussee)/m-Poids*SIN(M892)/m)</f>
        <v>1.88641240546579</v>
      </c>
      <c r="AH893" s="417" t="n">
        <f aca="false">IF(AND(L892&lt;L_rampe,Poussee&lt;Poids*SIN(M892)), g*SIN(M892), (-W892+Poussee)/m)</f>
        <v>-7.87400208109112</v>
      </c>
    </row>
    <row r="894" customFormat="false" ht="12" hidden="false" customHeight="false" outlineLevel="0" collapsed="false">
      <c r="A894" s="416" t="n">
        <f aca="false">IF(B893+0.01&lt;=T_ini+ROUNDUP(Temps_fin_propu,0), 0.01, IF(K893&gt;0, 0.1, 0.0001))</f>
        <v>0.0001</v>
      </c>
      <c r="B894" s="417" t="n">
        <f aca="false">B893+pas</f>
        <v>36.3167000000008</v>
      </c>
      <c r="C894" s="401"/>
      <c r="D894" s="418" t="n">
        <f aca="false">IF(AND(L893&lt;L_rampe,Poussee&lt;Poids*SIN(M893)),0,(-W893+Poussee)/m*COS(M893)-U893/m*SIN(M893))</f>
        <v>-0.790682958028696</v>
      </c>
      <c r="E894" s="419" t="n">
        <f aca="false">IF(AND(L893&lt;L_rampe,Poussee&lt;Poids*SIN(M893)),0,(-W893+Poussee)/m*SIN(M893)+U893/m*COS(M893)-Poids/m)</f>
        <v>-1.97576364412126</v>
      </c>
      <c r="F894" s="417" t="n">
        <f aca="false">SQRT(acc_x^2+acc_z^2)</f>
        <v>2.12810279769289</v>
      </c>
      <c r="G894" s="418" t="n">
        <f aca="false">G893+acc_x*pas</f>
        <v>12.4638093778514</v>
      </c>
      <c r="H894" s="419" t="n">
        <f aca="false">H893+acc_z*pas</f>
        <v>-123.494762634234</v>
      </c>
      <c r="I894" s="417" t="n">
        <f aca="false">SQRT(vit_x^2+vit_z^2)</f>
        <v>124.122129140187</v>
      </c>
      <c r="J894" s="418" t="n">
        <f aca="false">J893+0.5*(vit_x+G893)*pas*(K893&gt;=0)</f>
        <v>913.614336176273</v>
      </c>
      <c r="K894" s="419" t="n">
        <f aca="false">K893+0.5*(vit_z+H893)*pas</f>
        <v>-10.7681464416493</v>
      </c>
      <c r="L894" s="417" t="n">
        <f aca="false">SQRT(pos_x^2+pos_z^2)</f>
        <v>913.677792356037</v>
      </c>
      <c r="M894" s="418" t="n">
        <f aca="false">IF(AND(L893&gt;L_rampe,G894&gt;0),ATAN2(G894,H894),$M$4)</f>
        <v>-1.47021111157922</v>
      </c>
      <c r="N894" s="417" t="n">
        <f aca="false">DEGREES(Beta)</f>
        <v>-84.2368916867267</v>
      </c>
      <c r="O894" s="401"/>
      <c r="P894" s="420" t="n">
        <f aca="false">MATCH(t-pas/2-T_ini,CdP_t)</f>
        <v>23</v>
      </c>
      <c r="Q894" s="417" t="n">
        <f aca="false">(INDEX(CdP,2,i_P+1)-INDEX(CdP,2,i_P+0))/(INDEX(CdP,1,i_P+1)-INDEX(CdP,1,i_P+0))*(t-pas/2-T_ini-INDEX(CdP,1,i_P+0))+INDEX(CdP,2,i_P+0)</f>
        <v>0</v>
      </c>
      <c r="R894" s="418" t="n">
        <f aca="false">Poussee/(g*ISP)</f>
        <v>0</v>
      </c>
      <c r="S894" s="419" t="n">
        <f aca="false">S893-Débit*pas</f>
        <v>7.37799999999998</v>
      </c>
      <c r="T894" s="417" t="n">
        <f aca="false">m*g</f>
        <v>72.3781799999998</v>
      </c>
      <c r="U894" s="421" t="n">
        <f aca="false">IF(pos_xz&lt;L_rampe,Poids*COS(Beta),0)</f>
        <v>0</v>
      </c>
      <c r="V894" s="418" t="n">
        <f aca="false">Rho_moyen*(20000-Alt_rampe-pos_z)/(20000+Alt_rampe+pos_z)</f>
        <v>1.22631980853368</v>
      </c>
      <c r="W894" s="417" t="n">
        <f aca="false">1/2*Rho*Sref*Cx*vit_xz^2</f>
        <v>58.0948840090112</v>
      </c>
      <c r="X894" s="401"/>
      <c r="Y894" s="422" t="str">
        <f aca="false">IF(AND(pos_z&lt;=0,K893&gt;0),"Impact balistique","") &amp; IF(AND(H895&lt;0,vit_z&gt;=0),"Apogée","") &amp; IF(AND(Poussee=0,Q893&gt;0),"Fin de propulsion","") &amp; IF(AND(L895&gt;L_rampe,pos_xz&lt;=L_rampe),"Sortie de rampe","")</f>
        <v/>
      </c>
      <c r="Z894" s="423" t="str">
        <f aca="false">IF(ABS(t-T_para)&lt;pas/2,"Para","")</f>
        <v/>
      </c>
      <c r="AA894" s="424" t="str">
        <f aca="false">IF(ABS(t-T_satellite)&lt;pas/2,"Satellite","")</f>
        <v/>
      </c>
      <c r="AB894" s="412"/>
      <c r="AC894" s="420" t="e">
        <f aca="false">IF(ABS(t-ROUND(t,0))&lt;0.001,t,NA())</f>
        <v>#N/A</v>
      </c>
      <c r="AD894" s="425" t="e">
        <f aca="false">IF(ABS(t-ROUND(t,0))&lt;0.001,pos_x,NA())</f>
        <v>#N/A</v>
      </c>
      <c r="AE894" s="426" t="e">
        <f aca="false">IF(t&lt;T_para, pos_z, NA())</f>
        <v>#N/A</v>
      </c>
      <c r="AF894" s="412"/>
      <c r="AG894" s="418" t="n">
        <f aca="false">IF(AND(L893&lt;L_rampe,Poussee&lt;Poids*SIN(M893)),0,(-W893+Poussee)/m-Poids*SIN(M893)/m)</f>
        <v>1.88637952931961</v>
      </c>
      <c r="AH894" s="417" t="n">
        <f aca="false">IF(AND(L893&lt;L_rampe,Poussee&lt;Poids*SIN(M893)), g*SIN(M893), (-W893+Poussee)/m)</f>
        <v>-7.87403573905334</v>
      </c>
    </row>
    <row r="895" customFormat="false" ht="12" hidden="false" customHeight="false" outlineLevel="0" collapsed="false">
      <c r="A895" s="416" t="n">
        <f aca="false">IF(B894+0.01&lt;=T_ini+ROUNDUP(Temps_fin_propu,0), 0.01, IF(K894&gt;0, 0.1, 0.0001))</f>
        <v>0.0001</v>
      </c>
      <c r="B895" s="417" t="n">
        <f aca="false">B894+pas</f>
        <v>36.3168000000008</v>
      </c>
      <c r="C895" s="401"/>
      <c r="D895" s="418" t="n">
        <f aca="false">IF(AND(L894&lt;L_rampe,Poussee&lt;Poids*SIN(M894)),0,(-W894+Poussee)/m*COS(M894)-U894/m*SIN(M894))</f>
        <v>-0.790680120205379</v>
      </c>
      <c r="E895" s="419" t="n">
        <f aca="false">IF(AND(L894&lt;L_rampe,Poussee&lt;Poids*SIN(M894)),0,(-W894+Poussee)/m*SIN(M894)+U894/m*COS(M894)-Poids/m)</f>
        <v>-1.97572952905644</v>
      </c>
      <c r="F895" s="417" t="n">
        <f aca="false">SQRT(acc_x^2+acc_z^2)</f>
        <v>2.12807007038621</v>
      </c>
      <c r="G895" s="418" t="n">
        <f aca="false">G894+acc_x*pas</f>
        <v>12.4637303098394</v>
      </c>
      <c r="H895" s="419" t="n">
        <f aca="false">H894+acc_z*pas</f>
        <v>-123.494960207187</v>
      </c>
      <c r="I895" s="417" t="n">
        <f aca="false">SQRT(vit_x^2+vit_z^2)</f>
        <v>124.122317774891</v>
      </c>
      <c r="J895" s="418" t="n">
        <f aca="false">J894+0.5*(vit_x+G894)*pas*(K894&gt;=0)</f>
        <v>913.614336176273</v>
      </c>
      <c r="K895" s="419" t="n">
        <f aca="false">K894+0.5*(vit_z+H894)*pas</f>
        <v>-10.7804959277914</v>
      </c>
      <c r="L895" s="417" t="n">
        <f aca="false">SQRT(pos_x^2+pos_z^2)</f>
        <v>913.67793798431</v>
      </c>
      <c r="M895" s="418" t="n">
        <f aca="false">IF(AND(L894&gt;L_rampe,G895&gt;0),ATAN2(G895,H895),$M$4)</f>
        <v>-1.47021190521404</v>
      </c>
      <c r="N895" s="417" t="n">
        <f aca="false">DEGREES(Beta)</f>
        <v>-84.2369371586522</v>
      </c>
      <c r="O895" s="401"/>
      <c r="P895" s="420" t="n">
        <f aca="false">MATCH(t-pas/2-T_ini,CdP_t)</f>
        <v>23</v>
      </c>
      <c r="Q895" s="417" t="n">
        <f aca="false">(INDEX(CdP,2,i_P+1)-INDEX(CdP,2,i_P+0))/(INDEX(CdP,1,i_P+1)-INDEX(CdP,1,i_P+0))*(t-pas/2-T_ini-INDEX(CdP,1,i_P+0))+INDEX(CdP,2,i_P+0)</f>
        <v>0</v>
      </c>
      <c r="R895" s="418" t="n">
        <f aca="false">Poussee/(g*ISP)</f>
        <v>0</v>
      </c>
      <c r="S895" s="419" t="n">
        <f aca="false">S894-Débit*pas</f>
        <v>7.37799999999998</v>
      </c>
      <c r="T895" s="417" t="n">
        <f aca="false">m*g</f>
        <v>72.3781799999998</v>
      </c>
      <c r="U895" s="421" t="n">
        <f aca="false">IF(pos_xz&lt;L_rampe,Poids*COS(Beta),0)</f>
        <v>0</v>
      </c>
      <c r="V895" s="418" t="n">
        <f aca="false">Rho_moyen*(20000-Alt_rampe-pos_z)/(20000+Alt_rampe+pos_z)</f>
        <v>1.226321322977</v>
      </c>
      <c r="W895" s="417" t="n">
        <f aca="false">1/2*Rho*Sref*Cx*vit_xz^2</f>
        <v>58.0951323331174</v>
      </c>
      <c r="X895" s="401"/>
      <c r="Y895" s="422" t="str">
        <f aca="false">IF(AND(pos_z&lt;=0,K894&gt;0),"Impact balistique","") &amp; IF(AND(H896&lt;0,vit_z&gt;=0),"Apogée","") &amp; IF(AND(Poussee=0,Q894&gt;0),"Fin de propulsion","") &amp; IF(AND(L896&gt;L_rampe,pos_xz&lt;=L_rampe),"Sortie de rampe","")</f>
        <v/>
      </c>
      <c r="Z895" s="423" t="str">
        <f aca="false">IF(ABS(t-T_para)&lt;pas/2,"Para","")</f>
        <v/>
      </c>
      <c r="AA895" s="424" t="str">
        <f aca="false">IF(ABS(t-T_satellite)&lt;pas/2,"Satellite","")</f>
        <v/>
      </c>
      <c r="AB895" s="412"/>
      <c r="AC895" s="420" t="e">
        <f aca="false">IF(ABS(t-ROUND(t,0))&lt;0.001,t,NA())</f>
        <v>#N/A</v>
      </c>
      <c r="AD895" s="425" t="e">
        <f aca="false">IF(ABS(t-ROUND(t,0))&lt;0.001,pos_x,NA())</f>
        <v>#N/A</v>
      </c>
      <c r="AE895" s="426" t="e">
        <f aca="false">IF(t&lt;T_para, pos_z, NA())</f>
        <v>#N/A</v>
      </c>
      <c r="AF895" s="412"/>
      <c r="AG895" s="418" t="n">
        <f aca="false">IF(AND(L894&lt;L_rampe,Poussee&lt;Poids*SIN(M894)),0,(-W894+Poussee)/m-Poids*SIN(M894)/m)</f>
        <v>1.88634665345399</v>
      </c>
      <c r="AH895" s="417" t="n">
        <f aca="false">IF(AND(L894&lt;L_rampe,Poussee&lt;Poids*SIN(M894)), g*SIN(M894), (-W894+Poussee)/m)</f>
        <v>-7.87406939672151</v>
      </c>
    </row>
    <row r="896" customFormat="false" ht="12" hidden="false" customHeight="false" outlineLevel="0" collapsed="false">
      <c r="A896" s="416" t="n">
        <f aca="false">IF(B895+0.01&lt;=T_ini+ROUNDUP(Temps_fin_propu,0), 0.01, IF(K895&gt;0, 0.1, 0.0001))</f>
        <v>0.0001</v>
      </c>
      <c r="B896" s="417" t="n">
        <f aca="false">B895+pas</f>
        <v>36.3169000000008</v>
      </c>
      <c r="C896" s="401"/>
      <c r="D896" s="418" t="n">
        <f aca="false">IF(AND(L895&lt;L_rampe,Poussee&lt;Poids*SIN(M895)),0,(-W895+Poussee)/m*COS(M895)-U895/m*SIN(M895))</f>
        <v>-0.790677282357222</v>
      </c>
      <c r="E896" s="419" t="n">
        <f aca="false">IF(AND(L895&lt;L_rampe,Poussee&lt;Poids*SIN(M895)),0,(-W895+Poussee)/m*SIN(M895)+U895/m*COS(M895)-Poids/m)</f>
        <v>-1.97569541428966</v>
      </c>
      <c r="F896" s="417" t="n">
        <f aca="false">SQRT(acc_x^2+acc_z^2)</f>
        <v>2.12803734339437</v>
      </c>
      <c r="G896" s="418" t="n">
        <f aca="false">G895+acc_x*pas</f>
        <v>12.4636512421112</v>
      </c>
      <c r="H896" s="419" t="n">
        <f aca="false">H895+acc_z*pas</f>
        <v>-123.495157776728</v>
      </c>
      <c r="I896" s="417" t="n">
        <f aca="false">SQRT(vit_x^2+vit_z^2)</f>
        <v>124.122506406308</v>
      </c>
      <c r="J896" s="418" t="n">
        <f aca="false">J895+0.5*(vit_x+G895)*pas*(K895&gt;=0)</f>
        <v>913.614336176273</v>
      </c>
      <c r="K896" s="419" t="n">
        <f aca="false">K895+0.5*(vit_z+H895)*pas</f>
        <v>-10.7928454336906</v>
      </c>
      <c r="L896" s="417" t="n">
        <f aca="false">SQRT(pos_x^2+pos_z^2)</f>
        <v>913.678083779713</v>
      </c>
      <c r="M896" s="418" t="n">
        <f aca="false">IF(AND(L895&gt;L_rampe,G896&gt;0),ATAN2(G896,H896),$M$4)</f>
        <v>-1.47021269884141</v>
      </c>
      <c r="N896" s="417" t="n">
        <f aca="false">DEGREES(Beta)</f>
        <v>-84.236982630151</v>
      </c>
      <c r="O896" s="401"/>
      <c r="P896" s="420" t="n">
        <f aca="false">MATCH(t-pas/2-T_ini,CdP_t)</f>
        <v>23</v>
      </c>
      <c r="Q896" s="417" t="n">
        <f aca="false">(INDEX(CdP,2,i_P+1)-INDEX(CdP,2,i_P+0))/(INDEX(CdP,1,i_P+1)-INDEX(CdP,1,i_P+0))*(t-pas/2-T_ini-INDEX(CdP,1,i_P+0))+INDEX(CdP,2,i_P+0)</f>
        <v>0</v>
      </c>
      <c r="R896" s="418" t="n">
        <f aca="false">Poussee/(g*ISP)</f>
        <v>0</v>
      </c>
      <c r="S896" s="419" t="n">
        <f aca="false">S895-Débit*pas</f>
        <v>7.37799999999998</v>
      </c>
      <c r="T896" s="417" t="n">
        <f aca="false">m*g</f>
        <v>72.3781799999998</v>
      </c>
      <c r="U896" s="421" t="n">
        <f aca="false">IF(pos_xz&lt;L_rampe,Poids*COS(Beta),0)</f>
        <v>0</v>
      </c>
      <c r="V896" s="418" t="n">
        <f aca="false">Rho_moyen*(20000-Alt_rampe-pos_z)/(20000+Alt_rampe+pos_z)</f>
        <v>1.22632283742462</v>
      </c>
      <c r="W896" s="417" t="n">
        <f aca="false">1/2*Rho*Sref*Cx*vit_xz^2</f>
        <v>58.095380655054</v>
      </c>
      <c r="X896" s="401"/>
      <c r="Y896" s="422" t="str">
        <f aca="false">IF(AND(pos_z&lt;=0,K895&gt;0),"Impact balistique","") &amp; IF(AND(H897&lt;0,vit_z&gt;=0),"Apogée","") &amp; IF(AND(Poussee=0,Q895&gt;0),"Fin de propulsion","") &amp; IF(AND(L897&gt;L_rampe,pos_xz&lt;=L_rampe),"Sortie de rampe","")</f>
        <v/>
      </c>
      <c r="Z896" s="423" t="str">
        <f aca="false">IF(ABS(t-T_para)&lt;pas/2,"Para","")</f>
        <v/>
      </c>
      <c r="AA896" s="424" t="str">
        <f aca="false">IF(ABS(t-T_satellite)&lt;pas/2,"Satellite","")</f>
        <v/>
      </c>
      <c r="AB896" s="412"/>
      <c r="AC896" s="420" t="e">
        <f aca="false">IF(ABS(t-ROUND(t,0))&lt;0.001,t,NA())</f>
        <v>#N/A</v>
      </c>
      <c r="AD896" s="425" t="e">
        <f aca="false">IF(ABS(t-ROUND(t,0))&lt;0.001,pos_x,NA())</f>
        <v>#N/A</v>
      </c>
      <c r="AE896" s="426" t="e">
        <f aca="false">IF(t&lt;T_para, pos_z, NA())</f>
        <v>#N/A</v>
      </c>
      <c r="AF896" s="412"/>
      <c r="AG896" s="418" t="n">
        <f aca="false">IF(AND(L895&lt;L_rampe,Poussee&lt;Poids*SIN(M895)),0,(-W895+Poussee)/m-Poids*SIN(M895)/m)</f>
        <v>1.88631377786895</v>
      </c>
      <c r="AH896" s="417" t="n">
        <f aca="false">IF(AND(L895&lt;L_rampe,Poussee&lt;Poids*SIN(M895)), g*SIN(M895), (-W895+Poussee)/m)</f>
        <v>-7.87410305409562</v>
      </c>
    </row>
    <row r="897" customFormat="false" ht="12" hidden="false" customHeight="false" outlineLevel="0" collapsed="false">
      <c r="A897" s="416" t="n">
        <f aca="false">IF(B896+0.01&lt;=T_ini+ROUNDUP(Temps_fin_propu,0), 0.01, IF(K896&gt;0, 0.1, 0.0001))</f>
        <v>0.0001</v>
      </c>
      <c r="B897" s="417" t="n">
        <f aca="false">B896+pas</f>
        <v>36.3170000000008</v>
      </c>
      <c r="C897" s="401"/>
      <c r="D897" s="418" t="n">
        <f aca="false">IF(AND(L896&lt;L_rampe,Poussee&lt;Poids*SIN(M896)),0,(-W896+Poussee)/m*COS(M896)-U896/m*SIN(M896))</f>
        <v>-0.790674444484228</v>
      </c>
      <c r="E897" s="419" t="n">
        <f aca="false">IF(AND(L896&lt;L_rampe,Poussee&lt;Poids*SIN(M896)),0,(-W896+Poussee)/m*SIN(M896)+U896/m*COS(M896)-Poids/m)</f>
        <v>-1.9756612998209</v>
      </c>
      <c r="F897" s="417" t="n">
        <f aca="false">SQRT(acc_x^2+acc_z^2)</f>
        <v>2.12800461671737</v>
      </c>
      <c r="G897" s="418" t="n">
        <f aca="false">G896+acc_x*pas</f>
        <v>12.4635721746667</v>
      </c>
      <c r="H897" s="419" t="n">
        <f aca="false">H896+acc_z*pas</f>
        <v>-123.495355342858</v>
      </c>
      <c r="I897" s="417" t="n">
        <f aca="false">SQRT(vit_x^2+vit_z^2)</f>
        <v>124.122695034437</v>
      </c>
      <c r="J897" s="418" t="n">
        <f aca="false">J896+0.5*(vit_x+G896)*pas*(K896&gt;=0)</f>
        <v>913.614336176273</v>
      </c>
      <c r="K897" s="419" t="n">
        <f aca="false">K896+0.5*(vit_z+H896)*pas</f>
        <v>-10.8051949593466</v>
      </c>
      <c r="L897" s="417" t="n">
        <f aca="false">SQRT(pos_x^2+pos_z^2)</f>
        <v>913.678229742244</v>
      </c>
      <c r="M897" s="418" t="n">
        <f aca="false">IF(AND(L896&gt;L_rampe,G897&gt;0),ATAN2(G897,H897),$M$4)</f>
        <v>-1.47021349246133</v>
      </c>
      <c r="N897" s="417" t="n">
        <f aca="false">DEGREES(Beta)</f>
        <v>-84.2370281012231</v>
      </c>
      <c r="O897" s="401"/>
      <c r="P897" s="420" t="n">
        <f aca="false">MATCH(t-pas/2-T_ini,CdP_t)</f>
        <v>23</v>
      </c>
      <c r="Q897" s="417" t="n">
        <f aca="false">(INDEX(CdP,2,i_P+1)-INDEX(CdP,2,i_P+0))/(INDEX(CdP,1,i_P+1)-INDEX(CdP,1,i_P+0))*(t-pas/2-T_ini-INDEX(CdP,1,i_P+0))+INDEX(CdP,2,i_P+0)</f>
        <v>0</v>
      </c>
      <c r="R897" s="418" t="n">
        <f aca="false">Poussee/(g*ISP)</f>
        <v>0</v>
      </c>
      <c r="S897" s="419" t="n">
        <f aca="false">S896-Débit*pas</f>
        <v>7.37799999999998</v>
      </c>
      <c r="T897" s="417" t="n">
        <f aca="false">m*g</f>
        <v>72.3781799999998</v>
      </c>
      <c r="U897" s="421" t="n">
        <f aca="false">IF(pos_xz&lt;L_rampe,Poids*COS(Beta),0)</f>
        <v>0</v>
      </c>
      <c r="V897" s="418" t="n">
        <f aca="false">Rho_moyen*(20000-Alt_rampe-pos_z)/(20000+Alt_rampe+pos_z)</f>
        <v>1.22632435187653</v>
      </c>
      <c r="W897" s="417" t="n">
        <f aca="false">1/2*Rho*Sref*Cx*vit_xz^2</f>
        <v>58.0956289748211</v>
      </c>
      <c r="X897" s="401"/>
      <c r="Y897" s="422" t="str">
        <f aca="false">IF(AND(pos_z&lt;=0,K896&gt;0),"Impact balistique","") &amp; IF(AND(H898&lt;0,vit_z&gt;=0),"Apogée","") &amp; IF(AND(Poussee=0,Q896&gt;0),"Fin de propulsion","") &amp; IF(AND(L898&gt;L_rampe,pos_xz&lt;=L_rampe),"Sortie de rampe","")</f>
        <v/>
      </c>
      <c r="Z897" s="423" t="str">
        <f aca="false">IF(ABS(t-T_para)&lt;pas/2,"Para","")</f>
        <v/>
      </c>
      <c r="AA897" s="424" t="str">
        <f aca="false">IF(ABS(t-T_satellite)&lt;pas/2,"Satellite","")</f>
        <v/>
      </c>
      <c r="AB897" s="412"/>
      <c r="AC897" s="420" t="e">
        <f aca="false">IF(ABS(t-ROUND(t,0))&lt;0.001,t,NA())</f>
        <v>#N/A</v>
      </c>
      <c r="AD897" s="425" t="e">
        <f aca="false">IF(ABS(t-ROUND(t,0))&lt;0.001,pos_x,NA())</f>
        <v>#N/A</v>
      </c>
      <c r="AE897" s="426" t="e">
        <f aca="false">IF(t&lt;T_para, pos_z, NA())</f>
        <v>#N/A</v>
      </c>
      <c r="AF897" s="412"/>
      <c r="AG897" s="418" t="n">
        <f aca="false">IF(AND(L896&lt;L_rampe,Poussee&lt;Poids*SIN(M896)),0,(-W896+Poussee)/m-Poids*SIN(M896)/m)</f>
        <v>1.88628090256448</v>
      </c>
      <c r="AH897" s="417" t="n">
        <f aca="false">IF(AND(L896&lt;L_rampe,Poussee&lt;Poids*SIN(M896)), g*SIN(M896), (-W896+Poussee)/m)</f>
        <v>-7.87413671117567</v>
      </c>
    </row>
    <row r="898" customFormat="false" ht="12" hidden="false" customHeight="false" outlineLevel="0" collapsed="false">
      <c r="A898" s="416" t="n">
        <f aca="false">IF(B897+0.01&lt;=T_ini+ROUNDUP(Temps_fin_propu,0), 0.01, IF(K897&gt;0, 0.1, 0.0001))</f>
        <v>0.0001</v>
      </c>
      <c r="B898" s="417" t="n">
        <f aca="false">B897+pas</f>
        <v>36.3171000000008</v>
      </c>
      <c r="C898" s="401"/>
      <c r="D898" s="418" t="n">
        <f aca="false">IF(AND(L897&lt;L_rampe,Poussee&lt;Poids*SIN(M897)),0,(-W897+Poussee)/m*COS(M897)-U897/m*SIN(M897))</f>
        <v>-0.790671606586398</v>
      </c>
      <c r="E898" s="419" t="n">
        <f aca="false">IF(AND(L897&lt;L_rampe,Poussee&lt;Poids*SIN(M897)),0,(-W897+Poussee)/m*SIN(M897)+U897/m*COS(M897)-Poids/m)</f>
        <v>-1.97562718565017</v>
      </c>
      <c r="F898" s="417" t="n">
        <f aca="false">SQRT(acc_x^2+acc_z^2)</f>
        <v>2.12797189035521</v>
      </c>
      <c r="G898" s="418" t="n">
        <f aca="false">G897+acc_x*pas</f>
        <v>12.4634931075061</v>
      </c>
      <c r="H898" s="419" t="n">
        <f aca="false">H897+acc_z*pas</f>
        <v>-123.495552905577</v>
      </c>
      <c r="I898" s="417" t="n">
        <f aca="false">SQRT(vit_x^2+vit_z^2)</f>
        <v>124.122883659279</v>
      </c>
      <c r="J898" s="418" t="n">
        <f aca="false">J897+0.5*(vit_x+G897)*pas*(K897&gt;=0)</f>
        <v>913.614336176273</v>
      </c>
      <c r="K898" s="419" t="n">
        <f aca="false">K897+0.5*(vit_z+H897)*pas</f>
        <v>-10.817544504759</v>
      </c>
      <c r="L898" s="417" t="n">
        <f aca="false">SQRT(pos_x^2+pos_z^2)</f>
        <v>913.678375871906</v>
      </c>
      <c r="M898" s="418" t="n">
        <f aca="false">IF(AND(L897&gt;L_rampe,G898&gt;0),ATAN2(G898,H898),$M$4)</f>
        <v>-1.47021428607381</v>
      </c>
      <c r="N898" s="417" t="n">
        <f aca="false">DEGREES(Beta)</f>
        <v>-84.2370735718686</v>
      </c>
      <c r="O898" s="401"/>
      <c r="P898" s="420" t="n">
        <f aca="false">MATCH(t-pas/2-T_ini,CdP_t)</f>
        <v>23</v>
      </c>
      <c r="Q898" s="417" t="n">
        <f aca="false">(INDEX(CdP,2,i_P+1)-INDEX(CdP,2,i_P+0))/(INDEX(CdP,1,i_P+1)-INDEX(CdP,1,i_P+0))*(t-pas/2-T_ini-INDEX(CdP,1,i_P+0))+INDEX(CdP,2,i_P+0)</f>
        <v>0</v>
      </c>
      <c r="R898" s="418" t="n">
        <f aca="false">Poussee/(g*ISP)</f>
        <v>0</v>
      </c>
      <c r="S898" s="419" t="n">
        <f aca="false">S897-Débit*pas</f>
        <v>7.37799999999998</v>
      </c>
      <c r="T898" s="417" t="n">
        <f aca="false">m*g</f>
        <v>72.3781799999998</v>
      </c>
      <c r="U898" s="421" t="n">
        <f aca="false">IF(pos_xz&lt;L_rampe,Poids*COS(Beta),0)</f>
        <v>0</v>
      </c>
      <c r="V898" s="418" t="n">
        <f aca="false">Rho_moyen*(20000-Alt_rampe-pos_z)/(20000+Alt_rampe+pos_z)</f>
        <v>1.22632586633274</v>
      </c>
      <c r="W898" s="417" t="n">
        <f aca="false">1/2*Rho*Sref*Cx*vit_xz^2</f>
        <v>58.0958772924186</v>
      </c>
      <c r="X898" s="401"/>
      <c r="Y898" s="422" t="str">
        <f aca="false">IF(AND(pos_z&lt;=0,K897&gt;0),"Impact balistique","") &amp; IF(AND(H899&lt;0,vit_z&gt;=0),"Apogée","") &amp; IF(AND(Poussee=0,Q897&gt;0),"Fin de propulsion","") &amp; IF(AND(L899&gt;L_rampe,pos_xz&lt;=L_rampe),"Sortie de rampe","")</f>
        <v/>
      </c>
      <c r="Z898" s="423" t="str">
        <f aca="false">IF(ABS(t-T_para)&lt;pas/2,"Para","")</f>
        <v/>
      </c>
      <c r="AA898" s="424" t="str">
        <f aca="false">IF(ABS(t-T_satellite)&lt;pas/2,"Satellite","")</f>
        <v/>
      </c>
      <c r="AB898" s="412"/>
      <c r="AC898" s="420" t="e">
        <f aca="false">IF(ABS(t-ROUND(t,0))&lt;0.001,t,NA())</f>
        <v>#N/A</v>
      </c>
      <c r="AD898" s="425" t="e">
        <f aca="false">IF(ABS(t-ROUND(t,0))&lt;0.001,pos_x,NA())</f>
        <v>#N/A</v>
      </c>
      <c r="AE898" s="426" t="e">
        <f aca="false">IF(t&lt;T_para, pos_z, NA())</f>
        <v>#N/A</v>
      </c>
      <c r="AF898" s="412"/>
      <c r="AG898" s="418" t="n">
        <f aca="false">IF(AND(L897&lt;L_rampe,Poussee&lt;Poids*SIN(M897)),0,(-W897+Poussee)/m-Poids*SIN(M897)/m)</f>
        <v>1.88624802754059</v>
      </c>
      <c r="AH898" s="417" t="n">
        <f aca="false">IF(AND(L897&lt;L_rampe,Poussee&lt;Poids*SIN(M897)), g*SIN(M897), (-W897+Poussee)/m)</f>
        <v>-7.87417036796167</v>
      </c>
    </row>
    <row r="899" customFormat="false" ht="12" hidden="false" customHeight="false" outlineLevel="0" collapsed="false">
      <c r="A899" s="416" t="n">
        <f aca="false">IF(B898+0.01&lt;=T_ini+ROUNDUP(Temps_fin_propu,0), 0.01, IF(K898&gt;0, 0.1, 0.0001))</f>
        <v>0.0001</v>
      </c>
      <c r="B899" s="417" t="n">
        <f aca="false">B898+pas</f>
        <v>36.3172000000008</v>
      </c>
      <c r="C899" s="401"/>
      <c r="D899" s="418" t="n">
        <f aca="false">IF(AND(L898&lt;L_rampe,Poussee&lt;Poids*SIN(M898)),0,(-W898+Poussee)/m*COS(M898)-U898/m*SIN(M898))</f>
        <v>-0.790668768663731</v>
      </c>
      <c r="E899" s="419" t="n">
        <f aca="false">IF(AND(L898&lt;L_rampe,Poussee&lt;Poids*SIN(M898)),0,(-W898+Poussee)/m*SIN(M898)+U898/m*COS(M898)-Poids/m)</f>
        <v>-1.97559307177747</v>
      </c>
      <c r="F899" s="417" t="n">
        <f aca="false">SQRT(acc_x^2+acc_z^2)</f>
        <v>2.12793916430789</v>
      </c>
      <c r="G899" s="418" t="n">
        <f aca="false">G898+acc_x*pas</f>
        <v>12.4634140406292</v>
      </c>
      <c r="H899" s="419" t="n">
        <f aca="false">H898+acc_z*pas</f>
        <v>-123.495750464884</v>
      </c>
      <c r="I899" s="417" t="n">
        <f aca="false">SQRT(vit_x^2+vit_z^2)</f>
        <v>124.123072280834</v>
      </c>
      <c r="J899" s="418" t="n">
        <f aca="false">J898+0.5*(vit_x+G898)*pas*(K898&gt;=0)</f>
        <v>913.614336176273</v>
      </c>
      <c r="K899" s="419" t="n">
        <f aca="false">K898+0.5*(vit_z+H898)*pas</f>
        <v>-10.8298940699275</v>
      </c>
      <c r="L899" s="417" t="n">
        <f aca="false">SQRT(pos_x^2+pos_z^2)</f>
        <v>913.678522168699</v>
      </c>
      <c r="M899" s="418" t="n">
        <f aca="false">IF(AND(L898&gt;L_rampe,G899&gt;0),ATAN2(G899,H899),$M$4)</f>
        <v>-1.47021507967884</v>
      </c>
      <c r="N899" s="417" t="n">
        <f aca="false">DEGREES(Beta)</f>
        <v>-84.2371190420875</v>
      </c>
      <c r="O899" s="401"/>
      <c r="P899" s="420" t="n">
        <f aca="false">MATCH(t-pas/2-T_ini,CdP_t)</f>
        <v>23</v>
      </c>
      <c r="Q899" s="417" t="n">
        <f aca="false">(INDEX(CdP,2,i_P+1)-INDEX(CdP,2,i_P+0))/(INDEX(CdP,1,i_P+1)-INDEX(CdP,1,i_P+0))*(t-pas/2-T_ini-INDEX(CdP,1,i_P+0))+INDEX(CdP,2,i_P+0)</f>
        <v>0</v>
      </c>
      <c r="R899" s="418" t="n">
        <f aca="false">Poussee/(g*ISP)</f>
        <v>0</v>
      </c>
      <c r="S899" s="419" t="n">
        <f aca="false">S898-Débit*pas</f>
        <v>7.37799999999998</v>
      </c>
      <c r="T899" s="417" t="n">
        <f aca="false">m*g</f>
        <v>72.3781799999998</v>
      </c>
      <c r="U899" s="421" t="n">
        <f aca="false">IF(pos_xz&lt;L_rampe,Poids*COS(Beta),0)</f>
        <v>0</v>
      </c>
      <c r="V899" s="418" t="n">
        <f aca="false">Rho_moyen*(20000-Alt_rampe-pos_z)/(20000+Alt_rampe+pos_z)</f>
        <v>1.22632738079324</v>
      </c>
      <c r="W899" s="417" t="n">
        <f aca="false">1/2*Rho*Sref*Cx*vit_xz^2</f>
        <v>58.0961256078465</v>
      </c>
      <c r="X899" s="401"/>
      <c r="Y899" s="422" t="str">
        <f aca="false">IF(AND(pos_z&lt;=0,K898&gt;0),"Impact balistique","") &amp; IF(AND(H900&lt;0,vit_z&gt;=0),"Apogée","") &amp; IF(AND(Poussee=0,Q898&gt;0),"Fin de propulsion","") &amp; IF(AND(L900&gt;L_rampe,pos_xz&lt;=L_rampe),"Sortie de rampe","")</f>
        <v/>
      </c>
      <c r="Z899" s="423" t="str">
        <f aca="false">IF(ABS(t-T_para)&lt;pas/2,"Para","")</f>
        <v/>
      </c>
      <c r="AA899" s="424" t="str">
        <f aca="false">IF(ABS(t-T_satellite)&lt;pas/2,"Satellite","")</f>
        <v/>
      </c>
      <c r="AB899" s="412"/>
      <c r="AC899" s="420" t="e">
        <f aca="false">IF(ABS(t-ROUND(t,0))&lt;0.001,t,NA())</f>
        <v>#N/A</v>
      </c>
      <c r="AD899" s="425" t="e">
        <f aca="false">IF(ABS(t-ROUND(t,0))&lt;0.001,pos_x,NA())</f>
        <v>#N/A</v>
      </c>
      <c r="AE899" s="426" t="e">
        <f aca="false">IF(t&lt;T_para, pos_z, NA())</f>
        <v>#N/A</v>
      </c>
      <c r="AF899" s="412"/>
      <c r="AG899" s="418" t="n">
        <f aca="false">IF(AND(L898&lt;L_rampe,Poussee&lt;Poids*SIN(M898)),0,(-W898+Poussee)/m-Poids*SIN(M898)/m)</f>
        <v>1.88621515279727</v>
      </c>
      <c r="AH899" s="417" t="n">
        <f aca="false">IF(AND(L898&lt;L_rampe,Poussee&lt;Poids*SIN(M898)), g*SIN(M898), (-W898+Poussee)/m)</f>
        <v>-7.8742040244536</v>
      </c>
    </row>
    <row r="900" customFormat="false" ht="12" hidden="false" customHeight="false" outlineLevel="0" collapsed="false">
      <c r="A900" s="416" t="n">
        <f aca="false">IF(B899+0.01&lt;=T_ini+ROUNDUP(Temps_fin_propu,0), 0.01, IF(K899&gt;0, 0.1, 0.0001))</f>
        <v>0.0001</v>
      </c>
      <c r="B900" s="417" t="n">
        <f aca="false">B899+pas</f>
        <v>36.3173000000008</v>
      </c>
      <c r="C900" s="401"/>
      <c r="D900" s="418" t="n">
        <f aca="false">IF(AND(L899&lt;L_rampe,Poussee&lt;Poids*SIN(M899)),0,(-W899+Poussee)/m*COS(M899)-U899/m*SIN(M899))</f>
        <v>-0.79066593071623</v>
      </c>
      <c r="E900" s="419" t="n">
        <f aca="false">IF(AND(L899&lt;L_rampe,Poussee&lt;Poids*SIN(M899)),0,(-W899+Poussee)/m*SIN(M899)+U899/m*COS(M899)-Poids/m)</f>
        <v>-1.9755589582028</v>
      </c>
      <c r="F900" s="417" t="n">
        <f aca="false">SQRT(acc_x^2+acc_z^2)</f>
        <v>2.12790643857541</v>
      </c>
      <c r="G900" s="418" t="n">
        <f aca="false">G899+acc_x*pas</f>
        <v>12.4633349740361</v>
      </c>
      <c r="H900" s="419" t="n">
        <f aca="false">H899+acc_z*pas</f>
        <v>-123.49594802078</v>
      </c>
      <c r="I900" s="417" t="n">
        <f aca="false">SQRT(vit_x^2+vit_z^2)</f>
        <v>124.123260899101</v>
      </c>
      <c r="J900" s="418" t="n">
        <f aca="false">J899+0.5*(vit_x+G899)*pas*(K899&gt;=0)</f>
        <v>913.614336176273</v>
      </c>
      <c r="K900" s="419" t="n">
        <f aca="false">K899+0.5*(vit_z+H899)*pas</f>
        <v>-10.8422436548518</v>
      </c>
      <c r="L900" s="417" t="n">
        <f aca="false">SQRT(pos_x^2+pos_z^2)</f>
        <v>913.678668632624</v>
      </c>
      <c r="M900" s="418" t="n">
        <f aca="false">IF(AND(L899&gt;L_rampe,G900&gt;0),ATAN2(G900,H900),$M$4)</f>
        <v>-1.47021587327642</v>
      </c>
      <c r="N900" s="417" t="n">
        <f aca="false">DEGREES(Beta)</f>
        <v>-84.2371645118796</v>
      </c>
      <c r="O900" s="401"/>
      <c r="P900" s="420" t="n">
        <f aca="false">MATCH(t-pas/2-T_ini,CdP_t)</f>
        <v>23</v>
      </c>
      <c r="Q900" s="417" t="n">
        <f aca="false">(INDEX(CdP,2,i_P+1)-INDEX(CdP,2,i_P+0))/(INDEX(CdP,1,i_P+1)-INDEX(CdP,1,i_P+0))*(t-pas/2-T_ini-INDEX(CdP,1,i_P+0))+INDEX(CdP,2,i_P+0)</f>
        <v>0</v>
      </c>
      <c r="R900" s="418" t="n">
        <f aca="false">Poussee/(g*ISP)</f>
        <v>0</v>
      </c>
      <c r="S900" s="419" t="n">
        <f aca="false">S899-Débit*pas</f>
        <v>7.37799999999998</v>
      </c>
      <c r="T900" s="417" t="n">
        <f aca="false">m*g</f>
        <v>72.3781799999998</v>
      </c>
      <c r="U900" s="421" t="n">
        <f aca="false">IF(pos_xz&lt;L_rampe,Poids*COS(Beta),0)</f>
        <v>0</v>
      </c>
      <c r="V900" s="418" t="n">
        <f aca="false">Rho_moyen*(20000-Alt_rampe-pos_z)/(20000+Alt_rampe+pos_z)</f>
        <v>1.22632889525803</v>
      </c>
      <c r="W900" s="417" t="n">
        <f aca="false">1/2*Rho*Sref*Cx*vit_xz^2</f>
        <v>58.096373921105</v>
      </c>
      <c r="X900" s="401"/>
      <c r="Y900" s="422" t="str">
        <f aca="false">IF(AND(pos_z&lt;=0,K899&gt;0),"Impact balistique","") &amp; IF(AND(H901&lt;0,vit_z&gt;=0),"Apogée","") &amp; IF(AND(Poussee=0,Q899&gt;0),"Fin de propulsion","") &amp; IF(AND(L901&gt;L_rampe,pos_xz&lt;=L_rampe),"Sortie de rampe","")</f>
        <v/>
      </c>
      <c r="Z900" s="423" t="str">
        <f aca="false">IF(ABS(t-T_para)&lt;pas/2,"Para","")</f>
        <v/>
      </c>
      <c r="AA900" s="424" t="str">
        <f aca="false">IF(ABS(t-T_satellite)&lt;pas/2,"Satellite","")</f>
        <v/>
      </c>
      <c r="AB900" s="412"/>
      <c r="AC900" s="420" t="e">
        <f aca="false">IF(ABS(t-ROUND(t,0))&lt;0.001,t,NA())</f>
        <v>#N/A</v>
      </c>
      <c r="AD900" s="425" t="e">
        <f aca="false">IF(ABS(t-ROUND(t,0))&lt;0.001,pos_x,NA())</f>
        <v>#N/A</v>
      </c>
      <c r="AE900" s="426" t="e">
        <f aca="false">IF(t&lt;T_para, pos_z, NA())</f>
        <v>#N/A</v>
      </c>
      <c r="AF900" s="412"/>
      <c r="AG900" s="418" t="n">
        <f aca="false">IF(AND(L899&lt;L_rampe,Poussee&lt;Poids*SIN(M899)),0,(-W899+Poussee)/m-Poids*SIN(M899)/m)</f>
        <v>1.88618227833453</v>
      </c>
      <c r="AH900" s="417" t="n">
        <f aca="false">IF(AND(L899&lt;L_rampe,Poussee&lt;Poids*SIN(M899)), g*SIN(M899), (-W899+Poussee)/m)</f>
        <v>-7.87423768065149</v>
      </c>
    </row>
    <row r="901" customFormat="false" ht="12" hidden="false" customHeight="false" outlineLevel="0" collapsed="false">
      <c r="A901" s="416" t="n">
        <f aca="false">IF(B900+0.01&lt;=T_ini+ROUNDUP(Temps_fin_propu,0), 0.01, IF(K900&gt;0, 0.1, 0.0001))</f>
        <v>0.0001</v>
      </c>
      <c r="B901" s="417" t="n">
        <f aca="false">B900+pas</f>
        <v>36.3174000000008</v>
      </c>
      <c r="C901" s="401"/>
      <c r="D901" s="418" t="n">
        <f aca="false">IF(AND(L900&lt;L_rampe,Poussee&lt;Poids*SIN(M900)),0,(-W900+Poussee)/m*COS(M900)-U900/m*SIN(M900))</f>
        <v>-0.790663092743894</v>
      </c>
      <c r="E901" s="419" t="n">
        <f aca="false">IF(AND(L900&lt;L_rampe,Poussee&lt;Poids*SIN(M900)),0,(-W900+Poussee)/m*SIN(M900)+U900/m*COS(M900)-Poids/m)</f>
        <v>-1.97552484492616</v>
      </c>
      <c r="F901" s="417" t="n">
        <f aca="false">SQRT(acc_x^2+acc_z^2)</f>
        <v>2.12787371315778</v>
      </c>
      <c r="G901" s="418" t="n">
        <f aca="false">G900+acc_x*pas</f>
        <v>12.4632559077268</v>
      </c>
      <c r="H901" s="419" t="n">
        <f aca="false">H900+acc_z*pas</f>
        <v>-123.496145573264</v>
      </c>
      <c r="I901" s="417" t="n">
        <f aca="false">SQRT(vit_x^2+vit_z^2)</f>
        <v>124.12344951408</v>
      </c>
      <c r="J901" s="418" t="n">
        <f aca="false">J900+0.5*(vit_x+G900)*pas*(K900&gt;=0)</f>
        <v>913.614336176273</v>
      </c>
      <c r="K901" s="419" t="n">
        <f aca="false">K900+0.5*(vit_z+H900)*pas</f>
        <v>-10.8545932595315</v>
      </c>
      <c r="L901" s="417" t="n">
        <f aca="false">SQRT(pos_x^2+pos_z^2)</f>
        <v>913.67881526368</v>
      </c>
      <c r="M901" s="418" t="n">
        <f aca="false">IF(AND(L900&gt;L_rampe,G901&gt;0),ATAN2(G901,H901),$M$4)</f>
        <v>-1.47021666686656</v>
      </c>
      <c r="N901" s="417" t="n">
        <f aca="false">DEGREES(Beta)</f>
        <v>-84.2372099812452</v>
      </c>
      <c r="O901" s="401"/>
      <c r="P901" s="420" t="n">
        <f aca="false">MATCH(t-pas/2-T_ini,CdP_t)</f>
        <v>23</v>
      </c>
      <c r="Q901" s="417" t="n">
        <f aca="false">(INDEX(CdP,2,i_P+1)-INDEX(CdP,2,i_P+0))/(INDEX(CdP,1,i_P+1)-INDEX(CdP,1,i_P+0))*(t-pas/2-T_ini-INDEX(CdP,1,i_P+0))+INDEX(CdP,2,i_P+0)</f>
        <v>0</v>
      </c>
      <c r="R901" s="418" t="n">
        <f aca="false">Poussee/(g*ISP)</f>
        <v>0</v>
      </c>
      <c r="S901" s="419" t="n">
        <f aca="false">S900-Débit*pas</f>
        <v>7.37799999999998</v>
      </c>
      <c r="T901" s="417" t="n">
        <f aca="false">m*g</f>
        <v>72.3781799999998</v>
      </c>
      <c r="U901" s="421" t="n">
        <f aca="false">IF(pos_xz&lt;L_rampe,Poids*COS(Beta),0)</f>
        <v>0</v>
      </c>
      <c r="V901" s="418" t="n">
        <f aca="false">Rho_moyen*(20000-Alt_rampe-pos_z)/(20000+Alt_rampe+pos_z)</f>
        <v>1.22633040972712</v>
      </c>
      <c r="W901" s="417" t="n">
        <f aca="false">1/2*Rho*Sref*Cx*vit_xz^2</f>
        <v>58.0966222321938</v>
      </c>
      <c r="X901" s="401"/>
      <c r="Y901" s="422" t="str">
        <f aca="false">IF(AND(pos_z&lt;=0,K900&gt;0),"Impact balistique","") &amp; IF(AND(H902&lt;0,vit_z&gt;=0),"Apogée","") &amp; IF(AND(Poussee=0,Q900&gt;0),"Fin de propulsion","") &amp; IF(AND(L902&gt;L_rampe,pos_xz&lt;=L_rampe),"Sortie de rampe","")</f>
        <v/>
      </c>
      <c r="Z901" s="423" t="str">
        <f aca="false">IF(ABS(t-T_para)&lt;pas/2,"Para","")</f>
        <v/>
      </c>
      <c r="AA901" s="424" t="str">
        <f aca="false">IF(ABS(t-T_satellite)&lt;pas/2,"Satellite","")</f>
        <v/>
      </c>
      <c r="AB901" s="412"/>
      <c r="AC901" s="420" t="e">
        <f aca="false">IF(ABS(t-ROUND(t,0))&lt;0.001,t,NA())</f>
        <v>#N/A</v>
      </c>
      <c r="AD901" s="425" t="e">
        <f aca="false">IF(ABS(t-ROUND(t,0))&lt;0.001,pos_x,NA())</f>
        <v>#N/A</v>
      </c>
      <c r="AE901" s="426" t="e">
        <f aca="false">IF(t&lt;T_para, pos_z, NA())</f>
        <v>#N/A</v>
      </c>
      <c r="AF901" s="412"/>
      <c r="AG901" s="418" t="n">
        <f aca="false">IF(AND(L900&lt;L_rampe,Poussee&lt;Poids*SIN(M900)),0,(-W900+Poussee)/m-Poids*SIN(M900)/m)</f>
        <v>1.88614940415235</v>
      </c>
      <c r="AH901" s="417" t="n">
        <f aca="false">IF(AND(L900&lt;L_rampe,Poussee&lt;Poids*SIN(M900)), g*SIN(M900), (-W900+Poussee)/m)</f>
        <v>-7.87427133655531</v>
      </c>
    </row>
    <row r="902" customFormat="false" ht="12" hidden="false" customHeight="false" outlineLevel="0" collapsed="false">
      <c r="A902" s="416" t="n">
        <f aca="false">IF(B901+0.01&lt;=T_ini+ROUNDUP(Temps_fin_propu,0), 0.01, IF(K901&gt;0, 0.1, 0.0001))</f>
        <v>0.0001</v>
      </c>
      <c r="B902" s="417" t="n">
        <f aca="false">B901+pas</f>
        <v>36.3175000000008</v>
      </c>
      <c r="C902" s="401"/>
      <c r="D902" s="418" t="n">
        <f aca="false">IF(AND(L901&lt;L_rampe,Poussee&lt;Poids*SIN(M901)),0,(-W901+Poussee)/m*COS(M901)-U901/m*SIN(M901))</f>
        <v>-0.790660254746722</v>
      </c>
      <c r="E902" s="419" t="n">
        <f aca="false">IF(AND(L901&lt;L_rampe,Poussee&lt;Poids*SIN(M901)),0,(-W901+Poussee)/m*SIN(M901)+U901/m*COS(M901)-Poids/m)</f>
        <v>-1.97549073194755</v>
      </c>
      <c r="F902" s="417" t="n">
        <f aca="false">SQRT(acc_x^2+acc_z^2)</f>
        <v>2.12784098805499</v>
      </c>
      <c r="G902" s="418" t="n">
        <f aca="false">G901+acc_x*pas</f>
        <v>12.4631768417014</v>
      </c>
      <c r="H902" s="419" t="n">
        <f aca="false">H901+acc_z*pas</f>
        <v>-123.496343122338</v>
      </c>
      <c r="I902" s="417" t="n">
        <f aca="false">SQRT(vit_x^2+vit_z^2)</f>
        <v>124.123638125772</v>
      </c>
      <c r="J902" s="418" t="n">
        <f aca="false">J901+0.5*(vit_x+G901)*pas*(K901&gt;=0)</f>
        <v>913.614336176273</v>
      </c>
      <c r="K902" s="419" t="n">
        <f aca="false">K901+0.5*(vit_z+H901)*pas</f>
        <v>-10.8669428839663</v>
      </c>
      <c r="L902" s="417" t="n">
        <f aca="false">SQRT(pos_x^2+pos_z^2)</f>
        <v>913.67896206187</v>
      </c>
      <c r="M902" s="418" t="n">
        <f aca="false">IF(AND(L901&gt;L_rampe,G902&gt;0),ATAN2(G902,H902),$M$4)</f>
        <v>-1.47021746044925</v>
      </c>
      <c r="N902" s="417" t="n">
        <f aca="false">DEGREES(Beta)</f>
        <v>-84.2372554501841</v>
      </c>
      <c r="O902" s="401"/>
      <c r="P902" s="420" t="n">
        <f aca="false">MATCH(t-pas/2-T_ini,CdP_t)</f>
        <v>23</v>
      </c>
      <c r="Q902" s="417" t="n">
        <f aca="false">(INDEX(CdP,2,i_P+1)-INDEX(CdP,2,i_P+0))/(INDEX(CdP,1,i_P+1)-INDEX(CdP,1,i_P+0))*(t-pas/2-T_ini-INDEX(CdP,1,i_P+0))+INDEX(CdP,2,i_P+0)</f>
        <v>0</v>
      </c>
      <c r="R902" s="418" t="n">
        <f aca="false">Poussee/(g*ISP)</f>
        <v>0</v>
      </c>
      <c r="S902" s="419" t="n">
        <f aca="false">S901-Débit*pas</f>
        <v>7.37799999999998</v>
      </c>
      <c r="T902" s="417" t="n">
        <f aca="false">m*g</f>
        <v>72.3781799999998</v>
      </c>
      <c r="U902" s="421" t="n">
        <f aca="false">IF(pos_xz&lt;L_rampe,Poids*COS(Beta),0)</f>
        <v>0</v>
      </c>
      <c r="V902" s="418" t="n">
        <f aca="false">Rho_moyen*(20000-Alt_rampe-pos_z)/(20000+Alt_rampe+pos_z)</f>
        <v>1.2263319242005</v>
      </c>
      <c r="W902" s="417" t="n">
        <f aca="false">1/2*Rho*Sref*Cx*vit_xz^2</f>
        <v>58.0968705411132</v>
      </c>
      <c r="X902" s="401"/>
      <c r="Y902" s="422" t="str">
        <f aca="false">IF(AND(pos_z&lt;=0,K901&gt;0),"Impact balistique","") &amp; IF(AND(H903&lt;0,vit_z&gt;=0),"Apogée","") &amp; IF(AND(Poussee=0,Q901&gt;0),"Fin de propulsion","") &amp; IF(AND(L903&gt;L_rampe,pos_xz&lt;=L_rampe),"Sortie de rampe","")</f>
        <v/>
      </c>
      <c r="Z902" s="423" t="str">
        <f aca="false">IF(ABS(t-T_para)&lt;pas/2,"Para","")</f>
        <v/>
      </c>
      <c r="AA902" s="424" t="str">
        <f aca="false">IF(ABS(t-T_satellite)&lt;pas/2,"Satellite","")</f>
        <v/>
      </c>
      <c r="AB902" s="412"/>
      <c r="AC902" s="420" t="e">
        <f aca="false">IF(ABS(t-ROUND(t,0))&lt;0.001,t,NA())</f>
        <v>#N/A</v>
      </c>
      <c r="AD902" s="425" t="e">
        <f aca="false">IF(ABS(t-ROUND(t,0))&lt;0.001,pos_x,NA())</f>
        <v>#N/A</v>
      </c>
      <c r="AE902" s="426" t="e">
        <f aca="false">IF(t&lt;T_para, pos_z, NA())</f>
        <v>#N/A</v>
      </c>
      <c r="AF902" s="412"/>
      <c r="AG902" s="418" t="n">
        <f aca="false">IF(AND(L901&lt;L_rampe,Poussee&lt;Poids*SIN(M901)),0,(-W901+Poussee)/m-Poids*SIN(M901)/m)</f>
        <v>1.88611653025076</v>
      </c>
      <c r="AH902" s="417" t="n">
        <f aca="false">IF(AND(L901&lt;L_rampe,Poussee&lt;Poids*SIN(M901)), g*SIN(M901), (-W901+Poussee)/m)</f>
        <v>-7.87430499216508</v>
      </c>
    </row>
    <row r="903" customFormat="false" ht="12" hidden="false" customHeight="false" outlineLevel="0" collapsed="false">
      <c r="A903" s="416" t="n">
        <f aca="false">IF(B902+0.01&lt;=T_ini+ROUNDUP(Temps_fin_propu,0), 0.01, IF(K902&gt;0, 0.1, 0.0001))</f>
        <v>0.0001</v>
      </c>
      <c r="B903" s="417" t="n">
        <f aca="false">B902+pas</f>
        <v>36.3176000000008</v>
      </c>
      <c r="C903" s="401"/>
      <c r="D903" s="418" t="n">
        <f aca="false">IF(AND(L902&lt;L_rampe,Poussee&lt;Poids*SIN(M902)),0,(-W902+Poussee)/m*COS(M902)-U902/m*SIN(M902))</f>
        <v>-0.790657416724718</v>
      </c>
      <c r="E903" s="419" t="n">
        <f aca="false">IF(AND(L902&lt;L_rampe,Poussee&lt;Poids*SIN(M902)),0,(-W902+Poussee)/m*SIN(M902)+U902/m*COS(M902)-Poids/m)</f>
        <v>-1.97545661926696</v>
      </c>
      <c r="F903" s="417" t="n">
        <f aca="false">SQRT(acc_x^2+acc_z^2)</f>
        <v>2.12780826326703</v>
      </c>
      <c r="G903" s="418" t="n">
        <f aca="false">G902+acc_x*pas</f>
        <v>12.4630977759597</v>
      </c>
      <c r="H903" s="419" t="n">
        <f aca="false">H902+acc_z*pas</f>
        <v>-123.496540668</v>
      </c>
      <c r="I903" s="417" t="n">
        <f aca="false">SQRT(vit_x^2+vit_z^2)</f>
        <v>124.123826734177</v>
      </c>
      <c r="J903" s="418" t="n">
        <f aca="false">J902+0.5*(vit_x+G902)*pas*(K902&gt;=0)</f>
        <v>913.614336176273</v>
      </c>
      <c r="K903" s="419" t="n">
        <f aca="false">K902+0.5*(vit_z+H902)*pas</f>
        <v>-10.8792925281558</v>
      </c>
      <c r="L903" s="417" t="n">
        <f aca="false">SQRT(pos_x^2+pos_z^2)</f>
        <v>913.679109027193</v>
      </c>
      <c r="M903" s="418" t="n">
        <f aca="false">IF(AND(L902&gt;L_rampe,G903&gt;0),ATAN2(G903,H903),$M$4)</f>
        <v>-1.4702182540245</v>
      </c>
      <c r="N903" s="417" t="n">
        <f aca="false">DEGREES(Beta)</f>
        <v>-84.2373009186963</v>
      </c>
      <c r="O903" s="401"/>
      <c r="P903" s="420" t="n">
        <f aca="false">MATCH(t-pas/2-T_ini,CdP_t)</f>
        <v>23</v>
      </c>
      <c r="Q903" s="417" t="n">
        <f aca="false">(INDEX(CdP,2,i_P+1)-INDEX(CdP,2,i_P+0))/(INDEX(CdP,1,i_P+1)-INDEX(CdP,1,i_P+0))*(t-pas/2-T_ini-INDEX(CdP,1,i_P+0))+INDEX(CdP,2,i_P+0)</f>
        <v>0</v>
      </c>
      <c r="R903" s="418" t="n">
        <f aca="false">Poussee/(g*ISP)</f>
        <v>0</v>
      </c>
      <c r="S903" s="419" t="n">
        <f aca="false">S902-Débit*pas</f>
        <v>7.37799999999998</v>
      </c>
      <c r="T903" s="417" t="n">
        <f aca="false">m*g</f>
        <v>72.3781799999998</v>
      </c>
      <c r="U903" s="421" t="n">
        <f aca="false">IF(pos_xz&lt;L_rampe,Poids*COS(Beta),0)</f>
        <v>0</v>
      </c>
      <c r="V903" s="418" t="n">
        <f aca="false">Rho_moyen*(20000-Alt_rampe-pos_z)/(20000+Alt_rampe+pos_z)</f>
        <v>1.22633343867817</v>
      </c>
      <c r="W903" s="417" t="n">
        <f aca="false">1/2*Rho*Sref*Cx*vit_xz^2</f>
        <v>58.097118847863</v>
      </c>
      <c r="X903" s="401"/>
      <c r="Y903" s="422" t="str">
        <f aca="false">IF(AND(pos_z&lt;=0,K902&gt;0),"Impact balistique","") &amp; IF(AND(H904&lt;0,vit_z&gt;=0),"Apogée","") &amp; IF(AND(Poussee=0,Q902&gt;0),"Fin de propulsion","") &amp; IF(AND(L904&gt;L_rampe,pos_xz&lt;=L_rampe),"Sortie de rampe","")</f>
        <v/>
      </c>
      <c r="Z903" s="423" t="str">
        <f aca="false">IF(ABS(t-T_para)&lt;pas/2,"Para","")</f>
        <v/>
      </c>
      <c r="AA903" s="424" t="str">
        <f aca="false">IF(ABS(t-T_satellite)&lt;pas/2,"Satellite","")</f>
        <v/>
      </c>
      <c r="AB903" s="412"/>
      <c r="AC903" s="420" t="e">
        <f aca="false">IF(ABS(t-ROUND(t,0))&lt;0.001,t,NA())</f>
        <v>#N/A</v>
      </c>
      <c r="AD903" s="425" t="e">
        <f aca="false">IF(ABS(t-ROUND(t,0))&lt;0.001,pos_x,NA())</f>
        <v>#N/A</v>
      </c>
      <c r="AE903" s="426" t="e">
        <f aca="false">IF(t&lt;T_para, pos_z, NA())</f>
        <v>#N/A</v>
      </c>
      <c r="AF903" s="412"/>
      <c r="AG903" s="418" t="n">
        <f aca="false">IF(AND(L902&lt;L_rampe,Poussee&lt;Poids*SIN(M902)),0,(-W902+Poussee)/m-Poids*SIN(M902)/m)</f>
        <v>1.88608365662973</v>
      </c>
      <c r="AH903" s="417" t="n">
        <f aca="false">IF(AND(L902&lt;L_rampe,Poussee&lt;Poids*SIN(M902)), g*SIN(M902), (-W902+Poussee)/m)</f>
        <v>-7.8743386474808</v>
      </c>
    </row>
    <row r="904" customFormat="false" ht="12" hidden="false" customHeight="false" outlineLevel="0" collapsed="false">
      <c r="A904" s="416" t="n">
        <f aca="false">IF(B903+0.01&lt;=T_ini+ROUNDUP(Temps_fin_propu,0), 0.01, IF(K903&gt;0, 0.1, 0.0001))</f>
        <v>0.0001</v>
      </c>
      <c r="B904" s="417" t="n">
        <f aca="false">B903+pas</f>
        <v>36.3177000000008</v>
      </c>
      <c r="C904" s="401"/>
      <c r="D904" s="418" t="n">
        <f aca="false">IF(AND(L903&lt;L_rampe,Poussee&lt;Poids*SIN(M903)),0,(-W903+Poussee)/m*COS(M903)-U903/m*SIN(M903))</f>
        <v>-0.790654578677881</v>
      </c>
      <c r="E904" s="419" t="n">
        <f aca="false">IF(AND(L903&lt;L_rampe,Poussee&lt;Poids*SIN(M903)),0,(-W903+Poussee)/m*SIN(M903)+U903/m*COS(M903)-Poids/m)</f>
        <v>-1.9754225068844</v>
      </c>
      <c r="F904" s="417" t="n">
        <f aca="false">SQRT(acc_x^2+acc_z^2)</f>
        <v>2.12777553879392</v>
      </c>
      <c r="G904" s="418" t="n">
        <f aca="false">G903+acc_x*pas</f>
        <v>12.4630187105018</v>
      </c>
      <c r="H904" s="419" t="n">
        <f aca="false">H903+acc_z*pas</f>
        <v>-123.49673821025</v>
      </c>
      <c r="I904" s="417" t="n">
        <f aca="false">SQRT(vit_x^2+vit_z^2)</f>
        <v>124.124015339294</v>
      </c>
      <c r="J904" s="418" t="n">
        <f aca="false">J903+0.5*(vit_x+G903)*pas*(K903&gt;=0)</f>
        <v>913.614336176273</v>
      </c>
      <c r="K904" s="419" t="n">
        <f aca="false">K903+0.5*(vit_z+H903)*pas</f>
        <v>-10.8916421920997</v>
      </c>
      <c r="L904" s="417" t="n">
        <f aca="false">SQRT(pos_x^2+pos_z^2)</f>
        <v>913.679256159651</v>
      </c>
      <c r="M904" s="418" t="n">
        <f aca="false">IF(AND(L903&gt;L_rampe,G904&gt;0),ATAN2(G904,H904),$M$4)</f>
        <v>-1.47021904759229</v>
      </c>
      <c r="N904" s="417" t="n">
        <f aca="false">DEGREES(Beta)</f>
        <v>-84.237346386782</v>
      </c>
      <c r="O904" s="401"/>
      <c r="P904" s="420" t="n">
        <f aca="false">MATCH(t-pas/2-T_ini,CdP_t)</f>
        <v>23</v>
      </c>
      <c r="Q904" s="417" t="n">
        <f aca="false">(INDEX(CdP,2,i_P+1)-INDEX(CdP,2,i_P+0))/(INDEX(CdP,1,i_P+1)-INDEX(CdP,1,i_P+0))*(t-pas/2-T_ini-INDEX(CdP,1,i_P+0))+INDEX(CdP,2,i_P+0)</f>
        <v>0</v>
      </c>
      <c r="R904" s="418" t="n">
        <f aca="false">Poussee/(g*ISP)</f>
        <v>0</v>
      </c>
      <c r="S904" s="419" t="n">
        <f aca="false">S903-Débit*pas</f>
        <v>7.37799999999998</v>
      </c>
      <c r="T904" s="417" t="n">
        <f aca="false">m*g</f>
        <v>72.3781799999998</v>
      </c>
      <c r="U904" s="421" t="n">
        <f aca="false">IF(pos_xz&lt;L_rampe,Poids*COS(Beta),0)</f>
        <v>0</v>
      </c>
      <c r="V904" s="418" t="n">
        <f aca="false">Rho_moyen*(20000-Alt_rampe-pos_z)/(20000+Alt_rampe+pos_z)</f>
        <v>1.22633495316014</v>
      </c>
      <c r="W904" s="417" t="n">
        <f aca="false">1/2*Rho*Sref*Cx*vit_xz^2</f>
        <v>58.0973671524433</v>
      </c>
      <c r="X904" s="401"/>
      <c r="Y904" s="422" t="str">
        <f aca="false">IF(AND(pos_z&lt;=0,K903&gt;0),"Impact balistique","") &amp; IF(AND(H905&lt;0,vit_z&gt;=0),"Apogée","") &amp; IF(AND(Poussee=0,Q903&gt;0),"Fin de propulsion","") &amp; IF(AND(L905&gt;L_rampe,pos_xz&lt;=L_rampe),"Sortie de rampe","")</f>
        <v/>
      </c>
      <c r="Z904" s="423" t="str">
        <f aca="false">IF(ABS(t-T_para)&lt;pas/2,"Para","")</f>
        <v/>
      </c>
      <c r="AA904" s="424" t="str">
        <f aca="false">IF(ABS(t-T_satellite)&lt;pas/2,"Satellite","")</f>
        <v/>
      </c>
      <c r="AB904" s="412"/>
      <c r="AC904" s="420" t="e">
        <f aca="false">IF(ABS(t-ROUND(t,0))&lt;0.001,t,NA())</f>
        <v>#N/A</v>
      </c>
      <c r="AD904" s="425" t="e">
        <f aca="false">IF(ABS(t-ROUND(t,0))&lt;0.001,pos_x,NA())</f>
        <v>#N/A</v>
      </c>
      <c r="AE904" s="426" t="e">
        <f aca="false">IF(t&lt;T_para, pos_z, NA())</f>
        <v>#N/A</v>
      </c>
      <c r="AF904" s="412"/>
      <c r="AG904" s="418" t="n">
        <f aca="false">IF(AND(L903&lt;L_rampe,Poussee&lt;Poids*SIN(M903)),0,(-W903+Poussee)/m-Poids*SIN(M903)/m)</f>
        <v>1.88605078328928</v>
      </c>
      <c r="AH904" s="417" t="n">
        <f aca="false">IF(AND(L903&lt;L_rampe,Poussee&lt;Poids*SIN(M903)), g*SIN(M903), (-W903+Poussee)/m)</f>
        <v>-7.87437230250246</v>
      </c>
    </row>
    <row r="905" customFormat="false" ht="12" hidden="false" customHeight="false" outlineLevel="0" collapsed="false">
      <c r="A905" s="416" t="n">
        <f aca="false">IF(B904+0.01&lt;=T_ini+ROUNDUP(Temps_fin_propu,0), 0.01, IF(K904&gt;0, 0.1, 0.0001))</f>
        <v>0.0001</v>
      </c>
      <c r="B905" s="417" t="n">
        <f aca="false">B904+pas</f>
        <v>36.3178000000008</v>
      </c>
      <c r="C905" s="401"/>
      <c r="D905" s="418" t="n">
        <f aca="false">IF(AND(L904&lt;L_rampe,Poussee&lt;Poids*SIN(M904)),0,(-W904+Poussee)/m*COS(M904)-U904/m*SIN(M904))</f>
        <v>-0.790651740606212</v>
      </c>
      <c r="E905" s="419" t="n">
        <f aca="false">IF(AND(L904&lt;L_rampe,Poussee&lt;Poids*SIN(M904)),0,(-W904+Poussee)/m*SIN(M904)+U904/m*COS(M904)-Poids/m)</f>
        <v>-1.97538839479987</v>
      </c>
      <c r="F905" s="417" t="n">
        <f aca="false">SQRT(acc_x^2+acc_z^2)</f>
        <v>2.12774281463565</v>
      </c>
      <c r="G905" s="418" t="n">
        <f aca="false">G904+acc_x*pas</f>
        <v>12.4629396453278</v>
      </c>
      <c r="H905" s="419" t="n">
        <f aca="false">H904+acc_z*pas</f>
        <v>-123.49693574909</v>
      </c>
      <c r="I905" s="417" t="n">
        <f aca="false">SQRT(vit_x^2+vit_z^2)</f>
        <v>124.124203941125</v>
      </c>
      <c r="J905" s="418" t="n">
        <f aca="false">J904+0.5*(vit_x+G904)*pas*(K904&gt;=0)</f>
        <v>913.614336176273</v>
      </c>
      <c r="K905" s="419" t="n">
        <f aca="false">K904+0.5*(vit_z+H904)*pas</f>
        <v>-10.9039918757977</v>
      </c>
      <c r="L905" s="417" t="n">
        <f aca="false">SQRT(pos_x^2+pos_z^2)</f>
        <v>913.679403459244</v>
      </c>
      <c r="M905" s="418" t="n">
        <f aca="false">IF(AND(L904&gt;L_rampe,G905&gt;0),ATAN2(G905,H905),$M$4)</f>
        <v>-1.47021984115265</v>
      </c>
      <c r="N905" s="417" t="n">
        <f aca="false">DEGREES(Beta)</f>
        <v>-84.237391854441</v>
      </c>
      <c r="O905" s="401"/>
      <c r="P905" s="420" t="n">
        <f aca="false">MATCH(t-pas/2-T_ini,CdP_t)</f>
        <v>23</v>
      </c>
      <c r="Q905" s="417" t="n">
        <f aca="false">(INDEX(CdP,2,i_P+1)-INDEX(CdP,2,i_P+0))/(INDEX(CdP,1,i_P+1)-INDEX(CdP,1,i_P+0))*(t-pas/2-T_ini-INDEX(CdP,1,i_P+0))+INDEX(CdP,2,i_P+0)</f>
        <v>0</v>
      </c>
      <c r="R905" s="418" t="n">
        <f aca="false">Poussee/(g*ISP)</f>
        <v>0</v>
      </c>
      <c r="S905" s="419" t="n">
        <f aca="false">S904-Débit*pas</f>
        <v>7.37799999999998</v>
      </c>
      <c r="T905" s="417" t="n">
        <f aca="false">m*g</f>
        <v>72.3781799999998</v>
      </c>
      <c r="U905" s="421" t="n">
        <f aca="false">IF(pos_xz&lt;L_rampe,Poids*COS(Beta),0)</f>
        <v>0</v>
      </c>
      <c r="V905" s="418" t="n">
        <f aca="false">Rho_moyen*(20000-Alt_rampe-pos_z)/(20000+Alt_rampe+pos_z)</f>
        <v>1.2263364676464</v>
      </c>
      <c r="W905" s="417" t="n">
        <f aca="false">1/2*Rho*Sref*Cx*vit_xz^2</f>
        <v>58.097615454854</v>
      </c>
      <c r="X905" s="401"/>
      <c r="Y905" s="422" t="str">
        <f aca="false">IF(AND(pos_z&lt;=0,K904&gt;0),"Impact balistique","") &amp; IF(AND(H906&lt;0,vit_z&gt;=0),"Apogée","") &amp; IF(AND(Poussee=0,Q904&gt;0),"Fin de propulsion","") &amp; IF(AND(L906&gt;L_rampe,pos_xz&lt;=L_rampe),"Sortie de rampe","")</f>
        <v/>
      </c>
      <c r="Z905" s="423" t="str">
        <f aca="false">IF(ABS(t-T_para)&lt;pas/2,"Para","")</f>
        <v/>
      </c>
      <c r="AA905" s="424" t="str">
        <f aca="false">IF(ABS(t-T_satellite)&lt;pas/2,"Satellite","")</f>
        <v/>
      </c>
      <c r="AB905" s="412"/>
      <c r="AC905" s="420" t="e">
        <f aca="false">IF(ABS(t-ROUND(t,0))&lt;0.001,t,NA())</f>
        <v>#N/A</v>
      </c>
      <c r="AD905" s="425" t="e">
        <f aca="false">IF(ABS(t-ROUND(t,0))&lt;0.001,pos_x,NA())</f>
        <v>#N/A</v>
      </c>
      <c r="AE905" s="426" t="e">
        <f aca="false">IF(t&lt;T_para, pos_z, NA())</f>
        <v>#N/A</v>
      </c>
      <c r="AF905" s="412"/>
      <c r="AG905" s="418" t="n">
        <f aca="false">IF(AND(L904&lt;L_rampe,Poussee&lt;Poids*SIN(M904)),0,(-W904+Poussee)/m-Poids*SIN(M904)/m)</f>
        <v>1.88601791022941</v>
      </c>
      <c r="AH905" s="417" t="n">
        <f aca="false">IF(AND(L904&lt;L_rampe,Poussee&lt;Poids*SIN(M904)), g*SIN(M904), (-W904+Poussee)/m)</f>
        <v>-7.87440595723006</v>
      </c>
    </row>
    <row r="906" customFormat="false" ht="12" hidden="false" customHeight="false" outlineLevel="0" collapsed="false">
      <c r="A906" s="416" t="n">
        <f aca="false">IF(B905+0.01&lt;=T_ini+ROUNDUP(Temps_fin_propu,0), 0.01, IF(K905&gt;0, 0.1, 0.0001))</f>
        <v>0.0001</v>
      </c>
      <c r="B906" s="417" t="n">
        <f aca="false">B905+pas</f>
        <v>36.3179000000008</v>
      </c>
      <c r="C906" s="401"/>
      <c r="D906" s="418" t="n">
        <f aca="false">IF(AND(L905&lt;L_rampe,Poussee&lt;Poids*SIN(M905)),0,(-W905+Poussee)/m*COS(M905)-U905/m*SIN(M905))</f>
        <v>-0.790648902509713</v>
      </c>
      <c r="E906" s="419" t="n">
        <f aca="false">IF(AND(L905&lt;L_rampe,Poussee&lt;Poids*SIN(M905)),0,(-W905+Poussee)/m*SIN(M905)+U905/m*COS(M905)-Poids/m)</f>
        <v>-1.97535428301336</v>
      </c>
      <c r="F906" s="417" t="n">
        <f aca="false">SQRT(acc_x^2+acc_z^2)</f>
        <v>2.12771009079222</v>
      </c>
      <c r="G906" s="418" t="n">
        <f aca="false">G905+acc_x*pas</f>
        <v>12.4628605804375</v>
      </c>
      <c r="H906" s="419" t="n">
        <f aca="false">H905+acc_z*pas</f>
        <v>-123.497133284518</v>
      </c>
      <c r="I906" s="417" t="n">
        <f aca="false">SQRT(vit_x^2+vit_z^2)</f>
        <v>124.124392539667</v>
      </c>
      <c r="J906" s="418" t="n">
        <f aca="false">J905+0.5*(vit_x+G905)*pas*(K905&gt;=0)</f>
        <v>913.614336176273</v>
      </c>
      <c r="K906" s="419" t="n">
        <f aca="false">K905+0.5*(vit_z+H905)*pas</f>
        <v>-10.9163415792494</v>
      </c>
      <c r="L906" s="417" t="n">
        <f aca="false">SQRT(pos_x^2+pos_z^2)</f>
        <v>913.679550925973</v>
      </c>
      <c r="M906" s="418" t="n">
        <f aca="false">IF(AND(L905&gt;L_rampe,G906&gt;0),ATAN2(G906,H906),$M$4)</f>
        <v>-1.47022063470555</v>
      </c>
      <c r="N906" s="417" t="n">
        <f aca="false">DEGREES(Beta)</f>
        <v>-84.2374373216734</v>
      </c>
      <c r="O906" s="401"/>
      <c r="P906" s="420" t="n">
        <f aca="false">MATCH(t-pas/2-T_ini,CdP_t)</f>
        <v>23</v>
      </c>
      <c r="Q906" s="417" t="n">
        <f aca="false">(INDEX(CdP,2,i_P+1)-INDEX(CdP,2,i_P+0))/(INDEX(CdP,1,i_P+1)-INDEX(CdP,1,i_P+0))*(t-pas/2-T_ini-INDEX(CdP,1,i_P+0))+INDEX(CdP,2,i_P+0)</f>
        <v>0</v>
      </c>
      <c r="R906" s="418" t="n">
        <f aca="false">Poussee/(g*ISP)</f>
        <v>0</v>
      </c>
      <c r="S906" s="419" t="n">
        <f aca="false">S905-Débit*pas</f>
        <v>7.37799999999998</v>
      </c>
      <c r="T906" s="417" t="n">
        <f aca="false">m*g</f>
        <v>72.3781799999998</v>
      </c>
      <c r="U906" s="421" t="n">
        <f aca="false">IF(pos_xz&lt;L_rampe,Poids*COS(Beta),0)</f>
        <v>0</v>
      </c>
      <c r="V906" s="418" t="n">
        <f aca="false">Rho_moyen*(20000-Alt_rampe-pos_z)/(20000+Alt_rampe+pos_z)</f>
        <v>1.22633798213696</v>
      </c>
      <c r="W906" s="417" t="n">
        <f aca="false">1/2*Rho*Sref*Cx*vit_xz^2</f>
        <v>58.0978637550952</v>
      </c>
      <c r="X906" s="401"/>
      <c r="Y906" s="422" t="str">
        <f aca="false">IF(AND(pos_z&lt;=0,K905&gt;0),"Impact balistique","") &amp; IF(AND(H907&lt;0,vit_z&gt;=0),"Apogée","") &amp; IF(AND(Poussee=0,Q905&gt;0),"Fin de propulsion","") &amp; IF(AND(L907&gt;L_rampe,pos_xz&lt;=L_rampe),"Sortie de rampe","")</f>
        <v/>
      </c>
      <c r="Z906" s="423" t="str">
        <f aca="false">IF(ABS(t-T_para)&lt;pas/2,"Para","")</f>
        <v/>
      </c>
      <c r="AA906" s="424" t="str">
        <f aca="false">IF(ABS(t-T_satellite)&lt;pas/2,"Satellite","")</f>
        <v/>
      </c>
      <c r="AB906" s="412"/>
      <c r="AC906" s="420" t="e">
        <f aca="false">IF(ABS(t-ROUND(t,0))&lt;0.001,t,NA())</f>
        <v>#N/A</v>
      </c>
      <c r="AD906" s="425" t="e">
        <f aca="false">IF(ABS(t-ROUND(t,0))&lt;0.001,pos_x,NA())</f>
        <v>#N/A</v>
      </c>
      <c r="AE906" s="426" t="e">
        <f aca="false">IF(t&lt;T_para, pos_z, NA())</f>
        <v>#N/A</v>
      </c>
      <c r="AF906" s="412"/>
      <c r="AG906" s="418" t="n">
        <f aca="false">IF(AND(L905&lt;L_rampe,Poussee&lt;Poids*SIN(M905)),0,(-W905+Poussee)/m-Poids*SIN(M905)/m)</f>
        <v>1.88598503745011</v>
      </c>
      <c r="AH906" s="417" t="n">
        <f aca="false">IF(AND(L905&lt;L_rampe,Poussee&lt;Poids*SIN(M905)), g*SIN(M905), (-W905+Poussee)/m)</f>
        <v>-7.87443961166361</v>
      </c>
    </row>
    <row r="907" customFormat="false" ht="12" hidden="false" customHeight="false" outlineLevel="0" collapsed="false">
      <c r="A907" s="416" t="n">
        <f aca="false">IF(B906+0.01&lt;=T_ini+ROUNDUP(Temps_fin_propu,0), 0.01, IF(K906&gt;0, 0.1, 0.0001))</f>
        <v>0.0001</v>
      </c>
      <c r="B907" s="417" t="n">
        <f aca="false">B906+pas</f>
        <v>36.3180000000008</v>
      </c>
      <c r="C907" s="401"/>
      <c r="D907" s="418" t="n">
        <f aca="false">IF(AND(L906&lt;L_rampe,Poussee&lt;Poids*SIN(M906)),0,(-W906+Poussee)/m*COS(M906)-U906/m*SIN(M906))</f>
        <v>-0.790646064388382</v>
      </c>
      <c r="E907" s="419" t="n">
        <f aca="false">IF(AND(L906&lt;L_rampe,Poussee&lt;Poids*SIN(M906)),0,(-W906+Poussee)/m*SIN(M906)+U906/m*COS(M906)-Poids/m)</f>
        <v>-1.97532017152488</v>
      </c>
      <c r="F907" s="417" t="n">
        <f aca="false">SQRT(acc_x^2+acc_z^2)</f>
        <v>2.12767736726363</v>
      </c>
      <c r="G907" s="418" t="n">
        <f aca="false">G906+acc_x*pas</f>
        <v>12.4627815158311</v>
      </c>
      <c r="H907" s="419" t="n">
        <f aca="false">H906+acc_z*pas</f>
        <v>-123.497330816535</v>
      </c>
      <c r="I907" s="417" t="n">
        <f aca="false">SQRT(vit_x^2+vit_z^2)</f>
        <v>124.124581134923</v>
      </c>
      <c r="J907" s="418" t="n">
        <f aca="false">J906+0.5*(vit_x+G906)*pas*(K906&gt;=0)</f>
        <v>913.614336176273</v>
      </c>
      <c r="K907" s="419" t="n">
        <f aca="false">K906+0.5*(vit_z+H906)*pas</f>
        <v>-10.9286913024544</v>
      </c>
      <c r="L907" s="417" t="n">
        <f aca="false">SQRT(pos_x^2+pos_z^2)</f>
        <v>913.679698559838</v>
      </c>
      <c r="M907" s="418" t="n">
        <f aca="false">IF(AND(L906&gt;L_rampe,G907&gt;0),ATAN2(G907,H907),$M$4)</f>
        <v>-1.47022142825102</v>
      </c>
      <c r="N907" s="417" t="n">
        <f aca="false">DEGREES(Beta)</f>
        <v>-84.2374827884791</v>
      </c>
      <c r="O907" s="401"/>
      <c r="P907" s="420" t="n">
        <f aca="false">MATCH(t-pas/2-T_ini,CdP_t)</f>
        <v>23</v>
      </c>
      <c r="Q907" s="417" t="n">
        <f aca="false">(INDEX(CdP,2,i_P+1)-INDEX(CdP,2,i_P+0))/(INDEX(CdP,1,i_P+1)-INDEX(CdP,1,i_P+0))*(t-pas/2-T_ini-INDEX(CdP,1,i_P+0))+INDEX(CdP,2,i_P+0)</f>
        <v>0</v>
      </c>
      <c r="R907" s="418" t="n">
        <f aca="false">Poussee/(g*ISP)</f>
        <v>0</v>
      </c>
      <c r="S907" s="419" t="n">
        <f aca="false">S906-Débit*pas</f>
        <v>7.37799999999998</v>
      </c>
      <c r="T907" s="417" t="n">
        <f aca="false">m*g</f>
        <v>72.3781799999998</v>
      </c>
      <c r="U907" s="421" t="n">
        <f aca="false">IF(pos_xz&lt;L_rampe,Poids*COS(Beta),0)</f>
        <v>0</v>
      </c>
      <c r="V907" s="418" t="n">
        <f aca="false">Rho_moyen*(20000-Alt_rampe-pos_z)/(20000+Alt_rampe+pos_z)</f>
        <v>1.22633949663181</v>
      </c>
      <c r="W907" s="417" t="n">
        <f aca="false">1/2*Rho*Sref*Cx*vit_xz^2</f>
        <v>58.0981120531669</v>
      </c>
      <c r="X907" s="401"/>
      <c r="Y907" s="422" t="str">
        <f aca="false">IF(AND(pos_z&lt;=0,K906&gt;0),"Impact balistique","") &amp; IF(AND(H908&lt;0,vit_z&gt;=0),"Apogée","") &amp; IF(AND(Poussee=0,Q906&gt;0),"Fin de propulsion","") &amp; IF(AND(L908&gt;L_rampe,pos_xz&lt;=L_rampe),"Sortie de rampe","")</f>
        <v/>
      </c>
      <c r="Z907" s="423" t="str">
        <f aca="false">IF(ABS(t-T_para)&lt;pas/2,"Para","")</f>
        <v/>
      </c>
      <c r="AA907" s="424" t="str">
        <f aca="false">IF(ABS(t-T_satellite)&lt;pas/2,"Satellite","")</f>
        <v/>
      </c>
      <c r="AB907" s="412"/>
      <c r="AC907" s="420" t="e">
        <f aca="false">IF(ABS(t-ROUND(t,0))&lt;0.001,t,NA())</f>
        <v>#N/A</v>
      </c>
      <c r="AD907" s="425" t="e">
        <f aca="false">IF(ABS(t-ROUND(t,0))&lt;0.001,pos_x,NA())</f>
        <v>#N/A</v>
      </c>
      <c r="AE907" s="426" t="e">
        <f aca="false">IF(t&lt;T_para, pos_z, NA())</f>
        <v>#N/A</v>
      </c>
      <c r="AF907" s="412"/>
      <c r="AG907" s="418" t="n">
        <f aca="false">IF(AND(L906&lt;L_rampe,Poussee&lt;Poids*SIN(M906)),0,(-W906+Poussee)/m-Poids*SIN(M906)/m)</f>
        <v>1.88595216495138</v>
      </c>
      <c r="AH907" s="417" t="n">
        <f aca="false">IF(AND(L906&lt;L_rampe,Poussee&lt;Poids*SIN(M906)), g*SIN(M906), (-W906+Poussee)/m)</f>
        <v>-7.87447326580311</v>
      </c>
    </row>
    <row r="908" customFormat="false" ht="12" hidden="false" customHeight="false" outlineLevel="0" collapsed="false">
      <c r="A908" s="416" t="n">
        <f aca="false">IF(B907+0.01&lt;=T_ini+ROUNDUP(Temps_fin_propu,0), 0.01, IF(K907&gt;0, 0.1, 0.0001))</f>
        <v>0.0001</v>
      </c>
      <c r="B908" s="417" t="n">
        <f aca="false">B907+pas</f>
        <v>36.3181000000008</v>
      </c>
      <c r="C908" s="401"/>
      <c r="D908" s="418" t="n">
        <f aca="false">IF(AND(L907&lt;L_rampe,Poussee&lt;Poids*SIN(M907)),0,(-W907+Poussee)/m*COS(M907)-U907/m*SIN(M907))</f>
        <v>-0.790643226242221</v>
      </c>
      <c r="E908" s="419" t="n">
        <f aca="false">IF(AND(L907&lt;L_rampe,Poussee&lt;Poids*SIN(M907)),0,(-W907+Poussee)/m*SIN(M907)+U907/m*COS(M907)-Poids/m)</f>
        <v>-1.97528606033442</v>
      </c>
      <c r="F908" s="417" t="n">
        <f aca="false">SQRT(acc_x^2+acc_z^2)</f>
        <v>2.12764464404989</v>
      </c>
      <c r="G908" s="418" t="n">
        <f aca="false">G907+acc_x*pas</f>
        <v>12.4627024515085</v>
      </c>
      <c r="H908" s="419" t="n">
        <f aca="false">H907+acc_z*pas</f>
        <v>-123.497528345141</v>
      </c>
      <c r="I908" s="417" t="n">
        <f aca="false">SQRT(vit_x^2+vit_z^2)</f>
        <v>124.124769726891</v>
      </c>
      <c r="J908" s="418" t="n">
        <f aca="false">J907+0.5*(vit_x+G907)*pas*(K907&gt;=0)</f>
        <v>913.614336176273</v>
      </c>
      <c r="K908" s="419" t="n">
        <f aca="false">K907+0.5*(vit_z+H907)*pas</f>
        <v>-10.9410410454125</v>
      </c>
      <c r="L908" s="417" t="n">
        <f aca="false">SQRT(pos_x^2+pos_z^2)</f>
        <v>913.679846360841</v>
      </c>
      <c r="M908" s="418" t="n">
        <f aca="false">IF(AND(L907&gt;L_rampe,G908&gt;0),ATAN2(G908,H908),$M$4)</f>
        <v>-1.47022222178903</v>
      </c>
      <c r="N908" s="417" t="n">
        <f aca="false">DEGREES(Beta)</f>
        <v>-84.2375282548583</v>
      </c>
      <c r="O908" s="401"/>
      <c r="P908" s="420" t="n">
        <f aca="false">MATCH(t-pas/2-T_ini,CdP_t)</f>
        <v>23</v>
      </c>
      <c r="Q908" s="417" t="n">
        <f aca="false">(INDEX(CdP,2,i_P+1)-INDEX(CdP,2,i_P+0))/(INDEX(CdP,1,i_P+1)-INDEX(CdP,1,i_P+0))*(t-pas/2-T_ini-INDEX(CdP,1,i_P+0))+INDEX(CdP,2,i_P+0)</f>
        <v>0</v>
      </c>
      <c r="R908" s="418" t="n">
        <f aca="false">Poussee/(g*ISP)</f>
        <v>0</v>
      </c>
      <c r="S908" s="419" t="n">
        <f aca="false">S907-Débit*pas</f>
        <v>7.37799999999998</v>
      </c>
      <c r="T908" s="417" t="n">
        <f aca="false">m*g</f>
        <v>72.3781799999998</v>
      </c>
      <c r="U908" s="421" t="n">
        <f aca="false">IF(pos_xz&lt;L_rampe,Poids*COS(Beta),0)</f>
        <v>0</v>
      </c>
      <c r="V908" s="418" t="n">
        <f aca="false">Rho_moyen*(20000-Alt_rampe-pos_z)/(20000+Alt_rampe+pos_z)</f>
        <v>1.22634101113095</v>
      </c>
      <c r="W908" s="417" t="n">
        <f aca="false">1/2*Rho*Sref*Cx*vit_xz^2</f>
        <v>58.098360349069</v>
      </c>
      <c r="X908" s="401"/>
      <c r="Y908" s="422" t="str">
        <f aca="false">IF(AND(pos_z&lt;=0,K907&gt;0),"Impact balistique","") &amp; IF(AND(H909&lt;0,vit_z&gt;=0),"Apogée","") &amp; IF(AND(Poussee=0,Q907&gt;0),"Fin de propulsion","") &amp; IF(AND(L909&gt;L_rampe,pos_xz&lt;=L_rampe),"Sortie de rampe","")</f>
        <v/>
      </c>
      <c r="Z908" s="423" t="str">
        <f aca="false">IF(ABS(t-T_para)&lt;pas/2,"Para","")</f>
        <v/>
      </c>
      <c r="AA908" s="424" t="str">
        <f aca="false">IF(ABS(t-T_satellite)&lt;pas/2,"Satellite","")</f>
        <v/>
      </c>
      <c r="AB908" s="412"/>
      <c r="AC908" s="420" t="e">
        <f aca="false">IF(ABS(t-ROUND(t,0))&lt;0.001,t,NA())</f>
        <v>#N/A</v>
      </c>
      <c r="AD908" s="425" t="e">
        <f aca="false">IF(ABS(t-ROUND(t,0))&lt;0.001,pos_x,NA())</f>
        <v>#N/A</v>
      </c>
      <c r="AE908" s="426" t="e">
        <f aca="false">IF(t&lt;T_para, pos_z, NA())</f>
        <v>#N/A</v>
      </c>
      <c r="AF908" s="412"/>
      <c r="AG908" s="418" t="n">
        <f aca="false">IF(AND(L907&lt;L_rampe,Poussee&lt;Poids*SIN(M907)),0,(-W907+Poussee)/m-Poids*SIN(M907)/m)</f>
        <v>1.88591929273323</v>
      </c>
      <c r="AH908" s="417" t="n">
        <f aca="false">IF(AND(L907&lt;L_rampe,Poussee&lt;Poids*SIN(M907)), g*SIN(M907), (-W907+Poussee)/m)</f>
        <v>-7.87450691964855</v>
      </c>
    </row>
    <row r="909" customFormat="false" ht="12" hidden="false" customHeight="false" outlineLevel="0" collapsed="false">
      <c r="A909" s="416" t="n">
        <f aca="false">IF(B908+0.01&lt;=T_ini+ROUNDUP(Temps_fin_propu,0), 0.01, IF(K908&gt;0, 0.1, 0.0001))</f>
        <v>0.0001</v>
      </c>
      <c r="B909" s="417" t="n">
        <f aca="false">B908+pas</f>
        <v>36.3182000000008</v>
      </c>
      <c r="C909" s="401"/>
      <c r="D909" s="418" t="n">
        <f aca="false">IF(AND(L908&lt;L_rampe,Poussee&lt;Poids*SIN(M908)),0,(-W908+Poussee)/m*COS(M908)-U908/m*SIN(M908))</f>
        <v>-0.790640388071232</v>
      </c>
      <c r="E909" s="419" t="n">
        <f aca="false">IF(AND(L908&lt;L_rampe,Poussee&lt;Poids*SIN(M908)),0,(-W908+Poussee)/m*SIN(M908)+U908/m*COS(M908)-Poids/m)</f>
        <v>-1.97525194944199</v>
      </c>
      <c r="F909" s="417" t="n">
        <f aca="false">SQRT(acc_x^2+acc_z^2)</f>
        <v>2.127611921151</v>
      </c>
      <c r="G909" s="418" t="n">
        <f aca="false">G908+acc_x*pas</f>
        <v>12.4626233874696</v>
      </c>
      <c r="H909" s="419" t="n">
        <f aca="false">H908+acc_z*pas</f>
        <v>-123.497725870336</v>
      </c>
      <c r="I909" s="417" t="n">
        <f aca="false">SQRT(vit_x^2+vit_z^2)</f>
        <v>124.124958315572</v>
      </c>
      <c r="J909" s="418" t="n">
        <f aca="false">J908+0.5*(vit_x+G908)*pas*(K908&gt;=0)</f>
        <v>913.614336176273</v>
      </c>
      <c r="K909" s="419" t="n">
        <f aca="false">K908+0.5*(vit_z+H908)*pas</f>
        <v>-10.9533908081233</v>
      </c>
      <c r="L909" s="417" t="n">
        <f aca="false">SQRT(pos_x^2+pos_z^2)</f>
        <v>913.679994328982</v>
      </c>
      <c r="M909" s="418" t="n">
        <f aca="false">IF(AND(L908&gt;L_rampe,G909&gt;0),ATAN2(G909,H909),$M$4)</f>
        <v>-1.4702230153196</v>
      </c>
      <c r="N909" s="417" t="n">
        <f aca="false">DEGREES(Beta)</f>
        <v>-84.2375737208109</v>
      </c>
      <c r="O909" s="401"/>
      <c r="P909" s="420" t="n">
        <f aca="false">MATCH(t-pas/2-T_ini,CdP_t)</f>
        <v>23</v>
      </c>
      <c r="Q909" s="417" t="n">
        <f aca="false">(INDEX(CdP,2,i_P+1)-INDEX(CdP,2,i_P+0))/(INDEX(CdP,1,i_P+1)-INDEX(CdP,1,i_P+0))*(t-pas/2-T_ini-INDEX(CdP,1,i_P+0))+INDEX(CdP,2,i_P+0)</f>
        <v>0</v>
      </c>
      <c r="R909" s="418" t="n">
        <f aca="false">Poussee/(g*ISP)</f>
        <v>0</v>
      </c>
      <c r="S909" s="419" t="n">
        <f aca="false">S908-Débit*pas</f>
        <v>7.37799999999998</v>
      </c>
      <c r="T909" s="417" t="n">
        <f aca="false">m*g</f>
        <v>72.3781799999998</v>
      </c>
      <c r="U909" s="421" t="n">
        <f aca="false">IF(pos_xz&lt;L_rampe,Poids*COS(Beta),0)</f>
        <v>0</v>
      </c>
      <c r="V909" s="418" t="n">
        <f aca="false">Rho_moyen*(20000-Alt_rampe-pos_z)/(20000+Alt_rampe+pos_z)</f>
        <v>1.22634252563439</v>
      </c>
      <c r="W909" s="417" t="n">
        <f aca="false">1/2*Rho*Sref*Cx*vit_xz^2</f>
        <v>58.0986086428016</v>
      </c>
      <c r="X909" s="401"/>
      <c r="Y909" s="422" t="str">
        <f aca="false">IF(AND(pos_z&lt;=0,K908&gt;0),"Impact balistique","") &amp; IF(AND(H910&lt;0,vit_z&gt;=0),"Apogée","") &amp; IF(AND(Poussee=0,Q908&gt;0),"Fin de propulsion","") &amp; IF(AND(L910&gt;L_rampe,pos_xz&lt;=L_rampe),"Sortie de rampe","")</f>
        <v/>
      </c>
      <c r="Z909" s="423" t="str">
        <f aca="false">IF(ABS(t-T_para)&lt;pas/2,"Para","")</f>
        <v/>
      </c>
      <c r="AA909" s="424" t="str">
        <f aca="false">IF(ABS(t-T_satellite)&lt;pas/2,"Satellite","")</f>
        <v/>
      </c>
      <c r="AB909" s="412"/>
      <c r="AC909" s="420" t="e">
        <f aca="false">IF(ABS(t-ROUND(t,0))&lt;0.001,t,NA())</f>
        <v>#N/A</v>
      </c>
      <c r="AD909" s="425" t="e">
        <f aca="false">IF(ABS(t-ROUND(t,0))&lt;0.001,pos_x,NA())</f>
        <v>#N/A</v>
      </c>
      <c r="AE909" s="426" t="e">
        <f aca="false">IF(t&lt;T_para, pos_z, NA())</f>
        <v>#N/A</v>
      </c>
      <c r="AF909" s="412"/>
      <c r="AG909" s="418" t="n">
        <f aca="false">IF(AND(L908&lt;L_rampe,Poussee&lt;Poids*SIN(M908)),0,(-W908+Poussee)/m-Poids*SIN(M908)/m)</f>
        <v>1.88588642079565</v>
      </c>
      <c r="AH909" s="417" t="n">
        <f aca="false">IF(AND(L908&lt;L_rampe,Poussee&lt;Poids*SIN(M908)), g*SIN(M908), (-W908+Poussee)/m)</f>
        <v>-7.87454057319993</v>
      </c>
    </row>
    <row r="910" customFormat="false" ht="12" hidden="false" customHeight="false" outlineLevel="0" collapsed="false">
      <c r="A910" s="416" t="n">
        <f aca="false">IF(B909+0.01&lt;=T_ini+ROUNDUP(Temps_fin_propu,0), 0.01, IF(K909&gt;0, 0.1, 0.0001))</f>
        <v>0.0001</v>
      </c>
      <c r="B910" s="417" t="n">
        <f aca="false">B909+pas</f>
        <v>36.3183000000008</v>
      </c>
      <c r="C910" s="401"/>
      <c r="D910" s="418" t="n">
        <f aca="false">IF(AND(L909&lt;L_rampe,Poussee&lt;Poids*SIN(M909)),0,(-W909+Poussee)/m*COS(M909)-U909/m*SIN(M909))</f>
        <v>-0.790637549875414</v>
      </c>
      <c r="E910" s="419" t="n">
        <f aca="false">IF(AND(L909&lt;L_rampe,Poussee&lt;Poids*SIN(M909)),0,(-W909+Poussee)/m*SIN(M909)+U909/m*COS(M909)-Poids/m)</f>
        <v>-1.97521783884759</v>
      </c>
      <c r="F910" s="417" t="n">
        <f aca="false">SQRT(acc_x^2+acc_z^2)</f>
        <v>2.12757919856694</v>
      </c>
      <c r="G910" s="418" t="n">
        <f aca="false">G909+acc_x*pas</f>
        <v>12.4625443237147</v>
      </c>
      <c r="H910" s="419" t="n">
        <f aca="false">H909+acc_z*pas</f>
        <v>-123.49792339212</v>
      </c>
      <c r="I910" s="417" t="n">
        <f aca="false">SQRT(vit_x^2+vit_z^2)</f>
        <v>124.125146900966</v>
      </c>
      <c r="J910" s="418" t="n">
        <f aca="false">J909+0.5*(vit_x+G909)*pas*(K909&gt;=0)</f>
        <v>913.614336176273</v>
      </c>
      <c r="K910" s="419" t="n">
        <f aca="false">K909+0.5*(vit_z+H909)*pas</f>
        <v>-10.9657405905864</v>
      </c>
      <c r="L910" s="417" t="n">
        <f aca="false">SQRT(pos_x^2+pos_z^2)</f>
        <v>913.680142464261</v>
      </c>
      <c r="M910" s="418" t="n">
        <f aca="false">IF(AND(L909&gt;L_rampe,G910&gt;0),ATAN2(G910,H910),$M$4)</f>
        <v>-1.47022380884273</v>
      </c>
      <c r="N910" s="417" t="n">
        <f aca="false">DEGREES(Beta)</f>
        <v>-84.2376191863369</v>
      </c>
      <c r="O910" s="401"/>
      <c r="P910" s="420" t="n">
        <f aca="false">MATCH(t-pas/2-T_ini,CdP_t)</f>
        <v>23</v>
      </c>
      <c r="Q910" s="417" t="n">
        <f aca="false">(INDEX(CdP,2,i_P+1)-INDEX(CdP,2,i_P+0))/(INDEX(CdP,1,i_P+1)-INDEX(CdP,1,i_P+0))*(t-pas/2-T_ini-INDEX(CdP,1,i_P+0))+INDEX(CdP,2,i_P+0)</f>
        <v>0</v>
      </c>
      <c r="R910" s="418" t="n">
        <f aca="false">Poussee/(g*ISP)</f>
        <v>0</v>
      </c>
      <c r="S910" s="419" t="n">
        <f aca="false">S909-Débit*pas</f>
        <v>7.37799999999998</v>
      </c>
      <c r="T910" s="417" t="n">
        <f aca="false">m*g</f>
        <v>72.3781799999998</v>
      </c>
      <c r="U910" s="421" t="n">
        <f aca="false">IF(pos_xz&lt;L_rampe,Poids*COS(Beta),0)</f>
        <v>0</v>
      </c>
      <c r="V910" s="418" t="n">
        <f aca="false">Rho_moyen*(20000-Alt_rampe-pos_z)/(20000+Alt_rampe+pos_z)</f>
        <v>1.22634404014212</v>
      </c>
      <c r="W910" s="417" t="n">
        <f aca="false">1/2*Rho*Sref*Cx*vit_xz^2</f>
        <v>58.0988569343647</v>
      </c>
      <c r="X910" s="401"/>
      <c r="Y910" s="422" t="str">
        <f aca="false">IF(AND(pos_z&lt;=0,K909&gt;0),"Impact balistique","") &amp; IF(AND(H911&lt;0,vit_z&gt;=0),"Apogée","") &amp; IF(AND(Poussee=0,Q909&gt;0),"Fin de propulsion","") &amp; IF(AND(L911&gt;L_rampe,pos_xz&lt;=L_rampe),"Sortie de rampe","")</f>
        <v/>
      </c>
      <c r="Z910" s="423" t="str">
        <f aca="false">IF(ABS(t-T_para)&lt;pas/2,"Para","")</f>
        <v/>
      </c>
      <c r="AA910" s="424" t="str">
        <f aca="false">IF(ABS(t-T_satellite)&lt;pas/2,"Satellite","")</f>
        <v/>
      </c>
      <c r="AB910" s="412"/>
      <c r="AC910" s="420" t="e">
        <f aca="false">IF(ABS(t-ROUND(t,0))&lt;0.001,t,NA())</f>
        <v>#N/A</v>
      </c>
      <c r="AD910" s="425" t="e">
        <f aca="false">IF(ABS(t-ROUND(t,0))&lt;0.001,pos_x,NA())</f>
        <v>#N/A</v>
      </c>
      <c r="AE910" s="426" t="e">
        <f aca="false">IF(t&lt;T_para, pos_z, NA())</f>
        <v>#N/A</v>
      </c>
      <c r="AF910" s="412"/>
      <c r="AG910" s="418" t="n">
        <f aca="false">IF(AND(L909&lt;L_rampe,Poussee&lt;Poids*SIN(M909)),0,(-W909+Poussee)/m-Poids*SIN(M909)/m)</f>
        <v>1.88585354913864</v>
      </c>
      <c r="AH910" s="417" t="n">
        <f aca="false">IF(AND(L909&lt;L_rampe,Poussee&lt;Poids*SIN(M909)), g*SIN(M909), (-W909+Poussee)/m)</f>
        <v>-7.87457422645727</v>
      </c>
    </row>
    <row r="911" customFormat="false" ht="12" hidden="false" customHeight="false" outlineLevel="0" collapsed="false">
      <c r="A911" s="416" t="n">
        <f aca="false">IF(B910+0.01&lt;=T_ini+ROUNDUP(Temps_fin_propu,0), 0.01, IF(K910&gt;0, 0.1, 0.0001))</f>
        <v>0.0001</v>
      </c>
      <c r="B911" s="417" t="n">
        <f aca="false">B910+pas</f>
        <v>36.3184000000008</v>
      </c>
      <c r="C911" s="401"/>
      <c r="D911" s="418" t="n">
        <f aca="false">IF(AND(L910&lt;L_rampe,Poussee&lt;Poids*SIN(M910)),0,(-W910+Poussee)/m*COS(M910)-U910/m*SIN(M910))</f>
        <v>-0.790634711654768</v>
      </c>
      <c r="E911" s="419" t="n">
        <f aca="false">IF(AND(L910&lt;L_rampe,Poussee&lt;Poids*SIN(M910)),0,(-W910+Poussee)/m*SIN(M910)+U910/m*COS(M910)-Poids/m)</f>
        <v>-1.97518372855121</v>
      </c>
      <c r="F911" s="417" t="n">
        <f aca="false">SQRT(acc_x^2+acc_z^2)</f>
        <v>2.12754647629773</v>
      </c>
      <c r="G911" s="418" t="n">
        <f aca="false">G910+acc_x*pas</f>
        <v>12.4624652602435</v>
      </c>
      <c r="H911" s="419" t="n">
        <f aca="false">H910+acc_z*pas</f>
        <v>-123.498120910493</v>
      </c>
      <c r="I911" s="417" t="n">
        <f aca="false">SQRT(vit_x^2+vit_z^2)</f>
        <v>124.125335483073</v>
      </c>
      <c r="J911" s="418" t="n">
        <f aca="false">J910+0.5*(vit_x+G910)*pas*(K910&gt;=0)</f>
        <v>913.614336176273</v>
      </c>
      <c r="K911" s="419" t="n">
        <f aca="false">K910+0.5*(vit_z+H910)*pas</f>
        <v>-10.9780903928015</v>
      </c>
      <c r="L911" s="417" t="n">
        <f aca="false">SQRT(pos_x^2+pos_z^2)</f>
        <v>913.68029076668</v>
      </c>
      <c r="M911" s="418" t="n">
        <f aca="false">IF(AND(L910&gt;L_rampe,G911&gt;0),ATAN2(G911,H911),$M$4)</f>
        <v>-1.4702246023584</v>
      </c>
      <c r="N911" s="417" t="n">
        <f aca="false">DEGREES(Beta)</f>
        <v>-84.2376646514363</v>
      </c>
      <c r="O911" s="401"/>
      <c r="P911" s="420" t="n">
        <f aca="false">MATCH(t-pas/2-T_ini,CdP_t)</f>
        <v>23</v>
      </c>
      <c r="Q911" s="417" t="n">
        <f aca="false">(INDEX(CdP,2,i_P+1)-INDEX(CdP,2,i_P+0))/(INDEX(CdP,1,i_P+1)-INDEX(CdP,1,i_P+0))*(t-pas/2-T_ini-INDEX(CdP,1,i_P+0))+INDEX(CdP,2,i_P+0)</f>
        <v>0</v>
      </c>
      <c r="R911" s="418" t="n">
        <f aca="false">Poussee/(g*ISP)</f>
        <v>0</v>
      </c>
      <c r="S911" s="419" t="n">
        <f aca="false">S910-Débit*pas</f>
        <v>7.37799999999998</v>
      </c>
      <c r="T911" s="417" t="n">
        <f aca="false">m*g</f>
        <v>72.3781799999998</v>
      </c>
      <c r="U911" s="421" t="n">
        <f aca="false">IF(pos_xz&lt;L_rampe,Poids*COS(Beta),0)</f>
        <v>0</v>
      </c>
      <c r="V911" s="418" t="n">
        <f aca="false">Rho_moyen*(20000-Alt_rampe-pos_z)/(20000+Alt_rampe+pos_z)</f>
        <v>1.22634555465415</v>
      </c>
      <c r="W911" s="417" t="n">
        <f aca="false">1/2*Rho*Sref*Cx*vit_xz^2</f>
        <v>58.0991052237583</v>
      </c>
      <c r="X911" s="401"/>
      <c r="Y911" s="422" t="str">
        <f aca="false">IF(AND(pos_z&lt;=0,K910&gt;0),"Impact balistique","") &amp; IF(AND(H912&lt;0,vit_z&gt;=0),"Apogée","") &amp; IF(AND(Poussee=0,Q910&gt;0),"Fin de propulsion","") &amp; IF(AND(L912&gt;L_rampe,pos_xz&lt;=L_rampe),"Sortie de rampe","")</f>
        <v/>
      </c>
      <c r="Z911" s="423" t="str">
        <f aca="false">IF(ABS(t-T_para)&lt;pas/2,"Para","")</f>
        <v/>
      </c>
      <c r="AA911" s="424" t="str">
        <f aca="false">IF(ABS(t-T_satellite)&lt;pas/2,"Satellite","")</f>
        <v/>
      </c>
      <c r="AB911" s="412"/>
      <c r="AC911" s="420" t="e">
        <f aca="false">IF(ABS(t-ROUND(t,0))&lt;0.001,t,NA())</f>
        <v>#N/A</v>
      </c>
      <c r="AD911" s="425" t="e">
        <f aca="false">IF(ABS(t-ROUND(t,0))&lt;0.001,pos_x,NA())</f>
        <v>#N/A</v>
      </c>
      <c r="AE911" s="426" t="e">
        <f aca="false">IF(t&lt;T_para, pos_z, NA())</f>
        <v>#N/A</v>
      </c>
      <c r="AF911" s="412"/>
      <c r="AG911" s="418" t="n">
        <f aca="false">IF(AND(L910&lt;L_rampe,Poussee&lt;Poids*SIN(M910)),0,(-W910+Poussee)/m-Poids*SIN(M910)/m)</f>
        <v>1.88582067776221</v>
      </c>
      <c r="AH911" s="417" t="n">
        <f aca="false">IF(AND(L910&lt;L_rampe,Poussee&lt;Poids*SIN(M910)), g*SIN(M910), (-W910+Poussee)/m)</f>
        <v>-7.87460787942055</v>
      </c>
    </row>
    <row r="912" customFormat="false" ht="12" hidden="false" customHeight="false" outlineLevel="0" collapsed="false">
      <c r="A912" s="416" t="n">
        <f aca="false">IF(B911+0.01&lt;=T_ini+ROUNDUP(Temps_fin_propu,0), 0.01, IF(K911&gt;0, 0.1, 0.0001))</f>
        <v>0.0001</v>
      </c>
      <c r="B912" s="417" t="n">
        <f aca="false">B911+pas</f>
        <v>36.3185000000008</v>
      </c>
      <c r="C912" s="401"/>
      <c r="D912" s="418" t="n">
        <f aca="false">IF(AND(L911&lt;L_rampe,Poussee&lt;Poids*SIN(M911)),0,(-W911+Poussee)/m*COS(M911)-U911/m*SIN(M911))</f>
        <v>-0.790631873409294</v>
      </c>
      <c r="E912" s="419" t="n">
        <f aca="false">IF(AND(L911&lt;L_rampe,Poussee&lt;Poids*SIN(M911)),0,(-W911+Poussee)/m*SIN(M911)+U911/m*COS(M911)-Poids/m)</f>
        <v>-1.97514961855285</v>
      </c>
      <c r="F912" s="417" t="n">
        <f aca="false">SQRT(acc_x^2+acc_z^2)</f>
        <v>2.12751375434336</v>
      </c>
      <c r="G912" s="418" t="n">
        <f aca="false">G911+acc_x*pas</f>
        <v>12.4623861970562</v>
      </c>
      <c r="H912" s="419" t="n">
        <f aca="false">H911+acc_z*pas</f>
        <v>-123.498318425455</v>
      </c>
      <c r="I912" s="417" t="n">
        <f aca="false">SQRT(vit_x^2+vit_z^2)</f>
        <v>124.125524061893</v>
      </c>
      <c r="J912" s="418" t="n">
        <f aca="false">J911+0.5*(vit_x+G911)*pas*(K911&gt;=0)</f>
        <v>913.614336176273</v>
      </c>
      <c r="K912" s="419" t="n">
        <f aca="false">K911+0.5*(vit_z+H911)*pas</f>
        <v>-10.9904402147683</v>
      </c>
      <c r="L912" s="417" t="n">
        <f aca="false">SQRT(pos_x^2+pos_z^2)</f>
        <v>913.680439236239</v>
      </c>
      <c r="M912" s="418" t="n">
        <f aca="false">IF(AND(L911&gt;L_rampe,G912&gt;0),ATAN2(G912,H912),$M$4)</f>
        <v>-1.47022539586664</v>
      </c>
      <c r="N912" s="417" t="n">
        <f aca="false">DEGREES(Beta)</f>
        <v>-84.2377101161091</v>
      </c>
      <c r="O912" s="401"/>
      <c r="P912" s="420" t="n">
        <f aca="false">MATCH(t-pas/2-T_ini,CdP_t)</f>
        <v>23</v>
      </c>
      <c r="Q912" s="417" t="n">
        <f aca="false">(INDEX(CdP,2,i_P+1)-INDEX(CdP,2,i_P+0))/(INDEX(CdP,1,i_P+1)-INDEX(CdP,1,i_P+0))*(t-pas/2-T_ini-INDEX(CdP,1,i_P+0))+INDEX(CdP,2,i_P+0)</f>
        <v>0</v>
      </c>
      <c r="R912" s="418" t="n">
        <f aca="false">Poussee/(g*ISP)</f>
        <v>0</v>
      </c>
      <c r="S912" s="419" t="n">
        <f aca="false">S911-Débit*pas</f>
        <v>7.37799999999998</v>
      </c>
      <c r="T912" s="417" t="n">
        <f aca="false">m*g</f>
        <v>72.3781799999998</v>
      </c>
      <c r="U912" s="421" t="n">
        <f aca="false">IF(pos_xz&lt;L_rampe,Poids*COS(Beta),0)</f>
        <v>0</v>
      </c>
      <c r="V912" s="418" t="n">
        <f aca="false">Rho_moyen*(20000-Alt_rampe-pos_z)/(20000+Alt_rampe+pos_z)</f>
        <v>1.22634706917047</v>
      </c>
      <c r="W912" s="417" t="n">
        <f aca="false">1/2*Rho*Sref*Cx*vit_xz^2</f>
        <v>58.0993535109823</v>
      </c>
      <c r="X912" s="401"/>
      <c r="Y912" s="422" t="str">
        <f aca="false">IF(AND(pos_z&lt;=0,K911&gt;0),"Impact balistique","") &amp; IF(AND(H913&lt;0,vit_z&gt;=0),"Apogée","") &amp; IF(AND(Poussee=0,Q911&gt;0),"Fin de propulsion","") &amp; IF(AND(L913&gt;L_rampe,pos_xz&lt;=L_rampe),"Sortie de rampe","")</f>
        <v/>
      </c>
      <c r="Z912" s="423" t="str">
        <f aca="false">IF(ABS(t-T_para)&lt;pas/2,"Para","")</f>
        <v/>
      </c>
      <c r="AA912" s="424" t="str">
        <f aca="false">IF(ABS(t-T_satellite)&lt;pas/2,"Satellite","")</f>
        <v/>
      </c>
      <c r="AB912" s="412"/>
      <c r="AC912" s="420" t="e">
        <f aca="false">IF(ABS(t-ROUND(t,0))&lt;0.001,t,NA())</f>
        <v>#N/A</v>
      </c>
      <c r="AD912" s="425" t="e">
        <f aca="false">IF(ABS(t-ROUND(t,0))&lt;0.001,pos_x,NA())</f>
        <v>#N/A</v>
      </c>
      <c r="AE912" s="426" t="e">
        <f aca="false">IF(t&lt;T_para, pos_z, NA())</f>
        <v>#N/A</v>
      </c>
      <c r="AF912" s="412"/>
      <c r="AG912" s="418" t="n">
        <f aca="false">IF(AND(L911&lt;L_rampe,Poussee&lt;Poids*SIN(M911)),0,(-W911+Poussee)/m-Poids*SIN(M911)/m)</f>
        <v>1.88578780666635</v>
      </c>
      <c r="AH912" s="417" t="n">
        <f aca="false">IF(AND(L911&lt;L_rampe,Poussee&lt;Poids*SIN(M911)), g*SIN(M911), (-W911+Poussee)/m)</f>
        <v>-7.87464153208978</v>
      </c>
    </row>
    <row r="913" customFormat="false" ht="12" hidden="false" customHeight="false" outlineLevel="0" collapsed="false">
      <c r="A913" s="416" t="n">
        <f aca="false">IF(B912+0.01&lt;=T_ini+ROUNDUP(Temps_fin_propu,0), 0.01, IF(K912&gt;0, 0.1, 0.0001))</f>
        <v>0.0001</v>
      </c>
      <c r="B913" s="417" t="n">
        <f aca="false">B912+pas</f>
        <v>36.3186000000008</v>
      </c>
      <c r="C913" s="401"/>
      <c r="D913" s="418" t="n">
        <f aca="false">IF(AND(L912&lt;L_rampe,Poussee&lt;Poids*SIN(M912)),0,(-W912+Poussee)/m*COS(M912)-U912/m*SIN(M912))</f>
        <v>-0.790629035138995</v>
      </c>
      <c r="E913" s="419" t="n">
        <f aca="false">IF(AND(L912&lt;L_rampe,Poussee&lt;Poids*SIN(M912)),0,(-W912+Poussee)/m*SIN(M912)+U912/m*COS(M912)-Poids/m)</f>
        <v>-1.97511550885252</v>
      </c>
      <c r="F913" s="417" t="n">
        <f aca="false">SQRT(acc_x^2+acc_z^2)</f>
        <v>2.12748103270383</v>
      </c>
      <c r="G913" s="418" t="n">
        <f aca="false">G912+acc_x*pas</f>
        <v>12.4623071341526</v>
      </c>
      <c r="H913" s="419" t="n">
        <f aca="false">H912+acc_z*pas</f>
        <v>-123.498515937006</v>
      </c>
      <c r="I913" s="417" t="n">
        <f aca="false">SQRT(vit_x^2+vit_z^2)</f>
        <v>124.125712637426</v>
      </c>
      <c r="J913" s="418" t="n">
        <f aca="false">J912+0.5*(vit_x+G912)*pas*(K912&gt;=0)</f>
        <v>913.614336176273</v>
      </c>
      <c r="K913" s="419" t="n">
        <f aca="false">K912+0.5*(vit_z+H912)*pas</f>
        <v>-11.0027900564865</v>
      </c>
      <c r="L913" s="417" t="n">
        <f aca="false">SQRT(pos_x^2+pos_z^2)</f>
        <v>913.680587872939</v>
      </c>
      <c r="M913" s="418" t="n">
        <f aca="false">IF(AND(L912&gt;L_rampe,G913&gt;0),ATAN2(G913,H913),$M$4)</f>
        <v>-1.47022618936743</v>
      </c>
      <c r="N913" s="417" t="n">
        <f aca="false">DEGREES(Beta)</f>
        <v>-84.2377555803554</v>
      </c>
      <c r="O913" s="401"/>
      <c r="P913" s="420" t="n">
        <f aca="false">MATCH(t-pas/2-T_ini,CdP_t)</f>
        <v>23</v>
      </c>
      <c r="Q913" s="417" t="n">
        <f aca="false">(INDEX(CdP,2,i_P+1)-INDEX(CdP,2,i_P+0))/(INDEX(CdP,1,i_P+1)-INDEX(CdP,1,i_P+0))*(t-pas/2-T_ini-INDEX(CdP,1,i_P+0))+INDEX(CdP,2,i_P+0)</f>
        <v>0</v>
      </c>
      <c r="R913" s="418" t="n">
        <f aca="false">Poussee/(g*ISP)</f>
        <v>0</v>
      </c>
      <c r="S913" s="419" t="n">
        <f aca="false">S912-Débit*pas</f>
        <v>7.37799999999998</v>
      </c>
      <c r="T913" s="417" t="n">
        <f aca="false">m*g</f>
        <v>72.3781799999998</v>
      </c>
      <c r="U913" s="421" t="n">
        <f aca="false">IF(pos_xz&lt;L_rampe,Poids*COS(Beta),0)</f>
        <v>0</v>
      </c>
      <c r="V913" s="418" t="n">
        <f aca="false">Rho_moyen*(20000-Alt_rampe-pos_z)/(20000+Alt_rampe+pos_z)</f>
        <v>1.22634858369108</v>
      </c>
      <c r="W913" s="417" t="n">
        <f aca="false">1/2*Rho*Sref*Cx*vit_xz^2</f>
        <v>58.0996017960368</v>
      </c>
      <c r="X913" s="401"/>
      <c r="Y913" s="422" t="str">
        <f aca="false">IF(AND(pos_z&lt;=0,K912&gt;0),"Impact balistique","") &amp; IF(AND(H914&lt;0,vit_z&gt;=0),"Apogée","") &amp; IF(AND(Poussee=0,Q912&gt;0),"Fin de propulsion","") &amp; IF(AND(L914&gt;L_rampe,pos_xz&lt;=L_rampe),"Sortie de rampe","")</f>
        <v/>
      </c>
      <c r="Z913" s="423" t="str">
        <f aca="false">IF(ABS(t-T_para)&lt;pas/2,"Para","")</f>
        <v/>
      </c>
      <c r="AA913" s="424" t="str">
        <f aca="false">IF(ABS(t-T_satellite)&lt;pas/2,"Satellite","")</f>
        <v/>
      </c>
      <c r="AB913" s="412"/>
      <c r="AC913" s="420" t="e">
        <f aca="false">IF(ABS(t-ROUND(t,0))&lt;0.001,t,NA())</f>
        <v>#N/A</v>
      </c>
      <c r="AD913" s="425" t="e">
        <f aca="false">IF(ABS(t-ROUND(t,0))&lt;0.001,pos_x,NA())</f>
        <v>#N/A</v>
      </c>
      <c r="AE913" s="426" t="e">
        <f aca="false">IF(t&lt;T_para, pos_z, NA())</f>
        <v>#N/A</v>
      </c>
      <c r="AF913" s="412"/>
      <c r="AG913" s="418" t="n">
        <f aca="false">IF(AND(L912&lt;L_rampe,Poussee&lt;Poids*SIN(M912)),0,(-W912+Poussee)/m-Poids*SIN(M912)/m)</f>
        <v>1.88575493585106</v>
      </c>
      <c r="AH913" s="417" t="n">
        <f aca="false">IF(AND(L912&lt;L_rampe,Poussee&lt;Poids*SIN(M912)), g*SIN(M912), (-W912+Poussee)/m)</f>
        <v>-7.87467518446495</v>
      </c>
    </row>
    <row r="914" customFormat="false" ht="12" hidden="false" customHeight="false" outlineLevel="0" collapsed="false">
      <c r="A914" s="416" t="n">
        <f aca="false">IF(B913+0.01&lt;=T_ini+ROUNDUP(Temps_fin_propu,0), 0.01, IF(K913&gt;0, 0.1, 0.0001))</f>
        <v>0.0001</v>
      </c>
      <c r="B914" s="417" t="n">
        <f aca="false">B913+pas</f>
        <v>36.3187000000008</v>
      </c>
      <c r="C914" s="401"/>
      <c r="D914" s="418" t="n">
        <f aca="false">IF(AND(L913&lt;L_rampe,Poussee&lt;Poids*SIN(M913)),0,(-W913+Poussee)/m*COS(M913)-U913/m*SIN(M913))</f>
        <v>-0.79062619684387</v>
      </c>
      <c r="E914" s="419" t="n">
        <f aca="false">IF(AND(L913&lt;L_rampe,Poussee&lt;Poids*SIN(M913)),0,(-W913+Poussee)/m*SIN(M913)+U913/m*COS(M913)-Poids/m)</f>
        <v>-1.97508139945021</v>
      </c>
      <c r="F914" s="417" t="n">
        <f aca="false">SQRT(acc_x^2+acc_z^2)</f>
        <v>2.12744831137915</v>
      </c>
      <c r="G914" s="418" t="n">
        <f aca="false">G913+acc_x*pas</f>
        <v>12.462228071533</v>
      </c>
      <c r="H914" s="419" t="n">
        <f aca="false">H913+acc_z*pas</f>
        <v>-123.498713445146</v>
      </c>
      <c r="I914" s="417" t="n">
        <f aca="false">SQRT(vit_x^2+vit_z^2)</f>
        <v>124.125901209671</v>
      </c>
      <c r="J914" s="418" t="n">
        <f aca="false">J913+0.5*(vit_x+G913)*pas*(K913&gt;=0)</f>
        <v>913.614336176273</v>
      </c>
      <c r="K914" s="419" t="n">
        <f aca="false">K913+0.5*(vit_z+H913)*pas</f>
        <v>-11.0151399179556</v>
      </c>
      <c r="L914" s="417" t="n">
        <f aca="false">SQRT(pos_x^2+pos_z^2)</f>
        <v>913.680736676781</v>
      </c>
      <c r="M914" s="418" t="n">
        <f aca="false">IF(AND(L913&gt;L_rampe,G914&gt;0),ATAN2(G914,H914),$M$4)</f>
        <v>-1.47022698286077</v>
      </c>
      <c r="N914" s="417" t="n">
        <f aca="false">DEGREES(Beta)</f>
        <v>-84.237801044175</v>
      </c>
      <c r="O914" s="401"/>
      <c r="P914" s="420" t="n">
        <f aca="false">MATCH(t-pas/2-T_ini,CdP_t)</f>
        <v>23</v>
      </c>
      <c r="Q914" s="417" t="n">
        <f aca="false">(INDEX(CdP,2,i_P+1)-INDEX(CdP,2,i_P+0))/(INDEX(CdP,1,i_P+1)-INDEX(CdP,1,i_P+0))*(t-pas/2-T_ini-INDEX(CdP,1,i_P+0))+INDEX(CdP,2,i_P+0)</f>
        <v>0</v>
      </c>
      <c r="R914" s="418" t="n">
        <f aca="false">Poussee/(g*ISP)</f>
        <v>0</v>
      </c>
      <c r="S914" s="419" t="n">
        <f aca="false">S913-Débit*pas</f>
        <v>7.37799999999998</v>
      </c>
      <c r="T914" s="417" t="n">
        <f aca="false">m*g</f>
        <v>72.3781799999998</v>
      </c>
      <c r="U914" s="421" t="n">
        <f aca="false">IF(pos_xz&lt;L_rampe,Poids*COS(Beta),0)</f>
        <v>0</v>
      </c>
      <c r="V914" s="418" t="n">
        <f aca="false">Rho_moyen*(20000-Alt_rampe-pos_z)/(20000+Alt_rampe+pos_z)</f>
        <v>1.22635009821599</v>
      </c>
      <c r="W914" s="417" t="n">
        <f aca="false">1/2*Rho*Sref*Cx*vit_xz^2</f>
        <v>58.0998500789218</v>
      </c>
      <c r="X914" s="401"/>
      <c r="Y914" s="422" t="str">
        <f aca="false">IF(AND(pos_z&lt;=0,K913&gt;0),"Impact balistique","") &amp; IF(AND(H915&lt;0,vit_z&gt;=0),"Apogée","") &amp; IF(AND(Poussee=0,Q913&gt;0),"Fin de propulsion","") &amp; IF(AND(L915&gt;L_rampe,pos_xz&lt;=L_rampe),"Sortie de rampe","")</f>
        <v/>
      </c>
      <c r="Z914" s="423" t="str">
        <f aca="false">IF(ABS(t-T_para)&lt;pas/2,"Para","")</f>
        <v/>
      </c>
      <c r="AA914" s="424" t="str">
        <f aca="false">IF(ABS(t-T_satellite)&lt;pas/2,"Satellite","")</f>
        <v/>
      </c>
      <c r="AB914" s="412"/>
      <c r="AC914" s="420" t="e">
        <f aca="false">IF(ABS(t-ROUND(t,0))&lt;0.001,t,NA())</f>
        <v>#N/A</v>
      </c>
      <c r="AD914" s="425" t="e">
        <f aca="false">IF(ABS(t-ROUND(t,0))&lt;0.001,pos_x,NA())</f>
        <v>#N/A</v>
      </c>
      <c r="AE914" s="426" t="e">
        <f aca="false">IF(t&lt;T_para, pos_z, NA())</f>
        <v>#N/A</v>
      </c>
      <c r="AF914" s="412"/>
      <c r="AG914" s="418" t="n">
        <f aca="false">IF(AND(L913&lt;L_rampe,Poussee&lt;Poids*SIN(M913)),0,(-W913+Poussee)/m-Poids*SIN(M913)/m)</f>
        <v>1.88572206531635</v>
      </c>
      <c r="AH914" s="417" t="n">
        <f aca="false">IF(AND(L913&lt;L_rampe,Poussee&lt;Poids*SIN(M913)), g*SIN(M913), (-W913+Poussee)/m)</f>
        <v>-7.87470883654608</v>
      </c>
    </row>
    <row r="915" customFormat="false" ht="12" hidden="false" customHeight="false" outlineLevel="0" collapsed="false">
      <c r="A915" s="416" t="n">
        <f aca="false">IF(B914+0.01&lt;=T_ini+ROUNDUP(Temps_fin_propu,0), 0.01, IF(K914&gt;0, 0.1, 0.0001))</f>
        <v>0.0001</v>
      </c>
      <c r="B915" s="417" t="n">
        <f aca="false">B914+pas</f>
        <v>36.3188000000008</v>
      </c>
      <c r="C915" s="401"/>
      <c r="D915" s="418" t="n">
        <f aca="false">IF(AND(L914&lt;L_rampe,Poussee&lt;Poids*SIN(M914)),0,(-W914+Poussee)/m*COS(M914)-U914/m*SIN(M914))</f>
        <v>-0.79062335852392</v>
      </c>
      <c r="E915" s="419" t="n">
        <f aca="false">IF(AND(L914&lt;L_rampe,Poussee&lt;Poids*SIN(M914)),0,(-W914+Poussee)/m*SIN(M914)+U914/m*COS(M914)-Poids/m)</f>
        <v>-1.97504729034593</v>
      </c>
      <c r="F915" s="417" t="n">
        <f aca="false">SQRT(acc_x^2+acc_z^2)</f>
        <v>2.12741559036932</v>
      </c>
      <c r="G915" s="418" t="n">
        <f aca="false">G914+acc_x*pas</f>
        <v>12.4621490091971</v>
      </c>
      <c r="H915" s="419" t="n">
        <f aca="false">H914+acc_z*pas</f>
        <v>-123.498910949875</v>
      </c>
      <c r="I915" s="417" t="n">
        <f aca="false">SQRT(vit_x^2+vit_z^2)</f>
        <v>124.12608977863</v>
      </c>
      <c r="J915" s="418" t="n">
        <f aca="false">J914+0.5*(vit_x+G914)*pas*(K914&gt;=0)</f>
        <v>913.614336176273</v>
      </c>
      <c r="K915" s="419" t="n">
        <f aca="false">K914+0.5*(vit_z+H914)*pas</f>
        <v>-11.0274897991753</v>
      </c>
      <c r="L915" s="417" t="n">
        <f aca="false">SQRT(pos_x^2+pos_z^2)</f>
        <v>913.680885647764</v>
      </c>
      <c r="M915" s="418" t="n">
        <f aca="false">IF(AND(L914&gt;L_rampe,G915&gt;0),ATAN2(G915,H915),$M$4)</f>
        <v>-1.47022777634667</v>
      </c>
      <c r="N915" s="417" t="n">
        <f aca="false">DEGREES(Beta)</f>
        <v>-84.2378465075681</v>
      </c>
      <c r="O915" s="401"/>
      <c r="P915" s="420" t="n">
        <f aca="false">MATCH(t-pas/2-T_ini,CdP_t)</f>
        <v>23</v>
      </c>
      <c r="Q915" s="417" t="n">
        <f aca="false">(INDEX(CdP,2,i_P+1)-INDEX(CdP,2,i_P+0))/(INDEX(CdP,1,i_P+1)-INDEX(CdP,1,i_P+0))*(t-pas/2-T_ini-INDEX(CdP,1,i_P+0))+INDEX(CdP,2,i_P+0)</f>
        <v>0</v>
      </c>
      <c r="R915" s="418" t="n">
        <f aca="false">Poussee/(g*ISP)</f>
        <v>0</v>
      </c>
      <c r="S915" s="419" t="n">
        <f aca="false">S914-Débit*pas</f>
        <v>7.37799999999998</v>
      </c>
      <c r="T915" s="417" t="n">
        <f aca="false">m*g</f>
        <v>72.3781799999998</v>
      </c>
      <c r="U915" s="421" t="n">
        <f aca="false">IF(pos_xz&lt;L_rampe,Poids*COS(Beta),0)</f>
        <v>0</v>
      </c>
      <c r="V915" s="418" t="n">
        <f aca="false">Rho_moyen*(20000-Alt_rampe-pos_z)/(20000+Alt_rampe+pos_z)</f>
        <v>1.22635161274519</v>
      </c>
      <c r="W915" s="417" t="n">
        <f aca="false">1/2*Rho*Sref*Cx*vit_xz^2</f>
        <v>58.1000983596373</v>
      </c>
      <c r="X915" s="401"/>
      <c r="Y915" s="422" t="str">
        <f aca="false">IF(AND(pos_z&lt;=0,K914&gt;0),"Impact balistique","") &amp; IF(AND(H916&lt;0,vit_z&gt;=0),"Apogée","") &amp; IF(AND(Poussee=0,Q914&gt;0),"Fin de propulsion","") &amp; IF(AND(L916&gt;L_rampe,pos_xz&lt;=L_rampe),"Sortie de rampe","")</f>
        <v/>
      </c>
      <c r="Z915" s="423" t="str">
        <f aca="false">IF(ABS(t-T_para)&lt;pas/2,"Para","")</f>
        <v/>
      </c>
      <c r="AA915" s="424" t="str">
        <f aca="false">IF(ABS(t-T_satellite)&lt;pas/2,"Satellite","")</f>
        <v/>
      </c>
      <c r="AB915" s="412"/>
      <c r="AC915" s="420" t="e">
        <f aca="false">IF(ABS(t-ROUND(t,0))&lt;0.001,t,NA())</f>
        <v>#N/A</v>
      </c>
      <c r="AD915" s="425" t="e">
        <f aca="false">IF(ABS(t-ROUND(t,0))&lt;0.001,pos_x,NA())</f>
        <v>#N/A</v>
      </c>
      <c r="AE915" s="426" t="e">
        <f aca="false">IF(t&lt;T_para, pos_z, NA())</f>
        <v>#N/A</v>
      </c>
      <c r="AF915" s="412"/>
      <c r="AG915" s="418" t="n">
        <f aca="false">IF(AND(L914&lt;L_rampe,Poussee&lt;Poids*SIN(M914)),0,(-W914+Poussee)/m-Poids*SIN(M914)/m)</f>
        <v>1.88568919506221</v>
      </c>
      <c r="AH915" s="417" t="n">
        <f aca="false">IF(AND(L914&lt;L_rampe,Poussee&lt;Poids*SIN(M914)), g*SIN(M914), (-W914+Poussee)/m)</f>
        <v>-7.87474248833315</v>
      </c>
    </row>
    <row r="916" customFormat="false" ht="12" hidden="false" customHeight="false" outlineLevel="0" collapsed="false">
      <c r="A916" s="416" t="n">
        <f aca="false">IF(B915+0.01&lt;=T_ini+ROUNDUP(Temps_fin_propu,0), 0.01, IF(K915&gt;0, 0.1, 0.0001))</f>
        <v>0.0001</v>
      </c>
      <c r="B916" s="417" t="n">
        <f aca="false">B915+pas</f>
        <v>36.3189000000008</v>
      </c>
      <c r="C916" s="401"/>
      <c r="D916" s="418" t="n">
        <f aca="false">IF(AND(L915&lt;L_rampe,Poussee&lt;Poids*SIN(M915)),0,(-W915+Poussee)/m*COS(M915)-U915/m*SIN(M915))</f>
        <v>-0.790620520179145</v>
      </c>
      <c r="E916" s="419" t="n">
        <f aca="false">IF(AND(L915&lt;L_rampe,Poussee&lt;Poids*SIN(M915)),0,(-W915+Poussee)/m*SIN(M915)+U915/m*COS(M915)-Poids/m)</f>
        <v>-1.97501318153967</v>
      </c>
      <c r="F916" s="417" t="n">
        <f aca="false">SQRT(acc_x^2+acc_z^2)</f>
        <v>2.12738286967433</v>
      </c>
      <c r="G916" s="418" t="n">
        <f aca="false">G915+acc_x*pas</f>
        <v>12.4620699471451</v>
      </c>
      <c r="H916" s="419" t="n">
        <f aca="false">H915+acc_z*pas</f>
        <v>-123.499108451193</v>
      </c>
      <c r="I916" s="417" t="n">
        <f aca="false">SQRT(vit_x^2+vit_z^2)</f>
        <v>124.126278344301</v>
      </c>
      <c r="J916" s="418" t="n">
        <f aca="false">J915+0.5*(vit_x+G915)*pas*(K915&gt;=0)</f>
        <v>913.614336176273</v>
      </c>
      <c r="K916" s="419" t="n">
        <f aca="false">K915+0.5*(vit_z+H915)*pas</f>
        <v>-11.0398397001454</v>
      </c>
      <c r="L916" s="417" t="n">
        <f aca="false">SQRT(pos_x^2+pos_z^2)</f>
        <v>913.681034785891</v>
      </c>
      <c r="M916" s="418" t="n">
        <f aca="false">IF(AND(L915&gt;L_rampe,G916&gt;0),ATAN2(G916,H916),$M$4)</f>
        <v>-1.47022856982512</v>
      </c>
      <c r="N916" s="417" t="n">
        <f aca="false">DEGREES(Beta)</f>
        <v>-84.2378919705347</v>
      </c>
      <c r="O916" s="401"/>
      <c r="P916" s="420" t="n">
        <f aca="false">MATCH(t-pas/2-T_ini,CdP_t)</f>
        <v>23</v>
      </c>
      <c r="Q916" s="417" t="n">
        <f aca="false">(INDEX(CdP,2,i_P+1)-INDEX(CdP,2,i_P+0))/(INDEX(CdP,1,i_P+1)-INDEX(CdP,1,i_P+0))*(t-pas/2-T_ini-INDEX(CdP,1,i_P+0))+INDEX(CdP,2,i_P+0)</f>
        <v>0</v>
      </c>
      <c r="R916" s="418" t="n">
        <f aca="false">Poussee/(g*ISP)</f>
        <v>0</v>
      </c>
      <c r="S916" s="419" t="n">
        <f aca="false">S915-Débit*pas</f>
        <v>7.37799999999998</v>
      </c>
      <c r="T916" s="417" t="n">
        <f aca="false">m*g</f>
        <v>72.3781799999998</v>
      </c>
      <c r="U916" s="421" t="n">
        <f aca="false">IF(pos_xz&lt;L_rampe,Poids*COS(Beta),0)</f>
        <v>0</v>
      </c>
      <c r="V916" s="418" t="n">
        <f aca="false">Rho_moyen*(20000-Alt_rampe-pos_z)/(20000+Alt_rampe+pos_z)</f>
        <v>1.22635312727868</v>
      </c>
      <c r="W916" s="417" t="n">
        <f aca="false">1/2*Rho*Sref*Cx*vit_xz^2</f>
        <v>58.1003466381833</v>
      </c>
      <c r="X916" s="401"/>
      <c r="Y916" s="422" t="str">
        <f aca="false">IF(AND(pos_z&lt;=0,K915&gt;0),"Impact balistique","") &amp; IF(AND(H917&lt;0,vit_z&gt;=0),"Apogée","") &amp; IF(AND(Poussee=0,Q915&gt;0),"Fin de propulsion","") &amp; IF(AND(L917&gt;L_rampe,pos_xz&lt;=L_rampe),"Sortie de rampe","")</f>
        <v/>
      </c>
      <c r="Z916" s="423" t="str">
        <f aca="false">IF(ABS(t-T_para)&lt;pas/2,"Para","")</f>
        <v/>
      </c>
      <c r="AA916" s="424" t="str">
        <f aca="false">IF(ABS(t-T_satellite)&lt;pas/2,"Satellite","")</f>
        <v/>
      </c>
      <c r="AB916" s="412"/>
      <c r="AC916" s="420" t="e">
        <f aca="false">IF(ABS(t-ROUND(t,0))&lt;0.001,t,NA())</f>
        <v>#N/A</v>
      </c>
      <c r="AD916" s="425" t="e">
        <f aca="false">IF(ABS(t-ROUND(t,0))&lt;0.001,pos_x,NA())</f>
        <v>#N/A</v>
      </c>
      <c r="AE916" s="426" t="e">
        <f aca="false">IF(t&lt;T_para, pos_z, NA())</f>
        <v>#N/A</v>
      </c>
      <c r="AF916" s="412"/>
      <c r="AG916" s="418" t="n">
        <f aca="false">IF(AND(L915&lt;L_rampe,Poussee&lt;Poids*SIN(M915)),0,(-W915+Poussee)/m-Poids*SIN(M915)/m)</f>
        <v>1.88565632508864</v>
      </c>
      <c r="AH916" s="417" t="n">
        <f aca="false">IF(AND(L915&lt;L_rampe,Poussee&lt;Poids*SIN(M915)), g*SIN(M915), (-W915+Poussee)/m)</f>
        <v>-7.87477613982617</v>
      </c>
    </row>
    <row r="917" customFormat="false" ht="12" hidden="false" customHeight="false" outlineLevel="0" collapsed="false">
      <c r="A917" s="416" t="n">
        <f aca="false">IF(B916+0.01&lt;=T_ini+ROUNDUP(Temps_fin_propu,0), 0.01, IF(K916&gt;0, 0.1, 0.0001))</f>
        <v>0.0001</v>
      </c>
      <c r="B917" s="417" t="n">
        <f aca="false">B916+pas</f>
        <v>36.3190000000008</v>
      </c>
      <c r="C917" s="401"/>
      <c r="D917" s="418" t="n">
        <f aca="false">IF(AND(L916&lt;L_rampe,Poussee&lt;Poids*SIN(M916)),0,(-W916+Poussee)/m*COS(M916)-U916/m*SIN(M916))</f>
        <v>-0.790617681809548</v>
      </c>
      <c r="E917" s="419" t="n">
        <f aca="false">IF(AND(L916&lt;L_rampe,Poussee&lt;Poids*SIN(M916)),0,(-W916+Poussee)/m*SIN(M916)+U916/m*COS(M916)-Poids/m)</f>
        <v>-1.97497907303143</v>
      </c>
      <c r="F917" s="417" t="n">
        <f aca="false">SQRT(acc_x^2+acc_z^2)</f>
        <v>2.12735014929419</v>
      </c>
      <c r="G917" s="418" t="n">
        <f aca="false">G916+acc_x*pas</f>
        <v>12.4619908853769</v>
      </c>
      <c r="H917" s="419" t="n">
        <f aca="false">H916+acc_z*pas</f>
        <v>-123.4993059491</v>
      </c>
      <c r="I917" s="417" t="n">
        <f aca="false">SQRT(vit_x^2+vit_z^2)</f>
        <v>124.126466906686</v>
      </c>
      <c r="J917" s="418" t="n">
        <f aca="false">J916+0.5*(vit_x+G916)*pas*(K916&gt;=0)</f>
        <v>913.614336176273</v>
      </c>
      <c r="K917" s="419" t="n">
        <f aca="false">K916+0.5*(vit_z+H916)*pas</f>
        <v>-11.0521896208654</v>
      </c>
      <c r="L917" s="417" t="n">
        <f aca="false">SQRT(pos_x^2+pos_z^2)</f>
        <v>913.681184091162</v>
      </c>
      <c r="M917" s="418" t="n">
        <f aca="false">IF(AND(L916&gt;L_rampe,G917&gt;0),ATAN2(G917,H917),$M$4)</f>
        <v>-1.47022936329613</v>
      </c>
      <c r="N917" s="417" t="n">
        <f aca="false">DEGREES(Beta)</f>
        <v>-84.2379374330747</v>
      </c>
      <c r="O917" s="401"/>
      <c r="P917" s="420" t="n">
        <f aca="false">MATCH(t-pas/2-T_ini,CdP_t)</f>
        <v>23</v>
      </c>
      <c r="Q917" s="417" t="n">
        <f aca="false">(INDEX(CdP,2,i_P+1)-INDEX(CdP,2,i_P+0))/(INDEX(CdP,1,i_P+1)-INDEX(CdP,1,i_P+0))*(t-pas/2-T_ini-INDEX(CdP,1,i_P+0))+INDEX(CdP,2,i_P+0)</f>
        <v>0</v>
      </c>
      <c r="R917" s="418" t="n">
        <f aca="false">Poussee/(g*ISP)</f>
        <v>0</v>
      </c>
      <c r="S917" s="419" t="n">
        <f aca="false">S916-Débit*pas</f>
        <v>7.37799999999998</v>
      </c>
      <c r="T917" s="417" t="n">
        <f aca="false">m*g</f>
        <v>72.3781799999998</v>
      </c>
      <c r="U917" s="421" t="n">
        <f aca="false">IF(pos_xz&lt;L_rampe,Poids*COS(Beta),0)</f>
        <v>0</v>
      </c>
      <c r="V917" s="418" t="n">
        <f aca="false">Rho_moyen*(20000-Alt_rampe-pos_z)/(20000+Alt_rampe+pos_z)</f>
        <v>1.22635464181647</v>
      </c>
      <c r="W917" s="417" t="n">
        <f aca="false">1/2*Rho*Sref*Cx*vit_xz^2</f>
        <v>58.1005949145598</v>
      </c>
      <c r="X917" s="401"/>
      <c r="Y917" s="422" t="str">
        <f aca="false">IF(AND(pos_z&lt;=0,K916&gt;0),"Impact balistique","") &amp; IF(AND(H918&lt;0,vit_z&gt;=0),"Apogée","") &amp; IF(AND(Poussee=0,Q916&gt;0),"Fin de propulsion","") &amp; IF(AND(L918&gt;L_rampe,pos_xz&lt;=L_rampe),"Sortie de rampe","")</f>
        <v/>
      </c>
      <c r="Z917" s="423" t="str">
        <f aca="false">IF(ABS(t-T_para)&lt;pas/2,"Para","")</f>
        <v/>
      </c>
      <c r="AA917" s="424" t="str">
        <f aca="false">IF(ABS(t-T_satellite)&lt;pas/2,"Satellite","")</f>
        <v/>
      </c>
      <c r="AB917" s="412"/>
      <c r="AC917" s="420" t="e">
        <f aca="false">IF(ABS(t-ROUND(t,0))&lt;0.001,t,NA())</f>
        <v>#N/A</v>
      </c>
      <c r="AD917" s="425" t="e">
        <f aca="false">IF(ABS(t-ROUND(t,0))&lt;0.001,pos_x,NA())</f>
        <v>#N/A</v>
      </c>
      <c r="AE917" s="426" t="e">
        <f aca="false">IF(t&lt;T_para, pos_z, NA())</f>
        <v>#N/A</v>
      </c>
      <c r="AF917" s="412"/>
      <c r="AG917" s="418" t="n">
        <f aca="false">IF(AND(L916&lt;L_rampe,Poussee&lt;Poids*SIN(M916)),0,(-W916+Poussee)/m-Poids*SIN(M916)/m)</f>
        <v>1.88562345539565</v>
      </c>
      <c r="AH917" s="417" t="n">
        <f aca="false">IF(AND(L916&lt;L_rampe,Poussee&lt;Poids*SIN(M916)), g*SIN(M916), (-W916+Poussee)/m)</f>
        <v>-7.87480979102513</v>
      </c>
    </row>
    <row r="918" customFormat="false" ht="12" hidden="false" customHeight="false" outlineLevel="0" collapsed="false">
      <c r="A918" s="416" t="n">
        <f aca="false">IF(B917+0.01&lt;=T_ini+ROUNDUP(Temps_fin_propu,0), 0.01, IF(K917&gt;0, 0.1, 0.0001))</f>
        <v>0.0001</v>
      </c>
      <c r="B918" s="417" t="n">
        <f aca="false">B917+pas</f>
        <v>36.3191000000008</v>
      </c>
      <c r="C918" s="401"/>
      <c r="D918" s="418" t="n">
        <f aca="false">IF(AND(L917&lt;L_rampe,Poussee&lt;Poids*SIN(M917)),0,(-W917+Poussee)/m*COS(M917)-U917/m*SIN(M917))</f>
        <v>-0.790614843415126</v>
      </c>
      <c r="E918" s="419" t="n">
        <f aca="false">IF(AND(L917&lt;L_rampe,Poussee&lt;Poids*SIN(M917)),0,(-W917+Poussee)/m*SIN(M917)+U917/m*COS(M917)-Poids/m)</f>
        <v>-1.97494496482121</v>
      </c>
      <c r="F918" s="417" t="n">
        <f aca="false">SQRT(acc_x^2+acc_z^2)</f>
        <v>2.12731742922888</v>
      </c>
      <c r="G918" s="418" t="n">
        <f aca="false">G917+acc_x*pas</f>
        <v>12.4619118238926</v>
      </c>
      <c r="H918" s="419" t="n">
        <f aca="false">H917+acc_z*pas</f>
        <v>-123.499503443597</v>
      </c>
      <c r="I918" s="417" t="n">
        <f aca="false">SQRT(vit_x^2+vit_z^2)</f>
        <v>124.126655465784</v>
      </c>
      <c r="J918" s="418" t="n">
        <f aca="false">J917+0.5*(vit_x+G917)*pas*(K917&gt;=0)</f>
        <v>913.614336176273</v>
      </c>
      <c r="K918" s="419" t="n">
        <f aca="false">K917+0.5*(vit_z+H917)*pas</f>
        <v>-11.064539561335</v>
      </c>
      <c r="L918" s="417" t="n">
        <f aca="false">SQRT(pos_x^2+pos_z^2)</f>
        <v>913.681333563577</v>
      </c>
      <c r="M918" s="418" t="n">
        <f aca="false">IF(AND(L917&gt;L_rampe,G918&gt;0),ATAN2(G918,H918),$M$4)</f>
        <v>-1.4702301567597</v>
      </c>
      <c r="N918" s="417" t="n">
        <f aca="false">DEGREES(Beta)</f>
        <v>-84.2379828951881</v>
      </c>
      <c r="O918" s="401"/>
      <c r="P918" s="420" t="n">
        <f aca="false">MATCH(t-pas/2-T_ini,CdP_t)</f>
        <v>23</v>
      </c>
      <c r="Q918" s="417" t="n">
        <f aca="false">(INDEX(CdP,2,i_P+1)-INDEX(CdP,2,i_P+0))/(INDEX(CdP,1,i_P+1)-INDEX(CdP,1,i_P+0))*(t-pas/2-T_ini-INDEX(CdP,1,i_P+0))+INDEX(CdP,2,i_P+0)</f>
        <v>0</v>
      </c>
      <c r="R918" s="418" t="n">
        <f aca="false">Poussee/(g*ISP)</f>
        <v>0</v>
      </c>
      <c r="S918" s="419" t="n">
        <f aca="false">S917-Débit*pas</f>
        <v>7.37799999999998</v>
      </c>
      <c r="T918" s="417" t="n">
        <f aca="false">m*g</f>
        <v>72.3781799999998</v>
      </c>
      <c r="U918" s="421" t="n">
        <f aca="false">IF(pos_xz&lt;L_rampe,Poids*COS(Beta),0)</f>
        <v>0</v>
      </c>
      <c r="V918" s="418" t="n">
        <f aca="false">Rho_moyen*(20000-Alt_rampe-pos_z)/(20000+Alt_rampe+pos_z)</f>
        <v>1.22635615635855</v>
      </c>
      <c r="W918" s="417" t="n">
        <f aca="false">1/2*Rho*Sref*Cx*vit_xz^2</f>
        <v>58.1008431887668</v>
      </c>
      <c r="X918" s="401"/>
      <c r="Y918" s="422" t="str">
        <f aca="false">IF(AND(pos_z&lt;=0,K917&gt;0),"Impact balistique","") &amp; IF(AND(H919&lt;0,vit_z&gt;=0),"Apogée","") &amp; IF(AND(Poussee=0,Q917&gt;0),"Fin de propulsion","") &amp; IF(AND(L919&gt;L_rampe,pos_xz&lt;=L_rampe),"Sortie de rampe","")</f>
        <v/>
      </c>
      <c r="Z918" s="423" t="str">
        <f aca="false">IF(ABS(t-T_para)&lt;pas/2,"Para","")</f>
        <v/>
      </c>
      <c r="AA918" s="424" t="str">
        <f aca="false">IF(ABS(t-T_satellite)&lt;pas/2,"Satellite","")</f>
        <v/>
      </c>
      <c r="AB918" s="412"/>
      <c r="AC918" s="420" t="e">
        <f aca="false">IF(ABS(t-ROUND(t,0))&lt;0.001,t,NA())</f>
        <v>#N/A</v>
      </c>
      <c r="AD918" s="425" t="e">
        <f aca="false">IF(ABS(t-ROUND(t,0))&lt;0.001,pos_x,NA())</f>
        <v>#N/A</v>
      </c>
      <c r="AE918" s="426" t="e">
        <f aca="false">IF(t&lt;T_para, pos_z, NA())</f>
        <v>#N/A</v>
      </c>
      <c r="AF918" s="412"/>
      <c r="AG918" s="418" t="n">
        <f aca="false">IF(AND(L917&lt;L_rampe,Poussee&lt;Poids*SIN(M917)),0,(-W917+Poussee)/m-Poids*SIN(M917)/m)</f>
        <v>1.88559058598323</v>
      </c>
      <c r="AH918" s="417" t="n">
        <f aca="false">IF(AND(L917&lt;L_rampe,Poussee&lt;Poids*SIN(M917)), g*SIN(M917), (-W917+Poussee)/m)</f>
        <v>-7.87484344193005</v>
      </c>
    </row>
    <row r="919" customFormat="false" ht="12" hidden="false" customHeight="false" outlineLevel="0" collapsed="false">
      <c r="A919" s="416" t="n">
        <f aca="false">IF(B918+0.01&lt;=T_ini+ROUNDUP(Temps_fin_propu,0), 0.01, IF(K918&gt;0, 0.1, 0.0001))</f>
        <v>0.0001</v>
      </c>
      <c r="B919" s="417" t="n">
        <f aca="false">B918+pas</f>
        <v>36.3192000000008</v>
      </c>
      <c r="C919" s="401"/>
      <c r="D919" s="418" t="n">
        <f aca="false">IF(AND(L918&lt;L_rampe,Poussee&lt;Poids*SIN(M918)),0,(-W918+Poussee)/m*COS(M918)-U918/m*SIN(M918))</f>
        <v>-0.790612004995883</v>
      </c>
      <c r="E919" s="419" t="n">
        <f aca="false">IF(AND(L918&lt;L_rampe,Poussee&lt;Poids*SIN(M918)),0,(-W918+Poussee)/m*SIN(M918)+U918/m*COS(M918)-Poids/m)</f>
        <v>-1.97491085690902</v>
      </c>
      <c r="F919" s="417" t="n">
        <f aca="false">SQRT(acc_x^2+acc_z^2)</f>
        <v>2.12728470947843</v>
      </c>
      <c r="G919" s="418" t="n">
        <f aca="false">G918+acc_x*pas</f>
        <v>12.4618327626921</v>
      </c>
      <c r="H919" s="419" t="n">
        <f aca="false">H918+acc_z*pas</f>
        <v>-123.499700934682</v>
      </c>
      <c r="I919" s="417" t="n">
        <f aca="false">SQRT(vit_x^2+vit_z^2)</f>
        <v>124.126844021595</v>
      </c>
      <c r="J919" s="418" t="n">
        <f aca="false">J918+0.5*(vit_x+G918)*pas*(K918&gt;=0)</f>
        <v>913.614336176273</v>
      </c>
      <c r="K919" s="419" t="n">
        <f aca="false">K918+0.5*(vit_z+H918)*pas</f>
        <v>-11.0768895215539</v>
      </c>
      <c r="L919" s="417" t="n">
        <f aca="false">SQRT(pos_x^2+pos_z^2)</f>
        <v>913.681483203137</v>
      </c>
      <c r="M919" s="418" t="n">
        <f aca="false">IF(AND(L918&gt;L_rampe,G919&gt;0),ATAN2(G919,H919),$M$4)</f>
        <v>-1.47023095021582</v>
      </c>
      <c r="N919" s="417" t="n">
        <f aca="false">DEGREES(Beta)</f>
        <v>-84.238028356875</v>
      </c>
      <c r="O919" s="401"/>
      <c r="P919" s="420" t="n">
        <f aca="false">MATCH(t-pas/2-T_ini,CdP_t)</f>
        <v>23</v>
      </c>
      <c r="Q919" s="417" t="n">
        <f aca="false">(INDEX(CdP,2,i_P+1)-INDEX(CdP,2,i_P+0))/(INDEX(CdP,1,i_P+1)-INDEX(CdP,1,i_P+0))*(t-pas/2-T_ini-INDEX(CdP,1,i_P+0))+INDEX(CdP,2,i_P+0)</f>
        <v>0</v>
      </c>
      <c r="R919" s="418" t="n">
        <f aca="false">Poussee/(g*ISP)</f>
        <v>0</v>
      </c>
      <c r="S919" s="419" t="n">
        <f aca="false">S918-Débit*pas</f>
        <v>7.37799999999998</v>
      </c>
      <c r="T919" s="417" t="n">
        <f aca="false">m*g</f>
        <v>72.3781799999998</v>
      </c>
      <c r="U919" s="421" t="n">
        <f aca="false">IF(pos_xz&lt;L_rampe,Poids*COS(Beta),0)</f>
        <v>0</v>
      </c>
      <c r="V919" s="418" t="n">
        <f aca="false">Rho_moyen*(20000-Alt_rampe-pos_z)/(20000+Alt_rampe+pos_z)</f>
        <v>1.22635767090492</v>
      </c>
      <c r="W919" s="417" t="n">
        <f aca="false">1/2*Rho*Sref*Cx*vit_xz^2</f>
        <v>58.1010914608043</v>
      </c>
      <c r="X919" s="401"/>
      <c r="Y919" s="422" t="str">
        <f aca="false">IF(AND(pos_z&lt;=0,K918&gt;0),"Impact balistique","") &amp; IF(AND(H920&lt;0,vit_z&gt;=0),"Apogée","") &amp; IF(AND(Poussee=0,Q918&gt;0),"Fin de propulsion","") &amp; IF(AND(L920&gt;L_rampe,pos_xz&lt;=L_rampe),"Sortie de rampe","")</f>
        <v/>
      </c>
      <c r="Z919" s="423" t="str">
        <f aca="false">IF(ABS(t-T_para)&lt;pas/2,"Para","")</f>
        <v/>
      </c>
      <c r="AA919" s="424" t="str">
        <f aca="false">IF(ABS(t-T_satellite)&lt;pas/2,"Satellite","")</f>
        <v/>
      </c>
      <c r="AB919" s="412"/>
      <c r="AC919" s="420" t="e">
        <f aca="false">IF(ABS(t-ROUND(t,0))&lt;0.001,t,NA())</f>
        <v>#N/A</v>
      </c>
      <c r="AD919" s="425" t="e">
        <f aca="false">IF(ABS(t-ROUND(t,0))&lt;0.001,pos_x,NA())</f>
        <v>#N/A</v>
      </c>
      <c r="AE919" s="426" t="e">
        <f aca="false">IF(t&lt;T_para, pos_z, NA())</f>
        <v>#N/A</v>
      </c>
      <c r="AF919" s="412"/>
      <c r="AG919" s="418" t="n">
        <f aca="false">IF(AND(L918&lt;L_rampe,Poussee&lt;Poids*SIN(M918)),0,(-W918+Poussee)/m-Poids*SIN(M918)/m)</f>
        <v>1.88555771685139</v>
      </c>
      <c r="AH919" s="417" t="n">
        <f aca="false">IF(AND(L918&lt;L_rampe,Poussee&lt;Poids*SIN(M918)), g*SIN(M918), (-W918+Poussee)/m)</f>
        <v>-7.87487709254092</v>
      </c>
    </row>
    <row r="920" customFormat="false" ht="12" hidden="false" customHeight="false" outlineLevel="0" collapsed="false">
      <c r="A920" s="416" t="n">
        <f aca="false">IF(B919+0.01&lt;=T_ini+ROUNDUP(Temps_fin_propu,0), 0.01, IF(K919&gt;0, 0.1, 0.0001))</f>
        <v>0.0001</v>
      </c>
      <c r="B920" s="417" t="n">
        <f aca="false">B919+pas</f>
        <v>36.3193000000008</v>
      </c>
      <c r="C920" s="401"/>
      <c r="D920" s="418" t="n">
        <f aca="false">IF(AND(L919&lt;L_rampe,Poussee&lt;Poids*SIN(M919)),0,(-W919+Poussee)/m*COS(M919)-U919/m*SIN(M919))</f>
        <v>-0.790609166551817</v>
      </c>
      <c r="E920" s="419" t="n">
        <f aca="false">IF(AND(L919&lt;L_rampe,Poussee&lt;Poids*SIN(M919)),0,(-W919+Poussee)/m*SIN(M919)+U919/m*COS(M919)-Poids/m)</f>
        <v>-1.97487674929485</v>
      </c>
      <c r="F920" s="417" t="n">
        <f aca="false">SQRT(acc_x^2+acc_z^2)</f>
        <v>2.12725199004282</v>
      </c>
      <c r="G920" s="418" t="n">
        <f aca="false">G919+acc_x*pas</f>
        <v>12.4617537017754</v>
      </c>
      <c r="H920" s="419" t="n">
        <f aca="false">H919+acc_z*pas</f>
        <v>-123.499898422357</v>
      </c>
      <c r="I920" s="417" t="n">
        <f aca="false">SQRT(vit_x^2+vit_z^2)</f>
        <v>124.127032574118</v>
      </c>
      <c r="J920" s="418" t="n">
        <f aca="false">J919+0.5*(vit_x+G919)*pas*(K919&gt;=0)</f>
        <v>913.614336176273</v>
      </c>
      <c r="K920" s="419" t="n">
        <f aca="false">K919+0.5*(vit_z+H919)*pas</f>
        <v>-11.0892395015218</v>
      </c>
      <c r="L920" s="417" t="n">
        <f aca="false">SQRT(pos_x^2+pos_z^2)</f>
        <v>913.681633009844</v>
      </c>
      <c r="M920" s="418" t="n">
        <f aca="false">IF(AND(L919&gt;L_rampe,G920&gt;0),ATAN2(G920,H920),$M$4)</f>
        <v>-1.47023174366449</v>
      </c>
      <c r="N920" s="417" t="n">
        <f aca="false">DEGREES(Beta)</f>
        <v>-84.2380738181354</v>
      </c>
      <c r="O920" s="401"/>
      <c r="P920" s="420" t="n">
        <f aca="false">MATCH(t-pas/2-T_ini,CdP_t)</f>
        <v>23</v>
      </c>
      <c r="Q920" s="417" t="n">
        <f aca="false">(INDEX(CdP,2,i_P+1)-INDEX(CdP,2,i_P+0))/(INDEX(CdP,1,i_P+1)-INDEX(CdP,1,i_P+0))*(t-pas/2-T_ini-INDEX(CdP,1,i_P+0))+INDEX(CdP,2,i_P+0)</f>
        <v>0</v>
      </c>
      <c r="R920" s="418" t="n">
        <f aca="false">Poussee/(g*ISP)</f>
        <v>0</v>
      </c>
      <c r="S920" s="419" t="n">
        <f aca="false">S919-Débit*pas</f>
        <v>7.37799999999998</v>
      </c>
      <c r="T920" s="417" t="n">
        <f aca="false">m*g</f>
        <v>72.3781799999998</v>
      </c>
      <c r="U920" s="421" t="n">
        <f aca="false">IF(pos_xz&lt;L_rampe,Poids*COS(Beta),0)</f>
        <v>0</v>
      </c>
      <c r="V920" s="418" t="n">
        <f aca="false">Rho_moyen*(20000-Alt_rampe-pos_z)/(20000+Alt_rampe+pos_z)</f>
        <v>1.22635918545559</v>
      </c>
      <c r="W920" s="417" t="n">
        <f aca="false">1/2*Rho*Sref*Cx*vit_xz^2</f>
        <v>58.1013397306722</v>
      </c>
      <c r="X920" s="401"/>
      <c r="Y920" s="422" t="str">
        <f aca="false">IF(AND(pos_z&lt;=0,K919&gt;0),"Impact balistique","") &amp; IF(AND(H921&lt;0,vit_z&gt;=0),"Apogée","") &amp; IF(AND(Poussee=0,Q919&gt;0),"Fin de propulsion","") &amp; IF(AND(L921&gt;L_rampe,pos_xz&lt;=L_rampe),"Sortie de rampe","")</f>
        <v/>
      </c>
      <c r="Z920" s="423" t="str">
        <f aca="false">IF(ABS(t-T_para)&lt;pas/2,"Para","")</f>
        <v/>
      </c>
      <c r="AA920" s="424" t="str">
        <f aca="false">IF(ABS(t-T_satellite)&lt;pas/2,"Satellite","")</f>
        <v/>
      </c>
      <c r="AB920" s="412"/>
      <c r="AC920" s="420" t="e">
        <f aca="false">IF(ABS(t-ROUND(t,0))&lt;0.001,t,NA())</f>
        <v>#N/A</v>
      </c>
      <c r="AD920" s="425" t="e">
        <f aca="false">IF(ABS(t-ROUND(t,0))&lt;0.001,pos_x,NA())</f>
        <v>#N/A</v>
      </c>
      <c r="AE920" s="426" t="e">
        <f aca="false">IF(t&lt;T_para, pos_z, NA())</f>
        <v>#N/A</v>
      </c>
      <c r="AF920" s="412"/>
      <c r="AG920" s="418" t="n">
        <f aca="false">IF(AND(L919&lt;L_rampe,Poussee&lt;Poids*SIN(M919)),0,(-W919+Poussee)/m-Poids*SIN(M919)/m)</f>
        <v>1.88552484800012</v>
      </c>
      <c r="AH920" s="417" t="n">
        <f aca="false">IF(AND(L919&lt;L_rampe,Poussee&lt;Poids*SIN(M919)), g*SIN(M919), (-W919+Poussee)/m)</f>
        <v>-7.87491074285774</v>
      </c>
    </row>
    <row r="921" customFormat="false" ht="12" hidden="false" customHeight="false" outlineLevel="0" collapsed="false">
      <c r="A921" s="416" t="n">
        <f aca="false">IF(B920+0.01&lt;=T_ini+ROUNDUP(Temps_fin_propu,0), 0.01, IF(K920&gt;0, 0.1, 0.0001))</f>
        <v>0.0001</v>
      </c>
      <c r="B921" s="417" t="n">
        <f aca="false">B920+pas</f>
        <v>36.3194000000009</v>
      </c>
      <c r="C921" s="401"/>
      <c r="D921" s="418" t="n">
        <f aca="false">IF(AND(L920&lt;L_rampe,Poussee&lt;Poids*SIN(M920)),0,(-W920+Poussee)/m*COS(M920)-U920/m*SIN(M920))</f>
        <v>-0.790606328082931</v>
      </c>
      <c r="E921" s="419" t="n">
        <f aca="false">IF(AND(L920&lt;L_rampe,Poussee&lt;Poids*SIN(M920)),0,(-W920+Poussee)/m*SIN(M920)+U920/m*COS(M920)-Poids/m)</f>
        <v>-1.9748426419787</v>
      </c>
      <c r="F921" s="417" t="n">
        <f aca="false">SQRT(acc_x^2+acc_z^2)</f>
        <v>2.12721927092206</v>
      </c>
      <c r="G921" s="418" t="n">
        <f aca="false">G920+acc_x*pas</f>
        <v>12.4616746411426</v>
      </c>
      <c r="H921" s="419" t="n">
        <f aca="false">H920+acc_z*pas</f>
        <v>-123.500095906621</v>
      </c>
      <c r="I921" s="417" t="n">
        <f aca="false">SQRT(vit_x^2+vit_z^2)</f>
        <v>124.127221123355</v>
      </c>
      <c r="J921" s="418" t="n">
        <f aca="false">J920+0.5*(vit_x+G920)*pas*(K920&gt;=0)</f>
        <v>913.614336176273</v>
      </c>
      <c r="K921" s="419" t="n">
        <f aca="false">K920+0.5*(vit_z+H920)*pas</f>
        <v>-11.1015895012382</v>
      </c>
      <c r="L921" s="417" t="n">
        <f aca="false">SQRT(pos_x^2+pos_z^2)</f>
        <v>913.681782983696</v>
      </c>
      <c r="M921" s="418" t="n">
        <f aca="false">IF(AND(L920&gt;L_rampe,G921&gt;0),ATAN2(G921,H921),$M$4)</f>
        <v>-1.47023253710573</v>
      </c>
      <c r="N921" s="417" t="n">
        <f aca="false">DEGREES(Beta)</f>
        <v>-84.2381192789693</v>
      </c>
      <c r="O921" s="401"/>
      <c r="P921" s="420" t="n">
        <f aca="false">MATCH(t-pas/2-T_ini,CdP_t)</f>
        <v>23</v>
      </c>
      <c r="Q921" s="417" t="n">
        <f aca="false">(INDEX(CdP,2,i_P+1)-INDEX(CdP,2,i_P+0))/(INDEX(CdP,1,i_P+1)-INDEX(CdP,1,i_P+0))*(t-pas/2-T_ini-INDEX(CdP,1,i_P+0))+INDEX(CdP,2,i_P+0)</f>
        <v>0</v>
      </c>
      <c r="R921" s="418" t="n">
        <f aca="false">Poussee/(g*ISP)</f>
        <v>0</v>
      </c>
      <c r="S921" s="419" t="n">
        <f aca="false">S920-Débit*pas</f>
        <v>7.37799999999998</v>
      </c>
      <c r="T921" s="417" t="n">
        <f aca="false">m*g</f>
        <v>72.3781799999998</v>
      </c>
      <c r="U921" s="421" t="n">
        <f aca="false">IF(pos_xz&lt;L_rampe,Poids*COS(Beta),0)</f>
        <v>0</v>
      </c>
      <c r="V921" s="418" t="n">
        <f aca="false">Rho_moyen*(20000-Alt_rampe-pos_z)/(20000+Alt_rampe+pos_z)</f>
        <v>1.22636070001055</v>
      </c>
      <c r="W921" s="417" t="n">
        <f aca="false">1/2*Rho*Sref*Cx*vit_xz^2</f>
        <v>58.1015879983707</v>
      </c>
      <c r="X921" s="401"/>
      <c r="Y921" s="422" t="str">
        <f aca="false">IF(AND(pos_z&lt;=0,K920&gt;0),"Impact balistique","") &amp; IF(AND(H922&lt;0,vit_z&gt;=0),"Apogée","") &amp; IF(AND(Poussee=0,Q920&gt;0),"Fin de propulsion","") &amp; IF(AND(L922&gt;L_rampe,pos_xz&lt;=L_rampe),"Sortie de rampe","")</f>
        <v/>
      </c>
      <c r="Z921" s="423" t="str">
        <f aca="false">IF(ABS(t-T_para)&lt;pas/2,"Para","")</f>
        <v/>
      </c>
      <c r="AA921" s="424" t="str">
        <f aca="false">IF(ABS(t-T_satellite)&lt;pas/2,"Satellite","")</f>
        <v/>
      </c>
      <c r="AB921" s="412"/>
      <c r="AC921" s="420" t="e">
        <f aca="false">IF(ABS(t-ROUND(t,0))&lt;0.001,t,NA())</f>
        <v>#N/A</v>
      </c>
      <c r="AD921" s="425" t="e">
        <f aca="false">IF(ABS(t-ROUND(t,0))&lt;0.001,pos_x,NA())</f>
        <v>#N/A</v>
      </c>
      <c r="AE921" s="426" t="e">
        <f aca="false">IF(t&lt;T_para, pos_z, NA())</f>
        <v>#N/A</v>
      </c>
      <c r="AF921" s="412"/>
      <c r="AG921" s="418" t="n">
        <f aca="false">IF(AND(L920&lt;L_rampe,Poussee&lt;Poids*SIN(M920)),0,(-W920+Poussee)/m-Poids*SIN(M920)/m)</f>
        <v>1.88549197942942</v>
      </c>
      <c r="AH921" s="417" t="n">
        <f aca="false">IF(AND(L920&lt;L_rampe,Poussee&lt;Poids*SIN(M920)), g*SIN(M920), (-W920+Poussee)/m)</f>
        <v>-7.8749443928805</v>
      </c>
    </row>
    <row r="922" customFormat="false" ht="12" hidden="false" customHeight="false" outlineLevel="0" collapsed="false">
      <c r="A922" s="416" t="n">
        <f aca="false">IF(B921+0.01&lt;=T_ini+ROUNDUP(Temps_fin_propu,0), 0.01, IF(K921&gt;0, 0.1, 0.0001))</f>
        <v>0.0001</v>
      </c>
      <c r="B922" s="417" t="n">
        <f aca="false">B921+pas</f>
        <v>36.3195000000009</v>
      </c>
      <c r="C922" s="401"/>
      <c r="D922" s="418" t="n">
        <f aca="false">IF(AND(L921&lt;L_rampe,Poussee&lt;Poids*SIN(M921)),0,(-W921+Poussee)/m*COS(M921)-U921/m*SIN(M921))</f>
        <v>-0.790603489589225</v>
      </c>
      <c r="E922" s="419" t="n">
        <f aca="false">IF(AND(L921&lt;L_rampe,Poussee&lt;Poids*SIN(M921)),0,(-W921+Poussee)/m*SIN(M921)+U921/m*COS(M921)-Poids/m)</f>
        <v>-1.97480853496057</v>
      </c>
      <c r="F922" s="417" t="n">
        <f aca="false">SQRT(acc_x^2+acc_z^2)</f>
        <v>2.12718655211615</v>
      </c>
      <c r="G922" s="418" t="n">
        <f aca="false">G921+acc_x*pas</f>
        <v>12.4615955807936</v>
      </c>
      <c r="H922" s="419" t="n">
        <f aca="false">H921+acc_z*pas</f>
        <v>-123.500293387475</v>
      </c>
      <c r="I922" s="417" t="n">
        <f aca="false">SQRT(vit_x^2+vit_z^2)</f>
        <v>124.127409669306</v>
      </c>
      <c r="J922" s="418" t="n">
        <f aca="false">J921+0.5*(vit_x+G921)*pas*(K921&gt;=0)</f>
        <v>913.614336176273</v>
      </c>
      <c r="K922" s="419" t="n">
        <f aca="false">K921+0.5*(vit_z+H921)*pas</f>
        <v>-11.1139395207029</v>
      </c>
      <c r="L922" s="417" t="n">
        <f aca="false">SQRT(pos_x^2+pos_z^2)</f>
        <v>913.681933124696</v>
      </c>
      <c r="M922" s="418" t="n">
        <f aca="false">IF(AND(L921&gt;L_rampe,G922&gt;0),ATAN2(G922,H922),$M$4)</f>
        <v>-1.47023333053951</v>
      </c>
      <c r="N922" s="417" t="n">
        <f aca="false">DEGREES(Beta)</f>
        <v>-84.2381647393766</v>
      </c>
      <c r="O922" s="401"/>
      <c r="P922" s="420" t="n">
        <f aca="false">MATCH(t-pas/2-T_ini,CdP_t)</f>
        <v>23</v>
      </c>
      <c r="Q922" s="417" t="n">
        <f aca="false">(INDEX(CdP,2,i_P+1)-INDEX(CdP,2,i_P+0))/(INDEX(CdP,1,i_P+1)-INDEX(CdP,1,i_P+0))*(t-pas/2-T_ini-INDEX(CdP,1,i_P+0))+INDEX(CdP,2,i_P+0)</f>
        <v>0</v>
      </c>
      <c r="R922" s="418" t="n">
        <f aca="false">Poussee/(g*ISP)</f>
        <v>0</v>
      </c>
      <c r="S922" s="419" t="n">
        <f aca="false">S921-Débit*pas</f>
        <v>7.37799999999998</v>
      </c>
      <c r="T922" s="417" t="n">
        <f aca="false">m*g</f>
        <v>72.3781799999998</v>
      </c>
      <c r="U922" s="421" t="n">
        <f aca="false">IF(pos_xz&lt;L_rampe,Poids*COS(Beta),0)</f>
        <v>0</v>
      </c>
      <c r="V922" s="418" t="n">
        <f aca="false">Rho_moyen*(20000-Alt_rampe-pos_z)/(20000+Alt_rampe+pos_z)</f>
        <v>1.2263622145698</v>
      </c>
      <c r="W922" s="417" t="n">
        <f aca="false">1/2*Rho*Sref*Cx*vit_xz^2</f>
        <v>58.1018362638997</v>
      </c>
      <c r="X922" s="401"/>
      <c r="Y922" s="422" t="str">
        <f aca="false">IF(AND(pos_z&lt;=0,K921&gt;0),"Impact balistique","") &amp; IF(AND(H923&lt;0,vit_z&gt;=0),"Apogée","") &amp; IF(AND(Poussee=0,Q921&gt;0),"Fin de propulsion","") &amp; IF(AND(L923&gt;L_rampe,pos_xz&lt;=L_rampe),"Sortie de rampe","")</f>
        <v/>
      </c>
      <c r="Z922" s="423" t="str">
        <f aca="false">IF(ABS(t-T_para)&lt;pas/2,"Para","")</f>
        <v/>
      </c>
      <c r="AA922" s="424" t="str">
        <f aca="false">IF(ABS(t-T_satellite)&lt;pas/2,"Satellite","")</f>
        <v/>
      </c>
      <c r="AB922" s="412"/>
      <c r="AC922" s="420" t="e">
        <f aca="false">IF(ABS(t-ROUND(t,0))&lt;0.001,t,NA())</f>
        <v>#N/A</v>
      </c>
      <c r="AD922" s="425" t="e">
        <f aca="false">IF(ABS(t-ROUND(t,0))&lt;0.001,pos_x,NA())</f>
        <v>#N/A</v>
      </c>
      <c r="AE922" s="426" t="e">
        <f aca="false">IF(t&lt;T_para, pos_z, NA())</f>
        <v>#N/A</v>
      </c>
      <c r="AF922" s="412"/>
      <c r="AG922" s="418" t="n">
        <f aca="false">IF(AND(L921&lt;L_rampe,Poussee&lt;Poids*SIN(M921)),0,(-W921+Poussee)/m-Poids*SIN(M921)/m)</f>
        <v>1.88545911113929</v>
      </c>
      <c r="AH922" s="417" t="n">
        <f aca="false">IF(AND(L921&lt;L_rampe,Poussee&lt;Poids*SIN(M921)), g*SIN(M921), (-W921+Poussee)/m)</f>
        <v>-7.87497804260922</v>
      </c>
    </row>
    <row r="923" customFormat="false" ht="12" hidden="false" customHeight="false" outlineLevel="0" collapsed="false">
      <c r="A923" s="416" t="n">
        <f aca="false">IF(B922+0.01&lt;=T_ini+ROUNDUP(Temps_fin_propu,0), 0.01, IF(K922&gt;0, 0.1, 0.0001))</f>
        <v>0.0001</v>
      </c>
      <c r="B923" s="417" t="n">
        <f aca="false">B922+pas</f>
        <v>36.3196000000009</v>
      </c>
      <c r="C923" s="401"/>
      <c r="D923" s="418" t="n">
        <f aca="false">IF(AND(L922&lt;L_rampe,Poussee&lt;Poids*SIN(M922)),0,(-W922+Poussee)/m*COS(M922)-U922/m*SIN(M922))</f>
        <v>-0.790600651070699</v>
      </c>
      <c r="E923" s="419" t="n">
        <f aca="false">IF(AND(L922&lt;L_rampe,Poussee&lt;Poids*SIN(M922)),0,(-W922+Poussee)/m*SIN(M922)+U922/m*COS(M922)-Poids/m)</f>
        <v>-1.97477442824046</v>
      </c>
      <c r="F923" s="417" t="n">
        <f aca="false">SQRT(acc_x^2+acc_z^2)</f>
        <v>2.12715383362508</v>
      </c>
      <c r="G923" s="418" t="n">
        <f aca="false">G922+acc_x*pas</f>
        <v>12.4615165207285</v>
      </c>
      <c r="H923" s="419" t="n">
        <f aca="false">H922+acc_z*pas</f>
        <v>-123.500490864918</v>
      </c>
      <c r="I923" s="417" t="n">
        <f aca="false">SQRT(vit_x^2+vit_z^2)</f>
        <v>124.127598211969</v>
      </c>
      <c r="J923" s="418" t="n">
        <f aca="false">J922+0.5*(vit_x+G922)*pas*(K922&gt;=0)</f>
        <v>913.614336176273</v>
      </c>
      <c r="K923" s="419" t="n">
        <f aca="false">K922+0.5*(vit_z+H922)*pas</f>
        <v>-11.1262895599156</v>
      </c>
      <c r="L923" s="417" t="n">
        <f aca="false">SQRT(pos_x^2+pos_z^2)</f>
        <v>913.682083432845</v>
      </c>
      <c r="M923" s="418" t="n">
        <f aca="false">IF(AND(L922&gt;L_rampe,G923&gt;0),ATAN2(G923,H923),$M$4)</f>
        <v>-1.47023412396586</v>
      </c>
      <c r="N923" s="417" t="n">
        <f aca="false">DEGREES(Beta)</f>
        <v>-84.2382101993574</v>
      </c>
      <c r="O923" s="401"/>
      <c r="P923" s="420" t="n">
        <f aca="false">MATCH(t-pas/2-T_ini,CdP_t)</f>
        <v>23</v>
      </c>
      <c r="Q923" s="417" t="n">
        <f aca="false">(INDEX(CdP,2,i_P+1)-INDEX(CdP,2,i_P+0))/(INDEX(CdP,1,i_P+1)-INDEX(CdP,1,i_P+0))*(t-pas/2-T_ini-INDEX(CdP,1,i_P+0))+INDEX(CdP,2,i_P+0)</f>
        <v>0</v>
      </c>
      <c r="R923" s="418" t="n">
        <f aca="false">Poussee/(g*ISP)</f>
        <v>0</v>
      </c>
      <c r="S923" s="419" t="n">
        <f aca="false">S922-Débit*pas</f>
        <v>7.37799999999998</v>
      </c>
      <c r="T923" s="417" t="n">
        <f aca="false">m*g</f>
        <v>72.3781799999998</v>
      </c>
      <c r="U923" s="421" t="n">
        <f aca="false">IF(pos_xz&lt;L_rampe,Poids*COS(Beta),0)</f>
        <v>0</v>
      </c>
      <c r="V923" s="418" t="n">
        <f aca="false">Rho_moyen*(20000-Alt_rampe-pos_z)/(20000+Alt_rampe+pos_z)</f>
        <v>1.22636372913335</v>
      </c>
      <c r="W923" s="417" t="n">
        <f aca="false">1/2*Rho*Sref*Cx*vit_xz^2</f>
        <v>58.1020845272592</v>
      </c>
      <c r="X923" s="401"/>
      <c r="Y923" s="422" t="str">
        <f aca="false">IF(AND(pos_z&lt;=0,K922&gt;0),"Impact balistique","") &amp; IF(AND(H924&lt;0,vit_z&gt;=0),"Apogée","") &amp; IF(AND(Poussee=0,Q922&gt;0),"Fin de propulsion","") &amp; IF(AND(L924&gt;L_rampe,pos_xz&lt;=L_rampe),"Sortie de rampe","")</f>
        <v/>
      </c>
      <c r="Z923" s="423" t="str">
        <f aca="false">IF(ABS(t-T_para)&lt;pas/2,"Para","")</f>
        <v/>
      </c>
      <c r="AA923" s="424" t="str">
        <f aca="false">IF(ABS(t-T_satellite)&lt;pas/2,"Satellite","")</f>
        <v/>
      </c>
      <c r="AB923" s="412"/>
      <c r="AC923" s="420" t="e">
        <f aca="false">IF(ABS(t-ROUND(t,0))&lt;0.001,t,NA())</f>
        <v>#N/A</v>
      </c>
      <c r="AD923" s="425" t="e">
        <f aca="false">IF(ABS(t-ROUND(t,0))&lt;0.001,pos_x,NA())</f>
        <v>#N/A</v>
      </c>
      <c r="AE923" s="426" t="e">
        <f aca="false">IF(t&lt;T_para, pos_z, NA())</f>
        <v>#N/A</v>
      </c>
      <c r="AF923" s="412"/>
      <c r="AG923" s="418" t="n">
        <f aca="false">IF(AND(L922&lt;L_rampe,Poussee&lt;Poids*SIN(M922)),0,(-W922+Poussee)/m-Poids*SIN(M922)/m)</f>
        <v>1.88542624312974</v>
      </c>
      <c r="AH923" s="417" t="n">
        <f aca="false">IF(AND(L922&lt;L_rampe,Poussee&lt;Poids*SIN(M922)), g*SIN(M922), (-W922+Poussee)/m)</f>
        <v>-7.87501169204389</v>
      </c>
    </row>
    <row r="924" customFormat="false" ht="12" hidden="false" customHeight="false" outlineLevel="0" collapsed="false">
      <c r="A924" s="416" t="n">
        <f aca="false">IF(B923+0.01&lt;=T_ini+ROUNDUP(Temps_fin_propu,0), 0.01, IF(K923&gt;0, 0.1, 0.0001))</f>
        <v>0.0001</v>
      </c>
      <c r="B924" s="417" t="n">
        <f aca="false">B923+pas</f>
        <v>36.3197000000009</v>
      </c>
      <c r="C924" s="401"/>
      <c r="D924" s="418" t="n">
        <f aca="false">IF(AND(L923&lt;L_rampe,Poussee&lt;Poids*SIN(M923)),0,(-W923+Poussee)/m*COS(M923)-U923/m*SIN(M923))</f>
        <v>-0.790597812527355</v>
      </c>
      <c r="E924" s="419" t="n">
        <f aca="false">IF(AND(L923&lt;L_rampe,Poussee&lt;Poids*SIN(M923)),0,(-W923+Poussee)/m*SIN(M923)+U923/m*COS(M923)-Poids/m)</f>
        <v>-1.97474032181838</v>
      </c>
      <c r="F924" s="417" t="n">
        <f aca="false">SQRT(acc_x^2+acc_z^2)</f>
        <v>2.12712111544886</v>
      </c>
      <c r="G924" s="418" t="n">
        <f aca="false">G923+acc_x*pas</f>
        <v>12.4614374609473</v>
      </c>
      <c r="H924" s="419" t="n">
        <f aca="false">H923+acc_z*pas</f>
        <v>-123.50068833895</v>
      </c>
      <c r="I924" s="417" t="n">
        <f aca="false">SQRT(vit_x^2+vit_z^2)</f>
        <v>124.127786751346</v>
      </c>
      <c r="J924" s="418" t="n">
        <f aca="false">J923+0.5*(vit_x+G923)*pas*(K923&gt;=0)</f>
        <v>913.614336176273</v>
      </c>
      <c r="K924" s="419" t="n">
        <f aca="false">K923+0.5*(vit_z+H923)*pas</f>
        <v>-11.1386396188757</v>
      </c>
      <c r="L924" s="417" t="n">
        <f aca="false">SQRT(pos_x^2+pos_z^2)</f>
        <v>913.682233908141</v>
      </c>
      <c r="M924" s="418" t="n">
        <f aca="false">IF(AND(L923&gt;L_rampe,G924&gt;0),ATAN2(G924,H924),$M$4)</f>
        <v>-1.47023491738475</v>
      </c>
      <c r="N924" s="417" t="n">
        <f aca="false">DEGREES(Beta)</f>
        <v>-84.2382556589117</v>
      </c>
      <c r="O924" s="401"/>
      <c r="P924" s="420" t="n">
        <f aca="false">MATCH(t-pas/2-T_ini,CdP_t)</f>
        <v>23</v>
      </c>
      <c r="Q924" s="417" t="n">
        <f aca="false">(INDEX(CdP,2,i_P+1)-INDEX(CdP,2,i_P+0))/(INDEX(CdP,1,i_P+1)-INDEX(CdP,1,i_P+0))*(t-pas/2-T_ini-INDEX(CdP,1,i_P+0))+INDEX(CdP,2,i_P+0)</f>
        <v>0</v>
      </c>
      <c r="R924" s="418" t="n">
        <f aca="false">Poussee/(g*ISP)</f>
        <v>0</v>
      </c>
      <c r="S924" s="419" t="n">
        <f aca="false">S923-Débit*pas</f>
        <v>7.37799999999998</v>
      </c>
      <c r="T924" s="417" t="n">
        <f aca="false">m*g</f>
        <v>72.3781799999998</v>
      </c>
      <c r="U924" s="421" t="n">
        <f aca="false">IF(pos_xz&lt;L_rampe,Poids*COS(Beta),0)</f>
        <v>0</v>
      </c>
      <c r="V924" s="418" t="n">
        <f aca="false">Rho_moyen*(20000-Alt_rampe-pos_z)/(20000+Alt_rampe+pos_z)</f>
        <v>1.22636524370119</v>
      </c>
      <c r="W924" s="417" t="n">
        <f aca="false">1/2*Rho*Sref*Cx*vit_xz^2</f>
        <v>58.1023327884492</v>
      </c>
      <c r="X924" s="401"/>
      <c r="Y924" s="422" t="str">
        <f aca="false">IF(AND(pos_z&lt;=0,K923&gt;0),"Impact balistique","") &amp; IF(AND(H925&lt;0,vit_z&gt;=0),"Apogée","") &amp; IF(AND(Poussee=0,Q923&gt;0),"Fin de propulsion","") &amp; IF(AND(L925&gt;L_rampe,pos_xz&lt;=L_rampe),"Sortie de rampe","")</f>
        <v/>
      </c>
      <c r="Z924" s="423" t="str">
        <f aca="false">IF(ABS(t-T_para)&lt;pas/2,"Para","")</f>
        <v/>
      </c>
      <c r="AA924" s="424" t="str">
        <f aca="false">IF(ABS(t-T_satellite)&lt;pas/2,"Satellite","")</f>
        <v/>
      </c>
      <c r="AB924" s="412"/>
      <c r="AC924" s="420" t="e">
        <f aca="false">IF(ABS(t-ROUND(t,0))&lt;0.001,t,NA())</f>
        <v>#N/A</v>
      </c>
      <c r="AD924" s="425" t="e">
        <f aca="false">IF(ABS(t-ROUND(t,0))&lt;0.001,pos_x,NA())</f>
        <v>#N/A</v>
      </c>
      <c r="AE924" s="426" t="e">
        <f aca="false">IF(t&lt;T_para, pos_z, NA())</f>
        <v>#N/A</v>
      </c>
      <c r="AF924" s="412"/>
      <c r="AG924" s="418" t="n">
        <f aca="false">IF(AND(L923&lt;L_rampe,Poussee&lt;Poids*SIN(M923)),0,(-W923+Poussee)/m-Poids*SIN(M923)/m)</f>
        <v>1.88539337540076</v>
      </c>
      <c r="AH924" s="417" t="n">
        <f aca="false">IF(AND(L923&lt;L_rampe,Poussee&lt;Poids*SIN(M923)), g*SIN(M923), (-W923+Poussee)/m)</f>
        <v>-7.87504534118451</v>
      </c>
    </row>
    <row r="925" customFormat="false" ht="12" hidden="false" customHeight="false" outlineLevel="0" collapsed="false">
      <c r="A925" s="416" t="n">
        <f aca="false">IF(B924+0.01&lt;=T_ini+ROUNDUP(Temps_fin_propu,0), 0.01, IF(K924&gt;0, 0.1, 0.0001))</f>
        <v>0.0001</v>
      </c>
      <c r="B925" s="417" t="n">
        <f aca="false">B924+pas</f>
        <v>36.3198000000009</v>
      </c>
      <c r="C925" s="401"/>
      <c r="D925" s="418" t="n">
        <f aca="false">IF(AND(L924&lt;L_rampe,Poussee&lt;Poids*SIN(M924)),0,(-W924+Poussee)/m*COS(M924)-U924/m*SIN(M924))</f>
        <v>-0.790594973959191</v>
      </c>
      <c r="E925" s="419" t="n">
        <f aca="false">IF(AND(L924&lt;L_rampe,Poussee&lt;Poids*SIN(M924)),0,(-W924+Poussee)/m*SIN(M924)+U924/m*COS(M924)-Poids/m)</f>
        <v>-1.97470621569431</v>
      </c>
      <c r="F925" s="417" t="n">
        <f aca="false">SQRT(acc_x^2+acc_z^2)</f>
        <v>2.12708839758749</v>
      </c>
      <c r="G925" s="418" t="n">
        <f aca="false">G924+acc_x*pas</f>
        <v>12.4613584014499</v>
      </c>
      <c r="H925" s="419" t="n">
        <f aca="false">H924+acc_z*pas</f>
        <v>-123.500885809571</v>
      </c>
      <c r="I925" s="417" t="n">
        <f aca="false">SQRT(vit_x^2+vit_z^2)</f>
        <v>124.127975287435</v>
      </c>
      <c r="J925" s="418" t="n">
        <f aca="false">J924+0.5*(vit_x+G924)*pas*(K924&gt;=0)</f>
        <v>913.614336176273</v>
      </c>
      <c r="K925" s="419" t="n">
        <f aca="false">K924+0.5*(vit_z+H924)*pas</f>
        <v>-11.1509896975832</v>
      </c>
      <c r="L925" s="417" t="n">
        <f aca="false">SQRT(pos_x^2+pos_z^2)</f>
        <v>913.682384550588</v>
      </c>
      <c r="M925" s="418" t="n">
        <f aca="false">IF(AND(L924&gt;L_rampe,G925&gt;0),ATAN2(G925,H925),$M$4)</f>
        <v>-1.47023571079621</v>
      </c>
      <c r="N925" s="417" t="n">
        <f aca="false">DEGREES(Beta)</f>
        <v>-84.2383011180395</v>
      </c>
      <c r="O925" s="401"/>
      <c r="P925" s="420" t="n">
        <f aca="false">MATCH(t-pas/2-T_ini,CdP_t)</f>
        <v>23</v>
      </c>
      <c r="Q925" s="417" t="n">
        <f aca="false">(INDEX(CdP,2,i_P+1)-INDEX(CdP,2,i_P+0))/(INDEX(CdP,1,i_P+1)-INDEX(CdP,1,i_P+0))*(t-pas/2-T_ini-INDEX(CdP,1,i_P+0))+INDEX(CdP,2,i_P+0)</f>
        <v>0</v>
      </c>
      <c r="R925" s="418" t="n">
        <f aca="false">Poussee/(g*ISP)</f>
        <v>0</v>
      </c>
      <c r="S925" s="419" t="n">
        <f aca="false">S924-Débit*pas</f>
        <v>7.37799999999998</v>
      </c>
      <c r="T925" s="417" t="n">
        <f aca="false">m*g</f>
        <v>72.3781799999998</v>
      </c>
      <c r="U925" s="421" t="n">
        <f aca="false">IF(pos_xz&lt;L_rampe,Poids*COS(Beta),0)</f>
        <v>0</v>
      </c>
      <c r="V925" s="418" t="n">
        <f aca="false">Rho_moyen*(20000-Alt_rampe-pos_z)/(20000+Alt_rampe+pos_z)</f>
        <v>1.22636675827333</v>
      </c>
      <c r="W925" s="417" t="n">
        <f aca="false">1/2*Rho*Sref*Cx*vit_xz^2</f>
        <v>58.1025810474697</v>
      </c>
      <c r="X925" s="401"/>
      <c r="Y925" s="422" t="str">
        <f aca="false">IF(AND(pos_z&lt;=0,K924&gt;0),"Impact balistique","") &amp; IF(AND(H926&lt;0,vit_z&gt;=0),"Apogée","") &amp; IF(AND(Poussee=0,Q924&gt;0),"Fin de propulsion","") &amp; IF(AND(L926&gt;L_rampe,pos_xz&lt;=L_rampe),"Sortie de rampe","")</f>
        <v/>
      </c>
      <c r="Z925" s="423" t="str">
        <f aca="false">IF(ABS(t-T_para)&lt;pas/2,"Para","")</f>
        <v/>
      </c>
      <c r="AA925" s="424" t="str">
        <f aca="false">IF(ABS(t-T_satellite)&lt;pas/2,"Satellite","")</f>
        <v/>
      </c>
      <c r="AB925" s="412"/>
      <c r="AC925" s="420" t="e">
        <f aca="false">IF(ABS(t-ROUND(t,0))&lt;0.001,t,NA())</f>
        <v>#N/A</v>
      </c>
      <c r="AD925" s="425" t="e">
        <f aca="false">IF(ABS(t-ROUND(t,0))&lt;0.001,pos_x,NA())</f>
        <v>#N/A</v>
      </c>
      <c r="AE925" s="426" t="e">
        <f aca="false">IF(t&lt;T_para, pos_z, NA())</f>
        <v>#N/A</v>
      </c>
      <c r="AF925" s="412"/>
      <c r="AG925" s="418" t="n">
        <f aca="false">IF(AND(L924&lt;L_rampe,Poussee&lt;Poids*SIN(M924)),0,(-W924+Poussee)/m-Poids*SIN(M924)/m)</f>
        <v>1.88536050795236</v>
      </c>
      <c r="AH925" s="417" t="n">
        <f aca="false">IF(AND(L924&lt;L_rampe,Poussee&lt;Poids*SIN(M924)), g*SIN(M924), (-W924+Poussee)/m)</f>
        <v>-7.87507899003108</v>
      </c>
    </row>
    <row r="926" customFormat="false" ht="12" hidden="false" customHeight="false" outlineLevel="0" collapsed="false">
      <c r="A926" s="416" t="n">
        <f aca="false">IF(B925+0.01&lt;=T_ini+ROUNDUP(Temps_fin_propu,0), 0.01, IF(K925&gt;0, 0.1, 0.0001))</f>
        <v>0.0001</v>
      </c>
      <c r="B926" s="417" t="n">
        <f aca="false">B925+pas</f>
        <v>36.3199000000009</v>
      </c>
      <c r="C926" s="401"/>
      <c r="D926" s="418" t="n">
        <f aca="false">IF(AND(L925&lt;L_rampe,Poussee&lt;Poids*SIN(M925)),0,(-W925+Poussee)/m*COS(M925)-U925/m*SIN(M925))</f>
        <v>-0.790592135366212</v>
      </c>
      <c r="E926" s="419" t="n">
        <f aca="false">IF(AND(L925&lt;L_rampe,Poussee&lt;Poids*SIN(M925)),0,(-W925+Poussee)/m*SIN(M925)+U925/m*COS(M925)-Poids/m)</f>
        <v>-1.97467210986826</v>
      </c>
      <c r="F926" s="417" t="n">
        <f aca="false">SQRT(acc_x^2+acc_z^2)</f>
        <v>2.12705568004095</v>
      </c>
      <c r="G926" s="418" t="n">
        <f aca="false">G925+acc_x*pas</f>
        <v>12.4612793422363</v>
      </c>
      <c r="H926" s="419" t="n">
        <f aca="false">H925+acc_z*pas</f>
        <v>-123.501083276782</v>
      </c>
      <c r="I926" s="417" t="n">
        <f aca="false">SQRT(vit_x^2+vit_z^2)</f>
        <v>124.128163820239</v>
      </c>
      <c r="J926" s="418" t="n">
        <f aca="false">J925+0.5*(vit_x+G925)*pas*(K925&gt;=0)</f>
        <v>913.614336176273</v>
      </c>
      <c r="K926" s="419" t="n">
        <f aca="false">K925+0.5*(vit_z+H925)*pas</f>
        <v>-11.1633397960375</v>
      </c>
      <c r="L926" s="417" t="n">
        <f aca="false">SQRT(pos_x^2+pos_z^2)</f>
        <v>913.682535360184</v>
      </c>
      <c r="M926" s="418" t="n">
        <f aca="false">IF(AND(L925&gt;L_rampe,G926&gt;0),ATAN2(G926,H926),$M$4)</f>
        <v>-1.47023650420022</v>
      </c>
      <c r="N926" s="417" t="n">
        <f aca="false">DEGREES(Beta)</f>
        <v>-84.2383465767408</v>
      </c>
      <c r="O926" s="401"/>
      <c r="P926" s="420" t="n">
        <f aca="false">MATCH(t-pas/2-T_ini,CdP_t)</f>
        <v>23</v>
      </c>
      <c r="Q926" s="417" t="n">
        <f aca="false">(INDEX(CdP,2,i_P+1)-INDEX(CdP,2,i_P+0))/(INDEX(CdP,1,i_P+1)-INDEX(CdP,1,i_P+0))*(t-pas/2-T_ini-INDEX(CdP,1,i_P+0))+INDEX(CdP,2,i_P+0)</f>
        <v>0</v>
      </c>
      <c r="R926" s="418" t="n">
        <f aca="false">Poussee/(g*ISP)</f>
        <v>0</v>
      </c>
      <c r="S926" s="419" t="n">
        <f aca="false">S925-Débit*pas</f>
        <v>7.37799999999998</v>
      </c>
      <c r="T926" s="417" t="n">
        <f aca="false">m*g</f>
        <v>72.3781799999998</v>
      </c>
      <c r="U926" s="421" t="n">
        <f aca="false">IF(pos_xz&lt;L_rampe,Poids*COS(Beta),0)</f>
        <v>0</v>
      </c>
      <c r="V926" s="418" t="n">
        <f aca="false">Rho_moyen*(20000-Alt_rampe-pos_z)/(20000+Alt_rampe+pos_z)</f>
        <v>1.22636827284975</v>
      </c>
      <c r="W926" s="417" t="n">
        <f aca="false">1/2*Rho*Sref*Cx*vit_xz^2</f>
        <v>58.1028293043207</v>
      </c>
      <c r="X926" s="401"/>
      <c r="Y926" s="422" t="str">
        <f aca="false">IF(AND(pos_z&lt;=0,K925&gt;0),"Impact balistique","") &amp; IF(AND(H927&lt;0,vit_z&gt;=0),"Apogée","") &amp; IF(AND(Poussee=0,Q925&gt;0),"Fin de propulsion","") &amp; IF(AND(L927&gt;L_rampe,pos_xz&lt;=L_rampe),"Sortie de rampe","")</f>
        <v/>
      </c>
      <c r="Z926" s="423" t="str">
        <f aca="false">IF(ABS(t-T_para)&lt;pas/2,"Para","")</f>
        <v/>
      </c>
      <c r="AA926" s="424" t="str">
        <f aca="false">IF(ABS(t-T_satellite)&lt;pas/2,"Satellite","")</f>
        <v/>
      </c>
      <c r="AB926" s="412"/>
      <c r="AC926" s="420" t="e">
        <f aca="false">IF(ABS(t-ROUND(t,0))&lt;0.001,t,NA())</f>
        <v>#N/A</v>
      </c>
      <c r="AD926" s="425" t="e">
        <f aca="false">IF(ABS(t-ROUND(t,0))&lt;0.001,pos_x,NA())</f>
        <v>#N/A</v>
      </c>
      <c r="AE926" s="426" t="e">
        <f aca="false">IF(t&lt;T_para, pos_z, NA())</f>
        <v>#N/A</v>
      </c>
      <c r="AF926" s="412"/>
      <c r="AG926" s="418" t="n">
        <f aca="false">IF(AND(L925&lt;L_rampe,Poussee&lt;Poids*SIN(M925)),0,(-W925+Poussee)/m-Poids*SIN(M925)/m)</f>
        <v>1.88532764078452</v>
      </c>
      <c r="AH926" s="417" t="n">
        <f aca="false">IF(AND(L925&lt;L_rampe,Poussee&lt;Poids*SIN(M925)), g*SIN(M925), (-W925+Poussee)/m)</f>
        <v>-7.8751126385836</v>
      </c>
    </row>
    <row r="927" customFormat="false" ht="12" hidden="false" customHeight="false" outlineLevel="0" collapsed="false">
      <c r="A927" s="416" t="n">
        <f aca="false">IF(B926+0.01&lt;=T_ini+ROUNDUP(Temps_fin_propu,0), 0.01, IF(K926&gt;0, 0.1, 0.0001))</f>
        <v>0.0001</v>
      </c>
      <c r="B927" s="417" t="n">
        <f aca="false">B926+pas</f>
        <v>36.3200000000009</v>
      </c>
      <c r="C927" s="401"/>
      <c r="D927" s="418" t="n">
        <f aca="false">IF(AND(L926&lt;L_rampe,Poussee&lt;Poids*SIN(M926)),0,(-W926+Poussee)/m*COS(M926)-U926/m*SIN(M926))</f>
        <v>-0.790589296748415</v>
      </c>
      <c r="E927" s="419" t="n">
        <f aca="false">IF(AND(L926&lt;L_rampe,Poussee&lt;Poids*SIN(M926)),0,(-W926+Poussee)/m*SIN(M926)+U926/m*COS(M926)-Poids/m)</f>
        <v>-1.97463800434024</v>
      </c>
      <c r="F927" s="417" t="n">
        <f aca="false">SQRT(acc_x^2+acc_z^2)</f>
        <v>2.12702296280928</v>
      </c>
      <c r="G927" s="418" t="n">
        <f aca="false">G926+acc_x*pas</f>
        <v>12.4612002833067</v>
      </c>
      <c r="H927" s="419" t="n">
        <f aca="false">H926+acc_z*pas</f>
        <v>-123.501280740583</v>
      </c>
      <c r="I927" s="417" t="n">
        <f aca="false">SQRT(vit_x^2+vit_z^2)</f>
        <v>124.128352349755</v>
      </c>
      <c r="J927" s="418" t="n">
        <f aca="false">J926+0.5*(vit_x+G926)*pas*(K926&gt;=0)</f>
        <v>913.614336176273</v>
      </c>
      <c r="K927" s="419" t="n">
        <f aca="false">K926+0.5*(vit_z+H926)*pas</f>
        <v>-11.1756899142384</v>
      </c>
      <c r="L927" s="417" t="n">
        <f aca="false">SQRT(pos_x^2+pos_z^2)</f>
        <v>913.682686336931</v>
      </c>
      <c r="M927" s="418" t="n">
        <f aca="false">IF(AND(L926&gt;L_rampe,G927&gt;0),ATAN2(G927,H927),$M$4)</f>
        <v>-1.47023729759679</v>
      </c>
      <c r="N927" s="417" t="n">
        <f aca="false">DEGREES(Beta)</f>
        <v>-84.2383920350156</v>
      </c>
      <c r="O927" s="401"/>
      <c r="P927" s="420" t="n">
        <f aca="false">MATCH(t-pas/2-T_ini,CdP_t)</f>
        <v>23</v>
      </c>
      <c r="Q927" s="417" t="n">
        <f aca="false">(INDEX(CdP,2,i_P+1)-INDEX(CdP,2,i_P+0))/(INDEX(CdP,1,i_P+1)-INDEX(CdP,1,i_P+0))*(t-pas/2-T_ini-INDEX(CdP,1,i_P+0))+INDEX(CdP,2,i_P+0)</f>
        <v>0</v>
      </c>
      <c r="R927" s="418" t="n">
        <f aca="false">Poussee/(g*ISP)</f>
        <v>0</v>
      </c>
      <c r="S927" s="419" t="n">
        <f aca="false">S926-Débit*pas</f>
        <v>7.37799999999998</v>
      </c>
      <c r="T927" s="417" t="n">
        <f aca="false">m*g</f>
        <v>72.3781799999998</v>
      </c>
      <c r="U927" s="421" t="n">
        <f aca="false">IF(pos_xz&lt;L_rampe,Poids*COS(Beta),0)</f>
        <v>0</v>
      </c>
      <c r="V927" s="418" t="n">
        <f aca="false">Rho_moyen*(20000-Alt_rampe-pos_z)/(20000+Alt_rampe+pos_z)</f>
        <v>1.22636978743047</v>
      </c>
      <c r="W927" s="417" t="n">
        <f aca="false">1/2*Rho*Sref*Cx*vit_xz^2</f>
        <v>58.1030775590022</v>
      </c>
      <c r="X927" s="401"/>
      <c r="Y927" s="422" t="str">
        <f aca="false">IF(AND(pos_z&lt;=0,K926&gt;0),"Impact balistique","") &amp; IF(AND(H928&lt;0,vit_z&gt;=0),"Apogée","") &amp; IF(AND(Poussee=0,Q926&gt;0),"Fin de propulsion","") &amp; IF(AND(L928&gt;L_rampe,pos_xz&lt;=L_rampe),"Sortie de rampe","")</f>
        <v/>
      </c>
      <c r="Z927" s="423" t="str">
        <f aca="false">IF(ABS(t-T_para)&lt;pas/2,"Para","")</f>
        <v/>
      </c>
      <c r="AA927" s="424" t="str">
        <f aca="false">IF(ABS(t-T_satellite)&lt;pas/2,"Satellite","")</f>
        <v/>
      </c>
      <c r="AB927" s="412"/>
      <c r="AC927" s="420" t="e">
        <f aca="false">IF(ABS(t-ROUND(t,0))&lt;0.001,t,NA())</f>
        <v>#N/A</v>
      </c>
      <c r="AD927" s="425" t="e">
        <f aca="false">IF(ABS(t-ROUND(t,0))&lt;0.001,pos_x,NA())</f>
        <v>#N/A</v>
      </c>
      <c r="AE927" s="426" t="e">
        <f aca="false">IF(t&lt;T_para, pos_z, NA())</f>
        <v>#N/A</v>
      </c>
      <c r="AF927" s="412"/>
      <c r="AG927" s="418" t="n">
        <f aca="false">IF(AND(L926&lt;L_rampe,Poussee&lt;Poids*SIN(M926)),0,(-W926+Poussee)/m-Poids*SIN(M926)/m)</f>
        <v>1.88529477389726</v>
      </c>
      <c r="AH927" s="417" t="n">
        <f aca="false">IF(AND(L926&lt;L_rampe,Poussee&lt;Poids*SIN(M926)), g*SIN(M926), (-W926+Poussee)/m)</f>
        <v>-7.87514628684207</v>
      </c>
    </row>
    <row r="928" customFormat="false" ht="12" hidden="false" customHeight="false" outlineLevel="0" collapsed="false">
      <c r="A928" s="416" t="n">
        <f aca="false">IF(B927+0.01&lt;=T_ini+ROUNDUP(Temps_fin_propu,0), 0.01, IF(K927&gt;0, 0.1, 0.0001))</f>
        <v>0.0001</v>
      </c>
      <c r="B928" s="417" t="n">
        <f aca="false">B927+pas</f>
        <v>36.3201000000009</v>
      </c>
      <c r="C928" s="401"/>
      <c r="D928" s="418" t="n">
        <f aca="false">IF(AND(L927&lt;L_rampe,Poussee&lt;Poids*SIN(M927)),0,(-W927+Poussee)/m*COS(M927)-U927/m*SIN(M927))</f>
        <v>-0.790586458105801</v>
      </c>
      <c r="E928" s="419" t="n">
        <f aca="false">IF(AND(L927&lt;L_rampe,Poussee&lt;Poids*SIN(M927)),0,(-W927+Poussee)/m*SIN(M927)+U927/m*COS(M927)-Poids/m)</f>
        <v>-1.97460389911023</v>
      </c>
      <c r="F928" s="417" t="n">
        <f aca="false">SQRT(acc_x^2+acc_z^2)</f>
        <v>2.12699024589244</v>
      </c>
      <c r="G928" s="418" t="n">
        <f aca="false">G927+acc_x*pas</f>
        <v>12.4611212246609</v>
      </c>
      <c r="H928" s="419" t="n">
        <f aca="false">H927+acc_z*pas</f>
        <v>-123.501478200973</v>
      </c>
      <c r="I928" s="417" t="n">
        <f aca="false">SQRT(vit_x^2+vit_z^2)</f>
        <v>124.128540875985</v>
      </c>
      <c r="J928" s="418" t="n">
        <f aca="false">J927+0.5*(vit_x+G927)*pas*(K927&gt;=0)</f>
        <v>913.614336176273</v>
      </c>
      <c r="K928" s="419" t="n">
        <f aca="false">K927+0.5*(vit_z+H927)*pas</f>
        <v>-11.1880400521854</v>
      </c>
      <c r="L928" s="417" t="n">
        <f aca="false">SQRT(pos_x^2+pos_z^2)</f>
        <v>913.68283748083</v>
      </c>
      <c r="M928" s="418" t="n">
        <f aca="false">IF(AND(L927&gt;L_rampe,G928&gt;0),ATAN2(G928,H928),$M$4)</f>
        <v>-1.47023809098591</v>
      </c>
      <c r="N928" s="417" t="n">
        <f aca="false">DEGREES(Beta)</f>
        <v>-84.2384374928639</v>
      </c>
      <c r="O928" s="401"/>
      <c r="P928" s="420" t="n">
        <f aca="false">MATCH(t-pas/2-T_ini,CdP_t)</f>
        <v>23</v>
      </c>
      <c r="Q928" s="417" t="n">
        <f aca="false">(INDEX(CdP,2,i_P+1)-INDEX(CdP,2,i_P+0))/(INDEX(CdP,1,i_P+1)-INDEX(CdP,1,i_P+0))*(t-pas/2-T_ini-INDEX(CdP,1,i_P+0))+INDEX(CdP,2,i_P+0)</f>
        <v>0</v>
      </c>
      <c r="R928" s="418" t="n">
        <f aca="false">Poussee/(g*ISP)</f>
        <v>0</v>
      </c>
      <c r="S928" s="419" t="n">
        <f aca="false">S927-Débit*pas</f>
        <v>7.37799999999998</v>
      </c>
      <c r="T928" s="417" t="n">
        <f aca="false">m*g</f>
        <v>72.3781799999998</v>
      </c>
      <c r="U928" s="421" t="n">
        <f aca="false">IF(pos_xz&lt;L_rampe,Poids*COS(Beta),0)</f>
        <v>0</v>
      </c>
      <c r="V928" s="418" t="n">
        <f aca="false">Rho_moyen*(20000-Alt_rampe-pos_z)/(20000+Alt_rampe+pos_z)</f>
        <v>1.22637130201549</v>
      </c>
      <c r="W928" s="417" t="n">
        <f aca="false">1/2*Rho*Sref*Cx*vit_xz^2</f>
        <v>58.1033258115143</v>
      </c>
      <c r="X928" s="401"/>
      <c r="Y928" s="422" t="str">
        <f aca="false">IF(AND(pos_z&lt;=0,K927&gt;0),"Impact balistique","") &amp; IF(AND(H929&lt;0,vit_z&gt;=0),"Apogée","") &amp; IF(AND(Poussee=0,Q927&gt;0),"Fin de propulsion","") &amp; IF(AND(L929&gt;L_rampe,pos_xz&lt;=L_rampe),"Sortie de rampe","")</f>
        <v/>
      </c>
      <c r="Z928" s="423" t="str">
        <f aca="false">IF(ABS(t-T_para)&lt;pas/2,"Para","")</f>
        <v/>
      </c>
      <c r="AA928" s="424" t="str">
        <f aca="false">IF(ABS(t-T_satellite)&lt;pas/2,"Satellite","")</f>
        <v/>
      </c>
      <c r="AB928" s="412"/>
      <c r="AC928" s="420" t="e">
        <f aca="false">IF(ABS(t-ROUND(t,0))&lt;0.001,t,NA())</f>
        <v>#N/A</v>
      </c>
      <c r="AD928" s="425" t="e">
        <f aca="false">IF(ABS(t-ROUND(t,0))&lt;0.001,pos_x,NA())</f>
        <v>#N/A</v>
      </c>
      <c r="AE928" s="426" t="e">
        <f aca="false">IF(t&lt;T_para, pos_z, NA())</f>
        <v>#N/A</v>
      </c>
      <c r="AF928" s="412"/>
      <c r="AG928" s="418" t="n">
        <f aca="false">IF(AND(L927&lt;L_rampe,Poussee&lt;Poids*SIN(M927)),0,(-W927+Poussee)/m-Poids*SIN(M927)/m)</f>
        <v>1.88526190729057</v>
      </c>
      <c r="AH928" s="417" t="n">
        <f aca="false">IF(AND(L927&lt;L_rampe,Poussee&lt;Poids*SIN(M927)), g*SIN(M927), (-W927+Poussee)/m)</f>
        <v>-7.8751799348065</v>
      </c>
    </row>
    <row r="929" customFormat="false" ht="12" hidden="false" customHeight="false" outlineLevel="0" collapsed="false">
      <c r="A929" s="416" t="n">
        <f aca="false">IF(B928+0.01&lt;=T_ini+ROUNDUP(Temps_fin_propu,0), 0.01, IF(K928&gt;0, 0.1, 0.0001))</f>
        <v>0.0001</v>
      </c>
      <c r="B929" s="417" t="n">
        <f aca="false">B928+pas</f>
        <v>36.3202000000009</v>
      </c>
      <c r="C929" s="401"/>
      <c r="D929" s="418" t="n">
        <f aca="false">IF(AND(L928&lt;L_rampe,Poussee&lt;Poids*SIN(M928)),0,(-W928+Poussee)/m*COS(M928)-U928/m*SIN(M928))</f>
        <v>-0.790583619438373</v>
      </c>
      <c r="E929" s="419" t="n">
        <f aca="false">IF(AND(L928&lt;L_rampe,Poussee&lt;Poids*SIN(M928)),0,(-W928+Poussee)/m*SIN(M928)+U928/m*COS(M928)-Poids/m)</f>
        <v>-1.97456979417824</v>
      </c>
      <c r="F929" s="417" t="n">
        <f aca="false">SQRT(acc_x^2+acc_z^2)</f>
        <v>2.12695752929046</v>
      </c>
      <c r="G929" s="418" t="n">
        <f aca="false">G928+acc_x*pas</f>
        <v>12.4610421662989</v>
      </c>
      <c r="H929" s="419" t="n">
        <f aca="false">H928+acc_z*pas</f>
        <v>-123.501675657952</v>
      </c>
      <c r="I929" s="417" t="n">
        <f aca="false">SQRT(vit_x^2+vit_z^2)</f>
        <v>124.128729398928</v>
      </c>
      <c r="J929" s="418" t="n">
        <f aca="false">J928+0.5*(vit_x+G928)*pas*(K928&gt;=0)</f>
        <v>913.614336176273</v>
      </c>
      <c r="K929" s="419" t="n">
        <f aca="false">K928+0.5*(vit_z+H928)*pas</f>
        <v>-11.2003902098784</v>
      </c>
      <c r="L929" s="417" t="n">
        <f aca="false">SQRT(pos_x^2+pos_z^2)</f>
        <v>913.682988791882</v>
      </c>
      <c r="M929" s="418" t="n">
        <f aca="false">IF(AND(L928&gt;L_rampe,G929&gt;0),ATAN2(G929,H929),$M$4)</f>
        <v>-1.47023888436759</v>
      </c>
      <c r="N929" s="417" t="n">
        <f aca="false">DEGREES(Beta)</f>
        <v>-84.2384829502857</v>
      </c>
      <c r="O929" s="401"/>
      <c r="P929" s="420" t="n">
        <f aca="false">MATCH(t-pas/2-T_ini,CdP_t)</f>
        <v>23</v>
      </c>
      <c r="Q929" s="417" t="n">
        <f aca="false">(INDEX(CdP,2,i_P+1)-INDEX(CdP,2,i_P+0))/(INDEX(CdP,1,i_P+1)-INDEX(CdP,1,i_P+0))*(t-pas/2-T_ini-INDEX(CdP,1,i_P+0))+INDEX(CdP,2,i_P+0)</f>
        <v>0</v>
      </c>
      <c r="R929" s="418" t="n">
        <f aca="false">Poussee/(g*ISP)</f>
        <v>0</v>
      </c>
      <c r="S929" s="419" t="n">
        <f aca="false">S928-Débit*pas</f>
        <v>7.37799999999998</v>
      </c>
      <c r="T929" s="417" t="n">
        <f aca="false">m*g</f>
        <v>72.3781799999998</v>
      </c>
      <c r="U929" s="421" t="n">
        <f aca="false">IF(pos_xz&lt;L_rampe,Poids*COS(Beta),0)</f>
        <v>0</v>
      </c>
      <c r="V929" s="418" t="n">
        <f aca="false">Rho_moyen*(20000-Alt_rampe-pos_z)/(20000+Alt_rampe+pos_z)</f>
        <v>1.22637281660479</v>
      </c>
      <c r="W929" s="417" t="n">
        <f aca="false">1/2*Rho*Sref*Cx*vit_xz^2</f>
        <v>58.1035740618568</v>
      </c>
      <c r="X929" s="401"/>
      <c r="Y929" s="422" t="str">
        <f aca="false">IF(AND(pos_z&lt;=0,K928&gt;0),"Impact balistique","") &amp; IF(AND(H930&lt;0,vit_z&gt;=0),"Apogée","") &amp; IF(AND(Poussee=0,Q928&gt;0),"Fin de propulsion","") &amp; IF(AND(L930&gt;L_rampe,pos_xz&lt;=L_rampe),"Sortie de rampe","")</f>
        <v/>
      </c>
      <c r="Z929" s="423" t="str">
        <f aca="false">IF(ABS(t-T_para)&lt;pas/2,"Para","")</f>
        <v/>
      </c>
      <c r="AA929" s="424" t="str">
        <f aca="false">IF(ABS(t-T_satellite)&lt;pas/2,"Satellite","")</f>
        <v/>
      </c>
      <c r="AB929" s="412"/>
      <c r="AC929" s="420" t="e">
        <f aca="false">IF(ABS(t-ROUND(t,0))&lt;0.001,t,NA())</f>
        <v>#N/A</v>
      </c>
      <c r="AD929" s="425" t="e">
        <f aca="false">IF(ABS(t-ROUND(t,0))&lt;0.001,pos_x,NA())</f>
        <v>#N/A</v>
      </c>
      <c r="AE929" s="426" t="e">
        <f aca="false">IF(t&lt;T_para, pos_z, NA())</f>
        <v>#N/A</v>
      </c>
      <c r="AF929" s="412"/>
      <c r="AG929" s="418" t="n">
        <f aca="false">IF(AND(L928&lt;L_rampe,Poussee&lt;Poids*SIN(M928)),0,(-W928+Poussee)/m-Poids*SIN(M928)/m)</f>
        <v>1.88522904096446</v>
      </c>
      <c r="AH929" s="417" t="n">
        <f aca="false">IF(AND(L928&lt;L_rampe,Poussee&lt;Poids*SIN(M928)), g*SIN(M928), (-W928+Poussee)/m)</f>
        <v>-7.87521358247688</v>
      </c>
    </row>
    <row r="930" customFormat="false" ht="12" hidden="false" customHeight="false" outlineLevel="0" collapsed="false">
      <c r="A930" s="416" t="n">
        <f aca="false">IF(B929+0.01&lt;=T_ini+ROUNDUP(Temps_fin_propu,0), 0.01, IF(K929&gt;0, 0.1, 0.0001))</f>
        <v>0.0001</v>
      </c>
      <c r="B930" s="417" t="n">
        <f aca="false">B929+pas</f>
        <v>36.3203000000009</v>
      </c>
      <c r="C930" s="401"/>
      <c r="D930" s="418" t="n">
        <f aca="false">IF(AND(L929&lt;L_rampe,Poussee&lt;Poids*SIN(M929)),0,(-W929+Poussee)/m*COS(M929)-U929/m*SIN(M929))</f>
        <v>-0.79058078074613</v>
      </c>
      <c r="E930" s="419" t="n">
        <f aca="false">IF(AND(L929&lt;L_rampe,Poussee&lt;Poids*SIN(M929)),0,(-W929+Poussee)/m*SIN(M929)+U929/m*COS(M929)-Poids/m)</f>
        <v>-1.97453568954427</v>
      </c>
      <c r="F930" s="417" t="n">
        <f aca="false">SQRT(acc_x^2+acc_z^2)</f>
        <v>2.12692481300333</v>
      </c>
      <c r="G930" s="418" t="n">
        <f aca="false">G929+acc_x*pas</f>
        <v>12.4609631082208</v>
      </c>
      <c r="H930" s="419" t="n">
        <f aca="false">H929+acc_z*pas</f>
        <v>-123.501873111521</v>
      </c>
      <c r="I930" s="417" t="n">
        <f aca="false">SQRT(vit_x^2+vit_z^2)</f>
        <v>124.128917918585</v>
      </c>
      <c r="J930" s="418" t="n">
        <f aca="false">J929+0.5*(vit_x+G929)*pas*(K929&gt;=0)</f>
        <v>913.614336176273</v>
      </c>
      <c r="K930" s="419" t="n">
        <f aca="false">K929+0.5*(vit_z+H929)*pas</f>
        <v>-11.2127403873169</v>
      </c>
      <c r="L930" s="417" t="n">
        <f aca="false">SQRT(pos_x^2+pos_z^2)</f>
        <v>913.683140270086</v>
      </c>
      <c r="M930" s="418" t="n">
        <f aca="false">IF(AND(L929&gt;L_rampe,G930&gt;0),ATAN2(G930,H930),$M$4)</f>
        <v>-1.47023967774183</v>
      </c>
      <c r="N930" s="417" t="n">
        <f aca="false">DEGREES(Beta)</f>
        <v>-84.238528407281</v>
      </c>
      <c r="O930" s="401"/>
      <c r="P930" s="420" t="n">
        <f aca="false">MATCH(t-pas/2-T_ini,CdP_t)</f>
        <v>23</v>
      </c>
      <c r="Q930" s="417" t="n">
        <f aca="false">(INDEX(CdP,2,i_P+1)-INDEX(CdP,2,i_P+0))/(INDEX(CdP,1,i_P+1)-INDEX(CdP,1,i_P+0))*(t-pas/2-T_ini-INDEX(CdP,1,i_P+0))+INDEX(CdP,2,i_P+0)</f>
        <v>0</v>
      </c>
      <c r="R930" s="418" t="n">
        <f aca="false">Poussee/(g*ISP)</f>
        <v>0</v>
      </c>
      <c r="S930" s="419" t="n">
        <f aca="false">S929-Débit*pas</f>
        <v>7.37799999999998</v>
      </c>
      <c r="T930" s="417" t="n">
        <f aca="false">m*g</f>
        <v>72.3781799999998</v>
      </c>
      <c r="U930" s="421" t="n">
        <f aca="false">IF(pos_xz&lt;L_rampe,Poids*COS(Beta),0)</f>
        <v>0</v>
      </c>
      <c r="V930" s="418" t="n">
        <f aca="false">Rho_moyen*(20000-Alt_rampe-pos_z)/(20000+Alt_rampe+pos_z)</f>
        <v>1.22637433119839</v>
      </c>
      <c r="W930" s="417" t="n">
        <f aca="false">1/2*Rho*Sref*Cx*vit_xz^2</f>
        <v>58.10382231003</v>
      </c>
      <c r="X930" s="401"/>
      <c r="Y930" s="422" t="str">
        <f aca="false">IF(AND(pos_z&lt;=0,K929&gt;0),"Impact balistique","") &amp; IF(AND(H931&lt;0,vit_z&gt;=0),"Apogée","") &amp; IF(AND(Poussee=0,Q929&gt;0),"Fin de propulsion","") &amp; IF(AND(L931&gt;L_rampe,pos_xz&lt;=L_rampe),"Sortie de rampe","")</f>
        <v/>
      </c>
      <c r="Z930" s="423" t="str">
        <f aca="false">IF(ABS(t-T_para)&lt;pas/2,"Para","")</f>
        <v/>
      </c>
      <c r="AA930" s="424" t="str">
        <f aca="false">IF(ABS(t-T_satellite)&lt;pas/2,"Satellite","")</f>
        <v/>
      </c>
      <c r="AB930" s="412"/>
      <c r="AC930" s="420" t="e">
        <f aca="false">IF(ABS(t-ROUND(t,0))&lt;0.001,t,NA())</f>
        <v>#N/A</v>
      </c>
      <c r="AD930" s="425" t="e">
        <f aca="false">IF(ABS(t-ROUND(t,0))&lt;0.001,pos_x,NA())</f>
        <v>#N/A</v>
      </c>
      <c r="AE930" s="426" t="e">
        <f aca="false">IF(t&lt;T_para, pos_z, NA())</f>
        <v>#N/A</v>
      </c>
      <c r="AF930" s="412"/>
      <c r="AG930" s="418" t="n">
        <f aca="false">IF(AND(L929&lt;L_rampe,Poussee&lt;Poids*SIN(M929)),0,(-W929+Poussee)/m-Poids*SIN(M929)/m)</f>
        <v>1.88519617491892</v>
      </c>
      <c r="AH930" s="417" t="n">
        <f aca="false">IF(AND(L929&lt;L_rampe,Poussee&lt;Poids*SIN(M929)), g*SIN(M929), (-W929+Poussee)/m)</f>
        <v>-7.87524722985321</v>
      </c>
    </row>
    <row r="931" customFormat="false" ht="12" hidden="false" customHeight="false" outlineLevel="0" collapsed="false">
      <c r="A931" s="416" t="n">
        <f aca="false">IF(B930+0.01&lt;=T_ini+ROUNDUP(Temps_fin_propu,0), 0.01, IF(K930&gt;0, 0.1, 0.0001))</f>
        <v>0.0001</v>
      </c>
      <c r="B931" s="417" t="n">
        <f aca="false">B930+pas</f>
        <v>36.3204000000009</v>
      </c>
      <c r="C931" s="401"/>
      <c r="D931" s="418" t="n">
        <f aca="false">IF(AND(L930&lt;L_rampe,Poussee&lt;Poids*SIN(M930)),0,(-W930+Poussee)/m*COS(M930)-U930/m*SIN(M930))</f>
        <v>-0.790577942029072</v>
      </c>
      <c r="E931" s="419" t="n">
        <f aca="false">IF(AND(L930&lt;L_rampe,Poussee&lt;Poids*SIN(M930)),0,(-W930+Poussee)/m*SIN(M930)+U930/m*COS(M930)-Poids/m)</f>
        <v>-1.97450158520832</v>
      </c>
      <c r="F931" s="417" t="n">
        <f aca="false">SQRT(acc_x^2+acc_z^2)</f>
        <v>2.12689209703104</v>
      </c>
      <c r="G931" s="418" t="n">
        <f aca="false">G930+acc_x*pas</f>
        <v>12.4608840504266</v>
      </c>
      <c r="H931" s="419" t="n">
        <f aca="false">H930+acc_z*pas</f>
        <v>-123.50207056168</v>
      </c>
      <c r="I931" s="417" t="n">
        <f aca="false">SQRT(vit_x^2+vit_z^2)</f>
        <v>124.129106434955</v>
      </c>
      <c r="J931" s="418" t="n">
        <f aca="false">J930+0.5*(vit_x+G930)*pas*(K930&gt;=0)</f>
        <v>913.614336176273</v>
      </c>
      <c r="K931" s="419" t="n">
        <f aca="false">K930+0.5*(vit_z+H930)*pas</f>
        <v>-11.2250905845005</v>
      </c>
      <c r="L931" s="417" t="n">
        <f aca="false">SQRT(pos_x^2+pos_z^2)</f>
        <v>913.683291915444</v>
      </c>
      <c r="M931" s="418" t="n">
        <f aca="false">IF(AND(L930&gt;L_rampe,G931&gt;0),ATAN2(G931,H931),$M$4)</f>
        <v>-1.47024047110862</v>
      </c>
      <c r="N931" s="417" t="n">
        <f aca="false">DEGREES(Beta)</f>
        <v>-84.2385738638499</v>
      </c>
      <c r="O931" s="401"/>
      <c r="P931" s="420" t="n">
        <f aca="false">MATCH(t-pas/2-T_ini,CdP_t)</f>
        <v>23</v>
      </c>
      <c r="Q931" s="417" t="n">
        <f aca="false">(INDEX(CdP,2,i_P+1)-INDEX(CdP,2,i_P+0))/(INDEX(CdP,1,i_P+1)-INDEX(CdP,1,i_P+0))*(t-pas/2-T_ini-INDEX(CdP,1,i_P+0))+INDEX(CdP,2,i_P+0)</f>
        <v>0</v>
      </c>
      <c r="R931" s="418" t="n">
        <f aca="false">Poussee/(g*ISP)</f>
        <v>0</v>
      </c>
      <c r="S931" s="419" t="n">
        <f aca="false">S930-Débit*pas</f>
        <v>7.37799999999998</v>
      </c>
      <c r="T931" s="417" t="n">
        <f aca="false">m*g</f>
        <v>72.3781799999998</v>
      </c>
      <c r="U931" s="421" t="n">
        <f aca="false">IF(pos_xz&lt;L_rampe,Poids*COS(Beta),0)</f>
        <v>0</v>
      </c>
      <c r="V931" s="418" t="n">
        <f aca="false">Rho_moyen*(20000-Alt_rampe-pos_z)/(20000+Alt_rampe+pos_z)</f>
        <v>1.22637584579629</v>
      </c>
      <c r="W931" s="417" t="n">
        <f aca="false">1/2*Rho*Sref*Cx*vit_xz^2</f>
        <v>58.1040705560336</v>
      </c>
      <c r="X931" s="401"/>
      <c r="Y931" s="422" t="str">
        <f aca="false">IF(AND(pos_z&lt;=0,K930&gt;0),"Impact balistique","") &amp; IF(AND(H932&lt;0,vit_z&gt;=0),"Apogée","") &amp; IF(AND(Poussee=0,Q930&gt;0),"Fin de propulsion","") &amp; IF(AND(L932&gt;L_rampe,pos_xz&lt;=L_rampe),"Sortie de rampe","")</f>
        <v/>
      </c>
      <c r="Z931" s="423" t="str">
        <f aca="false">IF(ABS(t-T_para)&lt;pas/2,"Para","")</f>
        <v/>
      </c>
      <c r="AA931" s="424" t="str">
        <f aca="false">IF(ABS(t-T_satellite)&lt;pas/2,"Satellite","")</f>
        <v/>
      </c>
      <c r="AB931" s="412"/>
      <c r="AC931" s="420" t="e">
        <f aca="false">IF(ABS(t-ROUND(t,0))&lt;0.001,t,NA())</f>
        <v>#N/A</v>
      </c>
      <c r="AD931" s="425" t="e">
        <f aca="false">IF(ABS(t-ROUND(t,0))&lt;0.001,pos_x,NA())</f>
        <v>#N/A</v>
      </c>
      <c r="AE931" s="426" t="e">
        <f aca="false">IF(t&lt;T_para, pos_z, NA())</f>
        <v>#N/A</v>
      </c>
      <c r="AF931" s="412"/>
      <c r="AG931" s="418" t="n">
        <f aca="false">IF(AND(L930&lt;L_rampe,Poussee&lt;Poids*SIN(M930)),0,(-W930+Poussee)/m-Poids*SIN(M930)/m)</f>
        <v>1.88516330915395</v>
      </c>
      <c r="AH931" s="417" t="n">
        <f aca="false">IF(AND(L930&lt;L_rampe,Poussee&lt;Poids*SIN(M930)), g*SIN(M930), (-W930+Poussee)/m)</f>
        <v>-7.87528087693549</v>
      </c>
    </row>
    <row r="932" customFormat="false" ht="12" hidden="false" customHeight="false" outlineLevel="0" collapsed="false">
      <c r="A932" s="416" t="n">
        <f aca="false">IF(B931+0.01&lt;=T_ini+ROUNDUP(Temps_fin_propu,0), 0.01, IF(K931&gt;0, 0.1, 0.0001))</f>
        <v>0.0001</v>
      </c>
      <c r="B932" s="417" t="n">
        <f aca="false">B931+pas</f>
        <v>36.3205000000009</v>
      </c>
      <c r="C932" s="401"/>
      <c r="D932" s="418" t="n">
        <f aca="false">IF(AND(L931&lt;L_rampe,Poussee&lt;Poids*SIN(M931)),0,(-W931+Poussee)/m*COS(M931)-U931/m*SIN(M931))</f>
        <v>-0.790575103287202</v>
      </c>
      <c r="E932" s="419" t="n">
        <f aca="false">IF(AND(L931&lt;L_rampe,Poussee&lt;Poids*SIN(M931)),0,(-W931+Poussee)/m*SIN(M931)+U931/m*COS(M931)-Poids/m)</f>
        <v>-1.97446748117038</v>
      </c>
      <c r="F932" s="417" t="n">
        <f aca="false">SQRT(acc_x^2+acc_z^2)</f>
        <v>2.1268593813736</v>
      </c>
      <c r="G932" s="418" t="n">
        <f aca="false">G931+acc_x*pas</f>
        <v>12.4608049929163</v>
      </c>
      <c r="H932" s="419" t="n">
        <f aca="false">H931+acc_z*pas</f>
        <v>-123.502268008428</v>
      </c>
      <c r="I932" s="417" t="n">
        <f aca="false">SQRT(vit_x^2+vit_z^2)</f>
        <v>124.129294948038</v>
      </c>
      <c r="J932" s="418" t="n">
        <f aca="false">J931+0.5*(vit_x+G931)*pas*(K931&gt;=0)</f>
        <v>913.614336176273</v>
      </c>
      <c r="K932" s="419" t="n">
        <f aca="false">K931+0.5*(vit_z+H931)*pas</f>
        <v>-11.237440801429</v>
      </c>
      <c r="L932" s="417" t="n">
        <f aca="false">SQRT(pos_x^2+pos_z^2)</f>
        <v>913.683443727957</v>
      </c>
      <c r="M932" s="418" t="n">
        <f aca="false">IF(AND(L931&gt;L_rampe,G932&gt;0),ATAN2(G932,H932),$M$4)</f>
        <v>-1.47024126446797</v>
      </c>
      <c r="N932" s="417" t="n">
        <f aca="false">DEGREES(Beta)</f>
        <v>-84.2386193199923</v>
      </c>
      <c r="O932" s="401"/>
      <c r="P932" s="420" t="n">
        <f aca="false">MATCH(t-pas/2-T_ini,CdP_t)</f>
        <v>23</v>
      </c>
      <c r="Q932" s="417" t="n">
        <f aca="false">(INDEX(CdP,2,i_P+1)-INDEX(CdP,2,i_P+0))/(INDEX(CdP,1,i_P+1)-INDEX(CdP,1,i_P+0))*(t-pas/2-T_ini-INDEX(CdP,1,i_P+0))+INDEX(CdP,2,i_P+0)</f>
        <v>0</v>
      </c>
      <c r="R932" s="418" t="n">
        <f aca="false">Poussee/(g*ISP)</f>
        <v>0</v>
      </c>
      <c r="S932" s="419" t="n">
        <f aca="false">S931-Débit*pas</f>
        <v>7.37799999999998</v>
      </c>
      <c r="T932" s="417" t="n">
        <f aca="false">m*g</f>
        <v>72.3781799999998</v>
      </c>
      <c r="U932" s="421" t="n">
        <f aca="false">IF(pos_xz&lt;L_rampe,Poids*COS(Beta),0)</f>
        <v>0</v>
      </c>
      <c r="V932" s="418" t="n">
        <f aca="false">Rho_moyen*(20000-Alt_rampe-pos_z)/(20000+Alt_rampe+pos_z)</f>
        <v>1.22637736039847</v>
      </c>
      <c r="W932" s="417" t="n">
        <f aca="false">1/2*Rho*Sref*Cx*vit_xz^2</f>
        <v>58.1043187998677</v>
      </c>
      <c r="X932" s="401"/>
      <c r="Y932" s="422" t="str">
        <f aca="false">IF(AND(pos_z&lt;=0,K931&gt;0),"Impact balistique","") &amp; IF(AND(H933&lt;0,vit_z&gt;=0),"Apogée","") &amp; IF(AND(Poussee=0,Q931&gt;0),"Fin de propulsion","") &amp; IF(AND(L933&gt;L_rampe,pos_xz&lt;=L_rampe),"Sortie de rampe","")</f>
        <v/>
      </c>
      <c r="Z932" s="423" t="str">
        <f aca="false">IF(ABS(t-T_para)&lt;pas/2,"Para","")</f>
        <v/>
      </c>
      <c r="AA932" s="424" t="str">
        <f aca="false">IF(ABS(t-T_satellite)&lt;pas/2,"Satellite","")</f>
        <v/>
      </c>
      <c r="AB932" s="412"/>
      <c r="AC932" s="420" t="e">
        <f aca="false">IF(ABS(t-ROUND(t,0))&lt;0.001,t,NA())</f>
        <v>#N/A</v>
      </c>
      <c r="AD932" s="425" t="e">
        <f aca="false">IF(ABS(t-ROUND(t,0))&lt;0.001,pos_x,NA())</f>
        <v>#N/A</v>
      </c>
      <c r="AE932" s="426" t="e">
        <f aca="false">IF(t&lt;T_para, pos_z, NA())</f>
        <v>#N/A</v>
      </c>
      <c r="AF932" s="412"/>
      <c r="AG932" s="418" t="n">
        <f aca="false">IF(AND(L931&lt;L_rampe,Poussee&lt;Poids*SIN(M931)),0,(-W931+Poussee)/m-Poids*SIN(M931)/m)</f>
        <v>1.88513044366955</v>
      </c>
      <c r="AH932" s="417" t="n">
        <f aca="false">IF(AND(L931&lt;L_rampe,Poussee&lt;Poids*SIN(M931)), g*SIN(M931), (-W931+Poussee)/m)</f>
        <v>-7.87531452372373</v>
      </c>
    </row>
    <row r="933" customFormat="false" ht="12" hidden="false" customHeight="false" outlineLevel="0" collapsed="false">
      <c r="A933" s="416" t="n">
        <f aca="false">IF(B932+0.01&lt;=T_ini+ROUNDUP(Temps_fin_propu,0), 0.01, IF(K932&gt;0, 0.1, 0.0001))</f>
        <v>0.0001</v>
      </c>
      <c r="B933" s="417" t="n">
        <f aca="false">B932+pas</f>
        <v>36.3206000000009</v>
      </c>
      <c r="C933" s="401"/>
      <c r="D933" s="418" t="n">
        <f aca="false">IF(AND(L932&lt;L_rampe,Poussee&lt;Poids*SIN(M932)),0,(-W932+Poussee)/m*COS(M932)-U932/m*SIN(M932))</f>
        <v>-0.79057226452052</v>
      </c>
      <c r="E933" s="419" t="n">
        <f aca="false">IF(AND(L932&lt;L_rampe,Poussee&lt;Poids*SIN(M932)),0,(-W932+Poussee)/m*SIN(M932)+U932/m*COS(M932)-Poids/m)</f>
        <v>-1.97443337743047</v>
      </c>
      <c r="F933" s="417" t="n">
        <f aca="false">SQRT(acc_x^2+acc_z^2)</f>
        <v>2.12682666603101</v>
      </c>
      <c r="G933" s="418" t="n">
        <f aca="false">G932+acc_x*pas</f>
        <v>12.4607259356899</v>
      </c>
      <c r="H933" s="419" t="n">
        <f aca="false">H932+acc_z*pas</f>
        <v>-123.502465451765</v>
      </c>
      <c r="I933" s="417" t="n">
        <f aca="false">SQRT(vit_x^2+vit_z^2)</f>
        <v>124.129483457835</v>
      </c>
      <c r="J933" s="418" t="n">
        <f aca="false">J932+0.5*(vit_x+G932)*pas*(K932&gt;=0)</f>
        <v>913.614336176273</v>
      </c>
      <c r="K933" s="419" t="n">
        <f aca="false">K932+0.5*(vit_z+H932)*pas</f>
        <v>-11.249791038102</v>
      </c>
      <c r="L933" s="417" t="n">
        <f aca="false">SQRT(pos_x^2+pos_z^2)</f>
        <v>913.683595707624</v>
      </c>
      <c r="M933" s="418" t="n">
        <f aca="false">IF(AND(L932&gt;L_rampe,G933&gt;0),ATAN2(G933,H933),$M$4)</f>
        <v>-1.47024205781988</v>
      </c>
      <c r="N933" s="417" t="n">
        <f aca="false">DEGREES(Beta)</f>
        <v>-84.2386647757083</v>
      </c>
      <c r="O933" s="401"/>
      <c r="P933" s="420" t="n">
        <f aca="false">MATCH(t-pas/2-T_ini,CdP_t)</f>
        <v>23</v>
      </c>
      <c r="Q933" s="417" t="n">
        <f aca="false">(INDEX(CdP,2,i_P+1)-INDEX(CdP,2,i_P+0))/(INDEX(CdP,1,i_P+1)-INDEX(CdP,1,i_P+0))*(t-pas/2-T_ini-INDEX(CdP,1,i_P+0))+INDEX(CdP,2,i_P+0)</f>
        <v>0</v>
      </c>
      <c r="R933" s="418" t="n">
        <f aca="false">Poussee/(g*ISP)</f>
        <v>0</v>
      </c>
      <c r="S933" s="419" t="n">
        <f aca="false">S932-Débit*pas</f>
        <v>7.37799999999998</v>
      </c>
      <c r="T933" s="417" t="n">
        <f aca="false">m*g</f>
        <v>72.3781799999998</v>
      </c>
      <c r="U933" s="421" t="n">
        <f aca="false">IF(pos_xz&lt;L_rampe,Poids*COS(Beta),0)</f>
        <v>0</v>
      </c>
      <c r="V933" s="418" t="n">
        <f aca="false">Rho_moyen*(20000-Alt_rampe-pos_z)/(20000+Alt_rampe+pos_z)</f>
        <v>1.22637887500495</v>
      </c>
      <c r="W933" s="417" t="n">
        <f aca="false">1/2*Rho*Sref*Cx*vit_xz^2</f>
        <v>58.1045670415324</v>
      </c>
      <c r="X933" s="401"/>
      <c r="Y933" s="422" t="str">
        <f aca="false">IF(AND(pos_z&lt;=0,K932&gt;0),"Impact balistique","") &amp; IF(AND(H934&lt;0,vit_z&gt;=0),"Apogée","") &amp; IF(AND(Poussee=0,Q932&gt;0),"Fin de propulsion","") &amp; IF(AND(L934&gt;L_rampe,pos_xz&lt;=L_rampe),"Sortie de rampe","")</f>
        <v/>
      </c>
      <c r="Z933" s="423" t="str">
        <f aca="false">IF(ABS(t-T_para)&lt;pas/2,"Para","")</f>
        <v/>
      </c>
      <c r="AA933" s="424" t="str">
        <f aca="false">IF(ABS(t-T_satellite)&lt;pas/2,"Satellite","")</f>
        <v/>
      </c>
      <c r="AB933" s="412"/>
      <c r="AC933" s="420" t="e">
        <f aca="false">IF(ABS(t-ROUND(t,0))&lt;0.001,t,NA())</f>
        <v>#N/A</v>
      </c>
      <c r="AD933" s="425" t="e">
        <f aca="false">IF(ABS(t-ROUND(t,0))&lt;0.001,pos_x,NA())</f>
        <v>#N/A</v>
      </c>
      <c r="AE933" s="426" t="e">
        <f aca="false">IF(t&lt;T_para, pos_z, NA())</f>
        <v>#N/A</v>
      </c>
      <c r="AF933" s="412"/>
      <c r="AG933" s="418" t="n">
        <f aca="false">IF(AND(L932&lt;L_rampe,Poussee&lt;Poids*SIN(M932)),0,(-W932+Poussee)/m-Poids*SIN(M932)/m)</f>
        <v>1.88509757846573</v>
      </c>
      <c r="AH933" s="417" t="n">
        <f aca="false">IF(AND(L932&lt;L_rampe,Poussee&lt;Poids*SIN(M932)), g*SIN(M932), (-W932+Poussee)/m)</f>
        <v>-7.87534817021793</v>
      </c>
    </row>
    <row r="934" customFormat="false" ht="12" hidden="false" customHeight="false" outlineLevel="0" collapsed="false">
      <c r="A934" s="416" t="n">
        <f aca="false">IF(B933+0.01&lt;=T_ini+ROUNDUP(Temps_fin_propu,0), 0.01, IF(K933&gt;0, 0.1, 0.0001))</f>
        <v>0.0001</v>
      </c>
      <c r="B934" s="417" t="n">
        <f aca="false">B933+pas</f>
        <v>36.3207000000009</v>
      </c>
      <c r="C934" s="401"/>
      <c r="D934" s="418" t="n">
        <f aca="false">IF(AND(L933&lt;L_rampe,Poussee&lt;Poids*SIN(M933)),0,(-W933+Poussee)/m*COS(M933)-U933/m*SIN(M933))</f>
        <v>-0.790569425729024</v>
      </c>
      <c r="E934" s="419" t="n">
        <f aca="false">IF(AND(L933&lt;L_rampe,Poussee&lt;Poids*SIN(M933)),0,(-W933+Poussee)/m*SIN(M933)+U933/m*COS(M933)-Poids/m)</f>
        <v>-1.97439927398857</v>
      </c>
      <c r="F934" s="417" t="n">
        <f aca="false">SQRT(acc_x^2+acc_z^2)</f>
        <v>2.12679395100327</v>
      </c>
      <c r="G934" s="418" t="n">
        <f aca="false">G933+acc_x*pas</f>
        <v>12.4606468787473</v>
      </c>
      <c r="H934" s="419" t="n">
        <f aca="false">H933+acc_z*pas</f>
        <v>-123.502662891693</v>
      </c>
      <c r="I934" s="417" t="n">
        <f aca="false">SQRT(vit_x^2+vit_z^2)</f>
        <v>124.129671964345</v>
      </c>
      <c r="J934" s="418" t="n">
        <f aca="false">J933+0.5*(vit_x+G933)*pas*(K933&gt;=0)</f>
        <v>913.614336176273</v>
      </c>
      <c r="K934" s="419" t="n">
        <f aca="false">K933+0.5*(vit_z+H933)*pas</f>
        <v>-11.2621412945192</v>
      </c>
      <c r="L934" s="417" t="n">
        <f aca="false">SQRT(pos_x^2+pos_z^2)</f>
        <v>913.683747854448</v>
      </c>
      <c r="M934" s="418" t="n">
        <f aca="false">IF(AND(L933&gt;L_rampe,G934&gt;0),ATAN2(G934,H934),$M$4)</f>
        <v>-1.47024285116434</v>
      </c>
      <c r="N934" s="417" t="n">
        <f aca="false">DEGREES(Beta)</f>
        <v>-84.2387102309978</v>
      </c>
      <c r="O934" s="401"/>
      <c r="P934" s="420" t="n">
        <f aca="false">MATCH(t-pas/2-T_ini,CdP_t)</f>
        <v>23</v>
      </c>
      <c r="Q934" s="417" t="n">
        <f aca="false">(INDEX(CdP,2,i_P+1)-INDEX(CdP,2,i_P+0))/(INDEX(CdP,1,i_P+1)-INDEX(CdP,1,i_P+0))*(t-pas/2-T_ini-INDEX(CdP,1,i_P+0))+INDEX(CdP,2,i_P+0)</f>
        <v>0</v>
      </c>
      <c r="R934" s="418" t="n">
        <f aca="false">Poussee/(g*ISP)</f>
        <v>0</v>
      </c>
      <c r="S934" s="419" t="n">
        <f aca="false">S933-Débit*pas</f>
        <v>7.37799999999998</v>
      </c>
      <c r="T934" s="417" t="n">
        <f aca="false">m*g</f>
        <v>72.3781799999998</v>
      </c>
      <c r="U934" s="421" t="n">
        <f aca="false">IF(pos_xz&lt;L_rampe,Poids*COS(Beta),0)</f>
        <v>0</v>
      </c>
      <c r="V934" s="418" t="n">
        <f aca="false">Rho_moyen*(20000-Alt_rampe-pos_z)/(20000+Alt_rampe+pos_z)</f>
        <v>1.22638038961572</v>
      </c>
      <c r="W934" s="417" t="n">
        <f aca="false">1/2*Rho*Sref*Cx*vit_xz^2</f>
        <v>58.1048152810276</v>
      </c>
      <c r="X934" s="401"/>
      <c r="Y934" s="422" t="str">
        <f aca="false">IF(AND(pos_z&lt;=0,K933&gt;0),"Impact balistique","") &amp; IF(AND(H935&lt;0,vit_z&gt;=0),"Apogée","") &amp; IF(AND(Poussee=0,Q933&gt;0),"Fin de propulsion","") &amp; IF(AND(L935&gt;L_rampe,pos_xz&lt;=L_rampe),"Sortie de rampe","")</f>
        <v/>
      </c>
      <c r="Z934" s="423" t="str">
        <f aca="false">IF(ABS(t-T_para)&lt;pas/2,"Para","")</f>
        <v/>
      </c>
      <c r="AA934" s="424" t="str">
        <f aca="false">IF(ABS(t-T_satellite)&lt;pas/2,"Satellite","")</f>
        <v/>
      </c>
      <c r="AB934" s="412"/>
      <c r="AC934" s="420" t="e">
        <f aca="false">IF(ABS(t-ROUND(t,0))&lt;0.001,t,NA())</f>
        <v>#N/A</v>
      </c>
      <c r="AD934" s="425" t="e">
        <f aca="false">IF(ABS(t-ROUND(t,0))&lt;0.001,pos_x,NA())</f>
        <v>#N/A</v>
      </c>
      <c r="AE934" s="426" t="e">
        <f aca="false">IF(t&lt;T_para, pos_z, NA())</f>
        <v>#N/A</v>
      </c>
      <c r="AF934" s="412"/>
      <c r="AG934" s="418" t="n">
        <f aca="false">IF(AND(L933&lt;L_rampe,Poussee&lt;Poids*SIN(M933)),0,(-W933+Poussee)/m-Poids*SIN(M933)/m)</f>
        <v>1.88506471354248</v>
      </c>
      <c r="AH934" s="417" t="n">
        <f aca="false">IF(AND(L933&lt;L_rampe,Poussee&lt;Poids*SIN(M933)), g*SIN(M933), (-W933+Poussee)/m)</f>
        <v>-7.87538181641807</v>
      </c>
    </row>
    <row r="935" customFormat="false" ht="12" hidden="false" customHeight="false" outlineLevel="0" collapsed="false">
      <c r="A935" s="416" t="n">
        <f aca="false">IF(B934+0.01&lt;=T_ini+ROUNDUP(Temps_fin_propu,0), 0.01, IF(K934&gt;0, 0.1, 0.0001))</f>
        <v>0.0001</v>
      </c>
      <c r="B935" s="417" t="n">
        <f aca="false">B934+pas</f>
        <v>36.3208000000009</v>
      </c>
      <c r="C935" s="401"/>
      <c r="D935" s="418" t="n">
        <f aca="false">IF(AND(L934&lt;L_rampe,Poussee&lt;Poids*SIN(M934)),0,(-W934+Poussee)/m*COS(M934)-U934/m*SIN(M934))</f>
        <v>-0.790566586912717</v>
      </c>
      <c r="E935" s="419" t="n">
        <f aca="false">IF(AND(L934&lt;L_rampe,Poussee&lt;Poids*SIN(M934)),0,(-W934+Poussee)/m*SIN(M934)+U934/m*COS(M934)-Poids/m)</f>
        <v>-1.97436517084469</v>
      </c>
      <c r="F935" s="417" t="n">
        <f aca="false">SQRT(acc_x^2+acc_z^2)</f>
        <v>2.12676123629038</v>
      </c>
      <c r="G935" s="418" t="n">
        <f aca="false">G934+acc_x*pas</f>
        <v>12.4605678220886</v>
      </c>
      <c r="H935" s="419" t="n">
        <f aca="false">H934+acc_z*pas</f>
        <v>-123.50286032821</v>
      </c>
      <c r="I935" s="417" t="n">
        <f aca="false">SQRT(vit_x^2+vit_z^2)</f>
        <v>124.129860467569</v>
      </c>
      <c r="J935" s="418" t="n">
        <f aca="false">J934+0.5*(vit_x+G934)*pas*(K934&gt;=0)</f>
        <v>913.614336176273</v>
      </c>
      <c r="K935" s="419" t="n">
        <f aca="false">K934+0.5*(vit_z+H934)*pas</f>
        <v>-11.2744915706802</v>
      </c>
      <c r="L935" s="417" t="n">
        <f aca="false">SQRT(pos_x^2+pos_z^2)</f>
        <v>913.683900168428</v>
      </c>
      <c r="M935" s="418" t="n">
        <f aca="false">IF(AND(L934&gt;L_rampe,G935&gt;0),ATAN2(G935,H935),$M$4)</f>
        <v>-1.47024364450137</v>
      </c>
      <c r="N935" s="417" t="n">
        <f aca="false">DEGREES(Beta)</f>
        <v>-84.2387556858608</v>
      </c>
      <c r="O935" s="401"/>
      <c r="P935" s="420" t="n">
        <f aca="false">MATCH(t-pas/2-T_ini,CdP_t)</f>
        <v>23</v>
      </c>
      <c r="Q935" s="417" t="n">
        <f aca="false">(INDEX(CdP,2,i_P+1)-INDEX(CdP,2,i_P+0))/(INDEX(CdP,1,i_P+1)-INDEX(CdP,1,i_P+0))*(t-pas/2-T_ini-INDEX(CdP,1,i_P+0))+INDEX(CdP,2,i_P+0)</f>
        <v>0</v>
      </c>
      <c r="R935" s="418" t="n">
        <f aca="false">Poussee/(g*ISP)</f>
        <v>0</v>
      </c>
      <c r="S935" s="419" t="n">
        <f aca="false">S934-Débit*pas</f>
        <v>7.37799999999998</v>
      </c>
      <c r="T935" s="417" t="n">
        <f aca="false">m*g</f>
        <v>72.3781799999998</v>
      </c>
      <c r="U935" s="421" t="n">
        <f aca="false">IF(pos_xz&lt;L_rampe,Poids*COS(Beta),0)</f>
        <v>0</v>
      </c>
      <c r="V935" s="418" t="n">
        <f aca="false">Rho_moyen*(20000-Alt_rampe-pos_z)/(20000+Alt_rampe+pos_z)</f>
        <v>1.22638190423079</v>
      </c>
      <c r="W935" s="417" t="n">
        <f aca="false">1/2*Rho*Sref*Cx*vit_xz^2</f>
        <v>58.1050635183533</v>
      </c>
      <c r="X935" s="401"/>
      <c r="Y935" s="422" t="str">
        <f aca="false">IF(AND(pos_z&lt;=0,K934&gt;0),"Impact balistique","") &amp; IF(AND(H936&lt;0,vit_z&gt;=0),"Apogée","") &amp; IF(AND(Poussee=0,Q934&gt;0),"Fin de propulsion","") &amp; IF(AND(L936&gt;L_rampe,pos_xz&lt;=L_rampe),"Sortie de rampe","")</f>
        <v/>
      </c>
      <c r="Z935" s="423" t="str">
        <f aca="false">IF(ABS(t-T_para)&lt;pas/2,"Para","")</f>
        <v/>
      </c>
      <c r="AA935" s="424" t="str">
        <f aca="false">IF(ABS(t-T_satellite)&lt;pas/2,"Satellite","")</f>
        <v/>
      </c>
      <c r="AB935" s="412"/>
      <c r="AC935" s="420" t="e">
        <f aca="false">IF(ABS(t-ROUND(t,0))&lt;0.001,t,NA())</f>
        <v>#N/A</v>
      </c>
      <c r="AD935" s="425" t="e">
        <f aca="false">IF(ABS(t-ROUND(t,0))&lt;0.001,pos_x,NA())</f>
        <v>#N/A</v>
      </c>
      <c r="AE935" s="426" t="e">
        <f aca="false">IF(t&lt;T_para, pos_z, NA())</f>
        <v>#N/A</v>
      </c>
      <c r="AF935" s="412"/>
      <c r="AG935" s="418" t="n">
        <f aca="false">IF(AND(L934&lt;L_rampe,Poussee&lt;Poids*SIN(M934)),0,(-W934+Poussee)/m-Poids*SIN(M934)/m)</f>
        <v>1.8850318488998</v>
      </c>
      <c r="AH935" s="417" t="n">
        <f aca="false">IF(AND(L934&lt;L_rampe,Poussee&lt;Poids*SIN(M934)), g*SIN(M934), (-W934+Poussee)/m)</f>
        <v>-7.87541546232417</v>
      </c>
    </row>
    <row r="936" customFormat="false" ht="12" hidden="false" customHeight="false" outlineLevel="0" collapsed="false">
      <c r="A936" s="416" t="n">
        <f aca="false">IF(B935+0.01&lt;=T_ini+ROUNDUP(Temps_fin_propu,0), 0.01, IF(K935&gt;0, 0.1, 0.0001))</f>
        <v>0.0001</v>
      </c>
      <c r="B936" s="417" t="n">
        <f aca="false">B935+pas</f>
        <v>36.3209000000009</v>
      </c>
      <c r="C936" s="401"/>
      <c r="D936" s="418" t="n">
        <f aca="false">IF(AND(L935&lt;L_rampe,Poussee&lt;Poids*SIN(M935)),0,(-W935+Poussee)/m*COS(M935)-U935/m*SIN(M935))</f>
        <v>-0.790563748071602</v>
      </c>
      <c r="E936" s="419" t="n">
        <f aca="false">IF(AND(L935&lt;L_rampe,Poussee&lt;Poids*SIN(M935)),0,(-W935+Poussee)/m*SIN(M935)+U935/m*COS(M935)-Poids/m)</f>
        <v>-1.97433106799882</v>
      </c>
      <c r="F936" s="417" t="n">
        <f aca="false">SQRT(acc_x^2+acc_z^2)</f>
        <v>2.12672852189234</v>
      </c>
      <c r="G936" s="418" t="n">
        <f aca="false">G935+acc_x*pas</f>
        <v>12.4604887657138</v>
      </c>
      <c r="H936" s="419" t="n">
        <f aca="false">H935+acc_z*pas</f>
        <v>-123.503057761317</v>
      </c>
      <c r="I936" s="417" t="n">
        <f aca="false">SQRT(vit_x^2+vit_z^2)</f>
        <v>124.130048967507</v>
      </c>
      <c r="J936" s="418" t="n">
        <f aca="false">J935+0.5*(vit_x+G935)*pas*(K935&gt;=0)</f>
        <v>913.614336176273</v>
      </c>
      <c r="K936" s="419" t="n">
        <f aca="false">K935+0.5*(vit_z+H935)*pas</f>
        <v>-11.2868418665847</v>
      </c>
      <c r="L936" s="417" t="n">
        <f aca="false">SQRT(pos_x^2+pos_z^2)</f>
        <v>913.684052649565</v>
      </c>
      <c r="M936" s="418" t="n">
        <f aca="false">IF(AND(L935&gt;L_rampe,G936&gt;0),ATAN2(G936,H936),$M$4)</f>
        <v>-1.47024443783094</v>
      </c>
      <c r="N936" s="417" t="n">
        <f aca="false">DEGREES(Beta)</f>
        <v>-84.2388011402974</v>
      </c>
      <c r="O936" s="401"/>
      <c r="P936" s="420" t="n">
        <f aca="false">MATCH(t-pas/2-T_ini,CdP_t)</f>
        <v>23</v>
      </c>
      <c r="Q936" s="417" t="n">
        <f aca="false">(INDEX(CdP,2,i_P+1)-INDEX(CdP,2,i_P+0))/(INDEX(CdP,1,i_P+1)-INDEX(CdP,1,i_P+0))*(t-pas/2-T_ini-INDEX(CdP,1,i_P+0))+INDEX(CdP,2,i_P+0)</f>
        <v>0</v>
      </c>
      <c r="R936" s="418" t="n">
        <f aca="false">Poussee/(g*ISP)</f>
        <v>0</v>
      </c>
      <c r="S936" s="419" t="n">
        <f aca="false">S935-Débit*pas</f>
        <v>7.37799999999998</v>
      </c>
      <c r="T936" s="417" t="n">
        <f aca="false">m*g</f>
        <v>72.3781799999998</v>
      </c>
      <c r="U936" s="421" t="n">
        <f aca="false">IF(pos_xz&lt;L_rampe,Poids*COS(Beta),0)</f>
        <v>0</v>
      </c>
      <c r="V936" s="418" t="n">
        <f aca="false">Rho_moyen*(20000-Alt_rampe-pos_z)/(20000+Alt_rampe+pos_z)</f>
        <v>1.22638341885015</v>
      </c>
      <c r="W936" s="417" t="n">
        <f aca="false">1/2*Rho*Sref*Cx*vit_xz^2</f>
        <v>58.1053117535097</v>
      </c>
      <c r="X936" s="401"/>
      <c r="Y936" s="422" t="str">
        <f aca="false">IF(AND(pos_z&lt;=0,K935&gt;0),"Impact balistique","") &amp; IF(AND(H937&lt;0,vit_z&gt;=0),"Apogée","") &amp; IF(AND(Poussee=0,Q935&gt;0),"Fin de propulsion","") &amp; IF(AND(L937&gt;L_rampe,pos_xz&lt;=L_rampe),"Sortie de rampe","")</f>
        <v/>
      </c>
      <c r="Z936" s="423" t="str">
        <f aca="false">IF(ABS(t-T_para)&lt;pas/2,"Para","")</f>
        <v/>
      </c>
      <c r="AA936" s="424" t="str">
        <f aca="false">IF(ABS(t-T_satellite)&lt;pas/2,"Satellite","")</f>
        <v/>
      </c>
      <c r="AB936" s="412"/>
      <c r="AC936" s="420" t="e">
        <f aca="false">IF(ABS(t-ROUND(t,0))&lt;0.001,t,NA())</f>
        <v>#N/A</v>
      </c>
      <c r="AD936" s="425" t="e">
        <f aca="false">IF(ABS(t-ROUND(t,0))&lt;0.001,pos_x,NA())</f>
        <v>#N/A</v>
      </c>
      <c r="AE936" s="426" t="e">
        <f aca="false">IF(t&lt;T_para, pos_z, NA())</f>
        <v>#N/A</v>
      </c>
      <c r="AF936" s="412"/>
      <c r="AG936" s="418" t="n">
        <f aca="false">IF(AND(L935&lt;L_rampe,Poussee&lt;Poids*SIN(M935)),0,(-W935+Poussee)/m-Poids*SIN(M935)/m)</f>
        <v>1.88499898453769</v>
      </c>
      <c r="AH936" s="417" t="n">
        <f aca="false">IF(AND(L935&lt;L_rampe,Poussee&lt;Poids*SIN(M935)), g*SIN(M935), (-W935+Poussee)/m)</f>
        <v>-7.87544910793623</v>
      </c>
    </row>
    <row r="937" customFormat="false" ht="12" hidden="false" customHeight="false" outlineLevel="0" collapsed="false">
      <c r="A937" s="416" t="n">
        <f aca="false">IF(B936+0.01&lt;=T_ini+ROUNDUP(Temps_fin_propu,0), 0.01, IF(K936&gt;0, 0.1, 0.0001))</f>
        <v>0.0001</v>
      </c>
      <c r="B937" s="417" t="n">
        <f aca="false">B936+pas</f>
        <v>36.3210000000009</v>
      </c>
      <c r="C937" s="401"/>
      <c r="D937" s="418" t="n">
        <f aca="false">IF(AND(L936&lt;L_rampe,Poussee&lt;Poids*SIN(M936)),0,(-W936+Poussee)/m*COS(M936)-U936/m*SIN(M936))</f>
        <v>-0.790560909205676</v>
      </c>
      <c r="E937" s="419" t="n">
        <f aca="false">IF(AND(L936&lt;L_rampe,Poussee&lt;Poids*SIN(M936)),0,(-W936+Poussee)/m*SIN(M936)+U936/m*COS(M936)-Poids/m)</f>
        <v>-1.97429696545097</v>
      </c>
      <c r="F937" s="417" t="n">
        <f aca="false">SQRT(acc_x^2+acc_z^2)</f>
        <v>2.12669580780915</v>
      </c>
      <c r="G937" s="418" t="n">
        <f aca="false">G936+acc_x*pas</f>
        <v>12.4604097096229</v>
      </c>
      <c r="H937" s="419" t="n">
        <f aca="false">H936+acc_z*pas</f>
        <v>-123.503255191013</v>
      </c>
      <c r="I937" s="417" t="n">
        <f aca="false">SQRT(vit_x^2+vit_z^2)</f>
        <v>124.130237464158</v>
      </c>
      <c r="J937" s="418" t="n">
        <f aca="false">J936+0.5*(vit_x+G936)*pas*(K936&gt;=0)</f>
        <v>913.614336176273</v>
      </c>
      <c r="K937" s="419" t="n">
        <f aca="false">K936+0.5*(vit_z+H936)*pas</f>
        <v>-11.2991921822323</v>
      </c>
      <c r="L937" s="417" t="n">
        <f aca="false">SQRT(pos_x^2+pos_z^2)</f>
        <v>913.684205297861</v>
      </c>
      <c r="M937" s="418" t="n">
        <f aca="false">IF(AND(L936&gt;L_rampe,G937&gt;0),ATAN2(G937,H937),$M$4)</f>
        <v>-1.47024523115308</v>
      </c>
      <c r="N937" s="417" t="n">
        <f aca="false">DEGREES(Beta)</f>
        <v>-84.2388465943076</v>
      </c>
      <c r="O937" s="401"/>
      <c r="P937" s="420" t="n">
        <f aca="false">MATCH(t-pas/2-T_ini,CdP_t)</f>
        <v>23</v>
      </c>
      <c r="Q937" s="417" t="n">
        <f aca="false">(INDEX(CdP,2,i_P+1)-INDEX(CdP,2,i_P+0))/(INDEX(CdP,1,i_P+1)-INDEX(CdP,1,i_P+0))*(t-pas/2-T_ini-INDEX(CdP,1,i_P+0))+INDEX(CdP,2,i_P+0)</f>
        <v>0</v>
      </c>
      <c r="R937" s="418" t="n">
        <f aca="false">Poussee/(g*ISP)</f>
        <v>0</v>
      </c>
      <c r="S937" s="419" t="n">
        <f aca="false">S936-Débit*pas</f>
        <v>7.37799999999998</v>
      </c>
      <c r="T937" s="417" t="n">
        <f aca="false">m*g</f>
        <v>72.3781799999998</v>
      </c>
      <c r="U937" s="421" t="n">
        <f aca="false">IF(pos_xz&lt;L_rampe,Poids*COS(Beta),0)</f>
        <v>0</v>
      </c>
      <c r="V937" s="418" t="n">
        <f aca="false">Rho_moyen*(20000-Alt_rampe-pos_z)/(20000+Alt_rampe+pos_z)</f>
        <v>1.2263849334738</v>
      </c>
      <c r="W937" s="417" t="n">
        <f aca="false">1/2*Rho*Sref*Cx*vit_xz^2</f>
        <v>58.1055599864964</v>
      </c>
      <c r="X937" s="401"/>
      <c r="Y937" s="422" t="str">
        <f aca="false">IF(AND(pos_z&lt;=0,K936&gt;0),"Impact balistique","") &amp; IF(AND(H938&lt;0,vit_z&gt;=0),"Apogée","") &amp; IF(AND(Poussee=0,Q936&gt;0),"Fin de propulsion","") &amp; IF(AND(L938&gt;L_rampe,pos_xz&lt;=L_rampe),"Sortie de rampe","")</f>
        <v/>
      </c>
      <c r="Z937" s="423" t="str">
        <f aca="false">IF(ABS(t-T_para)&lt;pas/2,"Para","")</f>
        <v/>
      </c>
      <c r="AA937" s="424" t="str">
        <f aca="false">IF(ABS(t-T_satellite)&lt;pas/2,"Satellite","")</f>
        <v/>
      </c>
      <c r="AB937" s="412"/>
      <c r="AC937" s="420" t="e">
        <f aca="false">IF(ABS(t-ROUND(t,0))&lt;0.001,t,NA())</f>
        <v>#N/A</v>
      </c>
      <c r="AD937" s="425" t="e">
        <f aca="false">IF(ABS(t-ROUND(t,0))&lt;0.001,pos_x,NA())</f>
        <v>#N/A</v>
      </c>
      <c r="AE937" s="426" t="e">
        <f aca="false">IF(t&lt;T_para, pos_z, NA())</f>
        <v>#N/A</v>
      </c>
      <c r="AF937" s="412"/>
      <c r="AG937" s="418" t="n">
        <f aca="false">IF(AND(L936&lt;L_rampe,Poussee&lt;Poids*SIN(M936)),0,(-W936+Poussee)/m-Poids*SIN(M936)/m)</f>
        <v>1.88496612045615</v>
      </c>
      <c r="AH937" s="417" t="n">
        <f aca="false">IF(AND(L936&lt;L_rampe,Poussee&lt;Poids*SIN(M936)), g*SIN(M936), (-W936+Poussee)/m)</f>
        <v>-7.87548275325424</v>
      </c>
    </row>
    <row r="938" customFormat="false" ht="12" hidden="false" customHeight="false" outlineLevel="0" collapsed="false">
      <c r="A938" s="416" t="n">
        <f aca="false">IF(B937+0.01&lt;=T_ini+ROUNDUP(Temps_fin_propu,0), 0.01, IF(K937&gt;0, 0.1, 0.0001))</f>
        <v>0.0001</v>
      </c>
      <c r="B938" s="417" t="n">
        <f aca="false">B937+pas</f>
        <v>36.3211000000009</v>
      </c>
      <c r="C938" s="401"/>
      <c r="D938" s="418" t="n">
        <f aca="false">IF(AND(L937&lt;L_rampe,Poussee&lt;Poids*SIN(M937)),0,(-W937+Poussee)/m*COS(M937)-U937/m*SIN(M937))</f>
        <v>-0.79055807031494</v>
      </c>
      <c r="E938" s="419" t="n">
        <f aca="false">IF(AND(L937&lt;L_rampe,Poussee&lt;Poids*SIN(M937)),0,(-W937+Poussee)/m*SIN(M937)+U937/m*COS(M937)-Poids/m)</f>
        <v>-1.97426286320114</v>
      </c>
      <c r="F938" s="417" t="n">
        <f aca="false">SQRT(acc_x^2+acc_z^2)</f>
        <v>2.12666309404082</v>
      </c>
      <c r="G938" s="418" t="n">
        <f aca="false">G937+acc_x*pas</f>
        <v>12.4603306538158</v>
      </c>
      <c r="H938" s="419" t="n">
        <f aca="false">H937+acc_z*pas</f>
        <v>-123.5034526173</v>
      </c>
      <c r="I938" s="417" t="n">
        <f aca="false">SQRT(vit_x^2+vit_z^2)</f>
        <v>124.130425957523</v>
      </c>
      <c r="J938" s="418" t="n">
        <f aca="false">J937+0.5*(vit_x+G937)*pas*(K937&gt;=0)</f>
        <v>913.614336176273</v>
      </c>
      <c r="K938" s="419" t="n">
        <f aca="false">K937+0.5*(vit_z+H937)*pas</f>
        <v>-11.3115425176227</v>
      </c>
      <c r="L938" s="417" t="n">
        <f aca="false">SQRT(pos_x^2+pos_z^2)</f>
        <v>913.684358113315</v>
      </c>
      <c r="M938" s="418" t="n">
        <f aca="false">IF(AND(L937&gt;L_rampe,G938&gt;0),ATAN2(G938,H938),$M$4)</f>
        <v>-1.47024602446777</v>
      </c>
      <c r="N938" s="417" t="n">
        <f aca="false">DEGREES(Beta)</f>
        <v>-84.2388920478914</v>
      </c>
      <c r="O938" s="401"/>
      <c r="P938" s="420" t="n">
        <f aca="false">MATCH(t-pas/2-T_ini,CdP_t)</f>
        <v>23</v>
      </c>
      <c r="Q938" s="417" t="n">
        <f aca="false">(INDEX(CdP,2,i_P+1)-INDEX(CdP,2,i_P+0))/(INDEX(CdP,1,i_P+1)-INDEX(CdP,1,i_P+0))*(t-pas/2-T_ini-INDEX(CdP,1,i_P+0))+INDEX(CdP,2,i_P+0)</f>
        <v>0</v>
      </c>
      <c r="R938" s="418" t="n">
        <f aca="false">Poussee/(g*ISP)</f>
        <v>0</v>
      </c>
      <c r="S938" s="419" t="n">
        <f aca="false">S937-Débit*pas</f>
        <v>7.37799999999998</v>
      </c>
      <c r="T938" s="417" t="n">
        <f aca="false">m*g</f>
        <v>72.3781799999998</v>
      </c>
      <c r="U938" s="421" t="n">
        <f aca="false">IF(pos_xz&lt;L_rampe,Poids*COS(Beta),0)</f>
        <v>0</v>
      </c>
      <c r="V938" s="418" t="n">
        <f aca="false">Rho_moyen*(20000-Alt_rampe-pos_z)/(20000+Alt_rampe+pos_z)</f>
        <v>1.22638644810174</v>
      </c>
      <c r="W938" s="417" t="n">
        <f aca="false">1/2*Rho*Sref*Cx*vit_xz^2</f>
        <v>58.1058082173138</v>
      </c>
      <c r="X938" s="401"/>
      <c r="Y938" s="422" t="str">
        <f aca="false">IF(AND(pos_z&lt;=0,K937&gt;0),"Impact balistique","") &amp; IF(AND(H939&lt;0,vit_z&gt;=0),"Apogée","") &amp; IF(AND(Poussee=0,Q937&gt;0),"Fin de propulsion","") &amp; IF(AND(L939&gt;L_rampe,pos_xz&lt;=L_rampe),"Sortie de rampe","")</f>
        <v/>
      </c>
      <c r="Z938" s="423" t="str">
        <f aca="false">IF(ABS(t-T_para)&lt;pas/2,"Para","")</f>
        <v/>
      </c>
      <c r="AA938" s="424" t="str">
        <f aca="false">IF(ABS(t-T_satellite)&lt;pas/2,"Satellite","")</f>
        <v/>
      </c>
      <c r="AB938" s="412"/>
      <c r="AC938" s="420" t="e">
        <f aca="false">IF(ABS(t-ROUND(t,0))&lt;0.001,t,NA())</f>
        <v>#N/A</v>
      </c>
      <c r="AD938" s="425" t="e">
        <f aca="false">IF(ABS(t-ROUND(t,0))&lt;0.001,pos_x,NA())</f>
        <v>#N/A</v>
      </c>
      <c r="AE938" s="426" t="e">
        <f aca="false">IF(t&lt;T_para, pos_z, NA())</f>
        <v>#N/A</v>
      </c>
      <c r="AF938" s="412"/>
      <c r="AG938" s="418" t="n">
        <f aca="false">IF(AND(L937&lt;L_rampe,Poussee&lt;Poids*SIN(M937)),0,(-W937+Poussee)/m-Poids*SIN(M937)/m)</f>
        <v>1.8849332566552</v>
      </c>
      <c r="AH938" s="417" t="n">
        <f aca="false">IF(AND(L937&lt;L_rampe,Poussee&lt;Poids*SIN(M937)), g*SIN(M937), (-W937+Poussee)/m)</f>
        <v>-7.8755163982782</v>
      </c>
    </row>
    <row r="939" customFormat="false" ht="12" hidden="false" customHeight="false" outlineLevel="0" collapsed="false">
      <c r="A939" s="416" t="n">
        <f aca="false">IF(B938+0.01&lt;=T_ini+ROUNDUP(Temps_fin_propu,0), 0.01, IF(K938&gt;0, 0.1, 0.0001))</f>
        <v>0.0001</v>
      </c>
      <c r="B939" s="417" t="n">
        <f aca="false">B938+pas</f>
        <v>36.3212000000009</v>
      </c>
      <c r="C939" s="401"/>
      <c r="D939" s="418" t="n">
        <f aca="false">IF(AND(L938&lt;L_rampe,Poussee&lt;Poids*SIN(M938)),0,(-W938+Poussee)/m*COS(M938)-U938/m*SIN(M938))</f>
        <v>-0.790555231399395</v>
      </c>
      <c r="E939" s="419" t="n">
        <f aca="false">IF(AND(L938&lt;L_rampe,Poussee&lt;Poids*SIN(M938)),0,(-W938+Poussee)/m*SIN(M938)+U938/m*COS(M938)-Poids/m)</f>
        <v>-1.97422876124933</v>
      </c>
      <c r="F939" s="417" t="n">
        <f aca="false">SQRT(acc_x^2+acc_z^2)</f>
        <v>2.12663038058733</v>
      </c>
      <c r="G939" s="418" t="n">
        <f aca="false">G938+acc_x*pas</f>
        <v>12.4602515982927</v>
      </c>
      <c r="H939" s="419" t="n">
        <f aca="false">H938+acc_z*pas</f>
        <v>-123.503650040176</v>
      </c>
      <c r="I939" s="417" t="n">
        <f aca="false">SQRT(vit_x^2+vit_z^2)</f>
        <v>124.130614447601</v>
      </c>
      <c r="J939" s="418" t="n">
        <f aca="false">J938+0.5*(vit_x+G938)*pas*(K938&gt;=0)</f>
        <v>913.614336176273</v>
      </c>
      <c r="K939" s="419" t="n">
        <f aca="false">K938+0.5*(vit_z+H938)*pas</f>
        <v>-11.3238928727556</v>
      </c>
      <c r="L939" s="417" t="n">
        <f aca="false">SQRT(pos_x^2+pos_z^2)</f>
        <v>913.684511095929</v>
      </c>
      <c r="M939" s="418" t="n">
        <f aca="false">IF(AND(L938&gt;L_rampe,G939&gt;0),ATAN2(G939,H939),$M$4)</f>
        <v>-1.47024681777502</v>
      </c>
      <c r="N939" s="417" t="n">
        <f aca="false">DEGREES(Beta)</f>
        <v>-84.2389375010487</v>
      </c>
      <c r="O939" s="401"/>
      <c r="P939" s="420" t="n">
        <f aca="false">MATCH(t-pas/2-T_ini,CdP_t)</f>
        <v>23</v>
      </c>
      <c r="Q939" s="417" t="n">
        <f aca="false">(INDEX(CdP,2,i_P+1)-INDEX(CdP,2,i_P+0))/(INDEX(CdP,1,i_P+1)-INDEX(CdP,1,i_P+0))*(t-pas/2-T_ini-INDEX(CdP,1,i_P+0))+INDEX(CdP,2,i_P+0)</f>
        <v>0</v>
      </c>
      <c r="R939" s="418" t="n">
        <f aca="false">Poussee/(g*ISP)</f>
        <v>0</v>
      </c>
      <c r="S939" s="419" t="n">
        <f aca="false">S938-Débit*pas</f>
        <v>7.37799999999998</v>
      </c>
      <c r="T939" s="417" t="n">
        <f aca="false">m*g</f>
        <v>72.3781799999998</v>
      </c>
      <c r="U939" s="421" t="n">
        <f aca="false">IF(pos_xz&lt;L_rampe,Poids*COS(Beta),0)</f>
        <v>0</v>
      </c>
      <c r="V939" s="418" t="n">
        <f aca="false">Rho_moyen*(20000-Alt_rampe-pos_z)/(20000+Alt_rampe+pos_z)</f>
        <v>1.22638796273398</v>
      </c>
      <c r="W939" s="417" t="n">
        <f aca="false">1/2*Rho*Sref*Cx*vit_xz^2</f>
        <v>58.1060564459617</v>
      </c>
      <c r="X939" s="401"/>
      <c r="Y939" s="422" t="str">
        <f aca="false">IF(AND(pos_z&lt;=0,K938&gt;0),"Impact balistique","") &amp; IF(AND(H940&lt;0,vit_z&gt;=0),"Apogée","") &amp; IF(AND(Poussee=0,Q938&gt;0),"Fin de propulsion","") &amp; IF(AND(L940&gt;L_rampe,pos_xz&lt;=L_rampe),"Sortie de rampe","")</f>
        <v/>
      </c>
      <c r="Z939" s="423" t="str">
        <f aca="false">IF(ABS(t-T_para)&lt;pas/2,"Para","")</f>
        <v/>
      </c>
      <c r="AA939" s="424" t="str">
        <f aca="false">IF(ABS(t-T_satellite)&lt;pas/2,"Satellite","")</f>
        <v/>
      </c>
      <c r="AB939" s="412"/>
      <c r="AC939" s="420" t="e">
        <f aca="false">IF(ABS(t-ROUND(t,0))&lt;0.001,t,NA())</f>
        <v>#N/A</v>
      </c>
      <c r="AD939" s="425" t="e">
        <f aca="false">IF(ABS(t-ROUND(t,0))&lt;0.001,pos_x,NA())</f>
        <v>#N/A</v>
      </c>
      <c r="AE939" s="426" t="e">
        <f aca="false">IF(t&lt;T_para, pos_z, NA())</f>
        <v>#N/A</v>
      </c>
      <c r="AF939" s="412"/>
      <c r="AG939" s="418" t="n">
        <f aca="false">IF(AND(L938&lt;L_rampe,Poussee&lt;Poids*SIN(M938)),0,(-W938+Poussee)/m-Poids*SIN(M938)/m)</f>
        <v>1.88490039313481</v>
      </c>
      <c r="AH939" s="417" t="n">
        <f aca="false">IF(AND(L938&lt;L_rampe,Poussee&lt;Poids*SIN(M938)), g*SIN(M938), (-W938+Poussee)/m)</f>
        <v>-7.87555004300812</v>
      </c>
    </row>
    <row r="940" customFormat="false" ht="12" hidden="false" customHeight="false" outlineLevel="0" collapsed="false">
      <c r="A940" s="416" t="n">
        <f aca="false">IF(B939+0.01&lt;=T_ini+ROUNDUP(Temps_fin_propu,0), 0.01, IF(K939&gt;0, 0.1, 0.0001))</f>
        <v>0.0001</v>
      </c>
      <c r="B940" s="417" t="n">
        <f aca="false">B939+pas</f>
        <v>36.3213000000009</v>
      </c>
      <c r="C940" s="401"/>
      <c r="D940" s="418" t="n">
        <f aca="false">IF(AND(L939&lt;L_rampe,Poussee&lt;Poids*SIN(M939)),0,(-W939+Poussee)/m*COS(M939)-U939/m*SIN(M939))</f>
        <v>-0.790552392459042</v>
      </c>
      <c r="E940" s="419" t="n">
        <f aca="false">IF(AND(L939&lt;L_rampe,Poussee&lt;Poids*SIN(M939)),0,(-W939+Poussee)/m*SIN(M939)+U939/m*COS(M939)-Poids/m)</f>
        <v>-1.97419465959552</v>
      </c>
      <c r="F940" s="417" t="n">
        <f aca="false">SQRT(acc_x^2+acc_z^2)</f>
        <v>2.12659766744869</v>
      </c>
      <c r="G940" s="418" t="n">
        <f aca="false">G939+acc_x*pas</f>
        <v>12.4601725430535</v>
      </c>
      <c r="H940" s="419" t="n">
        <f aca="false">H939+acc_z*pas</f>
        <v>-123.503847459642</v>
      </c>
      <c r="I940" s="417" t="n">
        <f aca="false">SQRT(vit_x^2+vit_z^2)</f>
        <v>124.130802934393</v>
      </c>
      <c r="J940" s="418" t="n">
        <f aca="false">J939+0.5*(vit_x+G939)*pas*(K939&gt;=0)</f>
        <v>913.614336176273</v>
      </c>
      <c r="K940" s="419" t="n">
        <f aca="false">K939+0.5*(vit_z+H939)*pas</f>
        <v>-11.3362432476306</v>
      </c>
      <c r="L940" s="417" t="n">
        <f aca="false">SQRT(pos_x^2+pos_z^2)</f>
        <v>913.684664245702</v>
      </c>
      <c r="M940" s="418" t="n">
        <f aca="false">IF(AND(L939&gt;L_rampe,G940&gt;0),ATAN2(G940,H940),$M$4)</f>
        <v>-1.47024761107483</v>
      </c>
      <c r="N940" s="417" t="n">
        <f aca="false">DEGREES(Beta)</f>
        <v>-84.2389829537796</v>
      </c>
      <c r="O940" s="401"/>
      <c r="P940" s="420" t="n">
        <f aca="false">MATCH(t-pas/2-T_ini,CdP_t)</f>
        <v>23</v>
      </c>
      <c r="Q940" s="417" t="n">
        <f aca="false">(INDEX(CdP,2,i_P+1)-INDEX(CdP,2,i_P+0))/(INDEX(CdP,1,i_P+1)-INDEX(CdP,1,i_P+0))*(t-pas/2-T_ini-INDEX(CdP,1,i_P+0))+INDEX(CdP,2,i_P+0)</f>
        <v>0</v>
      </c>
      <c r="R940" s="418" t="n">
        <f aca="false">Poussee/(g*ISP)</f>
        <v>0</v>
      </c>
      <c r="S940" s="419" t="n">
        <f aca="false">S939-Débit*pas</f>
        <v>7.37799999999998</v>
      </c>
      <c r="T940" s="417" t="n">
        <f aca="false">m*g</f>
        <v>72.3781799999998</v>
      </c>
      <c r="U940" s="421" t="n">
        <f aca="false">IF(pos_xz&lt;L_rampe,Poids*COS(Beta),0)</f>
        <v>0</v>
      </c>
      <c r="V940" s="418" t="n">
        <f aca="false">Rho_moyen*(20000-Alt_rampe-pos_z)/(20000+Alt_rampe+pos_z)</f>
        <v>1.22638947737051</v>
      </c>
      <c r="W940" s="417" t="n">
        <f aca="false">1/2*Rho*Sref*Cx*vit_xz^2</f>
        <v>58.1063046724402</v>
      </c>
      <c r="X940" s="401"/>
      <c r="Y940" s="422" t="str">
        <f aca="false">IF(AND(pos_z&lt;=0,K939&gt;0),"Impact balistique","") &amp; IF(AND(H941&lt;0,vit_z&gt;=0),"Apogée","") &amp; IF(AND(Poussee=0,Q939&gt;0),"Fin de propulsion","") &amp; IF(AND(L941&gt;L_rampe,pos_xz&lt;=L_rampe),"Sortie de rampe","")</f>
        <v/>
      </c>
      <c r="Z940" s="423" t="str">
        <f aca="false">IF(ABS(t-T_para)&lt;pas/2,"Para","")</f>
        <v/>
      </c>
      <c r="AA940" s="424" t="str">
        <f aca="false">IF(ABS(t-T_satellite)&lt;pas/2,"Satellite","")</f>
        <v/>
      </c>
      <c r="AB940" s="412"/>
      <c r="AC940" s="420" t="e">
        <f aca="false">IF(ABS(t-ROUND(t,0))&lt;0.001,t,NA())</f>
        <v>#N/A</v>
      </c>
      <c r="AD940" s="425" t="e">
        <f aca="false">IF(ABS(t-ROUND(t,0))&lt;0.001,pos_x,NA())</f>
        <v>#N/A</v>
      </c>
      <c r="AE940" s="426" t="e">
        <f aca="false">IF(t&lt;T_para, pos_z, NA())</f>
        <v>#N/A</v>
      </c>
      <c r="AF940" s="412"/>
      <c r="AG940" s="418" t="n">
        <f aca="false">IF(AND(L939&lt;L_rampe,Poussee&lt;Poids*SIN(M939)),0,(-W939+Poussee)/m-Poids*SIN(M939)/m)</f>
        <v>1.88486752989499</v>
      </c>
      <c r="AH940" s="417" t="n">
        <f aca="false">IF(AND(L939&lt;L_rampe,Poussee&lt;Poids*SIN(M939)), g*SIN(M939), (-W939+Poussee)/m)</f>
        <v>-7.875583687444</v>
      </c>
    </row>
    <row r="941" customFormat="false" ht="12" hidden="false" customHeight="false" outlineLevel="0" collapsed="false">
      <c r="A941" s="416" t="n">
        <f aca="false">IF(B940+0.01&lt;=T_ini+ROUNDUP(Temps_fin_propu,0), 0.01, IF(K940&gt;0, 0.1, 0.0001))</f>
        <v>0.0001</v>
      </c>
      <c r="B941" s="417" t="n">
        <f aca="false">B940+pas</f>
        <v>36.3214000000009</v>
      </c>
      <c r="C941" s="401"/>
      <c r="D941" s="418" t="n">
        <f aca="false">IF(AND(L940&lt;L_rampe,Poussee&lt;Poids*SIN(M940)),0,(-W940+Poussee)/m*COS(M940)-U940/m*SIN(M940))</f>
        <v>-0.790549553493883</v>
      </c>
      <c r="E941" s="419" t="n">
        <f aca="false">IF(AND(L940&lt;L_rampe,Poussee&lt;Poids*SIN(M940)),0,(-W940+Poussee)/m*SIN(M940)+U940/m*COS(M940)-Poids/m)</f>
        <v>-1.97416055823974</v>
      </c>
      <c r="F941" s="417" t="n">
        <f aca="false">SQRT(acc_x^2+acc_z^2)</f>
        <v>2.1265649546249</v>
      </c>
      <c r="G941" s="418" t="n">
        <f aca="false">G940+acc_x*pas</f>
        <v>12.4600934880981</v>
      </c>
      <c r="H941" s="419" t="n">
        <f aca="false">H940+acc_z*pas</f>
        <v>-123.504044875698</v>
      </c>
      <c r="I941" s="417" t="n">
        <f aca="false">SQRT(vit_x^2+vit_z^2)</f>
        <v>124.130991417899</v>
      </c>
      <c r="J941" s="418" t="n">
        <f aca="false">J940+0.5*(vit_x+G940)*pas*(K940&gt;=0)</f>
        <v>913.614336176273</v>
      </c>
      <c r="K941" s="419" t="n">
        <f aca="false">K940+0.5*(vit_z+H940)*pas</f>
        <v>-11.3485936422473</v>
      </c>
      <c r="L941" s="417" t="n">
        <f aca="false">SQRT(pos_x^2+pos_z^2)</f>
        <v>913.684817562637</v>
      </c>
      <c r="M941" s="418" t="n">
        <f aca="false">IF(AND(L940&gt;L_rampe,G941&gt;0),ATAN2(G941,H941),$M$4)</f>
        <v>-1.4702484043672</v>
      </c>
      <c r="N941" s="417" t="n">
        <f aca="false">DEGREES(Beta)</f>
        <v>-84.2390284060841</v>
      </c>
      <c r="O941" s="401"/>
      <c r="P941" s="420" t="n">
        <f aca="false">MATCH(t-pas/2-T_ini,CdP_t)</f>
        <v>23</v>
      </c>
      <c r="Q941" s="417" t="n">
        <f aca="false">(INDEX(CdP,2,i_P+1)-INDEX(CdP,2,i_P+0))/(INDEX(CdP,1,i_P+1)-INDEX(CdP,1,i_P+0))*(t-pas/2-T_ini-INDEX(CdP,1,i_P+0))+INDEX(CdP,2,i_P+0)</f>
        <v>0</v>
      </c>
      <c r="R941" s="418" t="n">
        <f aca="false">Poussee/(g*ISP)</f>
        <v>0</v>
      </c>
      <c r="S941" s="419" t="n">
        <f aca="false">S940-Débit*pas</f>
        <v>7.37799999999998</v>
      </c>
      <c r="T941" s="417" t="n">
        <f aca="false">m*g</f>
        <v>72.3781799999998</v>
      </c>
      <c r="U941" s="421" t="n">
        <f aca="false">IF(pos_xz&lt;L_rampe,Poids*COS(Beta),0)</f>
        <v>0</v>
      </c>
      <c r="V941" s="418" t="n">
        <f aca="false">Rho_moyen*(20000-Alt_rampe-pos_z)/(20000+Alt_rampe+pos_z)</f>
        <v>1.22639099201133</v>
      </c>
      <c r="W941" s="417" t="n">
        <f aca="false">1/2*Rho*Sref*Cx*vit_xz^2</f>
        <v>58.1065528967492</v>
      </c>
      <c r="X941" s="401"/>
      <c r="Y941" s="422" t="str">
        <f aca="false">IF(AND(pos_z&lt;=0,K940&gt;0),"Impact balistique","") &amp; IF(AND(H942&lt;0,vit_z&gt;=0),"Apogée","") &amp; IF(AND(Poussee=0,Q940&gt;0),"Fin de propulsion","") &amp; IF(AND(L942&gt;L_rampe,pos_xz&lt;=L_rampe),"Sortie de rampe","")</f>
        <v/>
      </c>
      <c r="Z941" s="423" t="str">
        <f aca="false">IF(ABS(t-T_para)&lt;pas/2,"Para","")</f>
        <v/>
      </c>
      <c r="AA941" s="424" t="str">
        <f aca="false">IF(ABS(t-T_satellite)&lt;pas/2,"Satellite","")</f>
        <v/>
      </c>
      <c r="AB941" s="412"/>
      <c r="AC941" s="420" t="e">
        <f aca="false">IF(ABS(t-ROUND(t,0))&lt;0.001,t,NA())</f>
        <v>#N/A</v>
      </c>
      <c r="AD941" s="425" t="e">
        <f aca="false">IF(ABS(t-ROUND(t,0))&lt;0.001,pos_x,NA())</f>
        <v>#N/A</v>
      </c>
      <c r="AE941" s="426" t="e">
        <f aca="false">IF(t&lt;T_para, pos_z, NA())</f>
        <v>#N/A</v>
      </c>
      <c r="AF941" s="412"/>
      <c r="AG941" s="418" t="n">
        <f aca="false">IF(AND(L940&lt;L_rampe,Poussee&lt;Poids*SIN(M940)),0,(-W940+Poussee)/m-Poids*SIN(M940)/m)</f>
        <v>1.88483466693575</v>
      </c>
      <c r="AH941" s="417" t="n">
        <f aca="false">IF(AND(L940&lt;L_rampe,Poussee&lt;Poids*SIN(M940)), g*SIN(M940), (-W940+Poussee)/m)</f>
        <v>-7.87561733158584</v>
      </c>
    </row>
    <row r="942" customFormat="false" ht="12" hidden="false" customHeight="false" outlineLevel="0" collapsed="false">
      <c r="A942" s="416" t="n">
        <f aca="false">IF(B941+0.01&lt;=T_ini+ROUNDUP(Temps_fin_propu,0), 0.01, IF(K941&gt;0, 0.1, 0.0001))</f>
        <v>0.0001</v>
      </c>
      <c r="B942" s="417" t="n">
        <f aca="false">B941+pas</f>
        <v>36.3215000000009</v>
      </c>
      <c r="C942" s="401"/>
      <c r="D942" s="418" t="n">
        <f aca="false">IF(AND(L941&lt;L_rampe,Poussee&lt;Poids*SIN(M941)),0,(-W941+Poussee)/m*COS(M941)-U941/m*SIN(M941))</f>
        <v>-0.790546714503919</v>
      </c>
      <c r="E942" s="419" t="n">
        <f aca="false">IF(AND(L941&lt;L_rampe,Poussee&lt;Poids*SIN(M941)),0,(-W941+Poussee)/m*SIN(M941)+U941/m*COS(M941)-Poids/m)</f>
        <v>-1.97412645718197</v>
      </c>
      <c r="F942" s="417" t="n">
        <f aca="false">SQRT(acc_x^2+acc_z^2)</f>
        <v>2.12653224211597</v>
      </c>
      <c r="G942" s="418" t="n">
        <f aca="false">G941+acc_x*pas</f>
        <v>12.4600144334266</v>
      </c>
      <c r="H942" s="419" t="n">
        <f aca="false">H941+acc_z*pas</f>
        <v>-123.504242288343</v>
      </c>
      <c r="I942" s="417" t="n">
        <f aca="false">SQRT(vit_x^2+vit_z^2)</f>
        <v>124.131179898118</v>
      </c>
      <c r="J942" s="418" t="n">
        <f aca="false">J941+0.5*(vit_x+G941)*pas*(K941&gt;=0)</f>
        <v>913.614336176273</v>
      </c>
      <c r="K942" s="419" t="n">
        <f aca="false">K941+0.5*(vit_z+H941)*pas</f>
        <v>-11.3609440566055</v>
      </c>
      <c r="L942" s="417" t="n">
        <f aca="false">SQRT(pos_x^2+pos_z^2)</f>
        <v>913.684971046733</v>
      </c>
      <c r="M942" s="418" t="n">
        <f aca="false">IF(AND(L941&gt;L_rampe,G942&gt;0),ATAN2(G942,H942),$M$4)</f>
        <v>-1.47024919765212</v>
      </c>
      <c r="N942" s="417" t="n">
        <f aca="false">DEGREES(Beta)</f>
        <v>-84.2390738579622</v>
      </c>
      <c r="O942" s="401"/>
      <c r="P942" s="420" t="n">
        <f aca="false">MATCH(t-pas/2-T_ini,CdP_t)</f>
        <v>23</v>
      </c>
      <c r="Q942" s="417" t="n">
        <f aca="false">(INDEX(CdP,2,i_P+1)-INDEX(CdP,2,i_P+0))/(INDEX(CdP,1,i_P+1)-INDEX(CdP,1,i_P+0))*(t-pas/2-T_ini-INDEX(CdP,1,i_P+0))+INDEX(CdP,2,i_P+0)</f>
        <v>0</v>
      </c>
      <c r="R942" s="418" t="n">
        <f aca="false">Poussee/(g*ISP)</f>
        <v>0</v>
      </c>
      <c r="S942" s="419" t="n">
        <f aca="false">S941-Débit*pas</f>
        <v>7.37799999999998</v>
      </c>
      <c r="T942" s="417" t="n">
        <f aca="false">m*g</f>
        <v>72.3781799999998</v>
      </c>
      <c r="U942" s="421" t="n">
        <f aca="false">IF(pos_xz&lt;L_rampe,Poids*COS(Beta),0)</f>
        <v>0</v>
      </c>
      <c r="V942" s="418" t="n">
        <f aca="false">Rho_moyen*(20000-Alt_rampe-pos_z)/(20000+Alt_rampe+pos_z)</f>
        <v>1.22639250665645</v>
      </c>
      <c r="W942" s="417" t="n">
        <f aca="false">1/2*Rho*Sref*Cx*vit_xz^2</f>
        <v>58.1068011188887</v>
      </c>
      <c r="X942" s="401"/>
      <c r="Y942" s="422" t="str">
        <f aca="false">IF(AND(pos_z&lt;=0,K941&gt;0),"Impact balistique","") &amp; IF(AND(H943&lt;0,vit_z&gt;=0),"Apogée","") &amp; IF(AND(Poussee=0,Q941&gt;0),"Fin de propulsion","") &amp; IF(AND(L943&gt;L_rampe,pos_xz&lt;=L_rampe),"Sortie de rampe","")</f>
        <v/>
      </c>
      <c r="Z942" s="423" t="str">
        <f aca="false">IF(ABS(t-T_para)&lt;pas/2,"Para","")</f>
        <v/>
      </c>
      <c r="AA942" s="424" t="str">
        <f aca="false">IF(ABS(t-T_satellite)&lt;pas/2,"Satellite","")</f>
        <v/>
      </c>
      <c r="AB942" s="412"/>
      <c r="AC942" s="420" t="e">
        <f aca="false">IF(ABS(t-ROUND(t,0))&lt;0.001,t,NA())</f>
        <v>#N/A</v>
      </c>
      <c r="AD942" s="425" t="e">
        <f aca="false">IF(ABS(t-ROUND(t,0))&lt;0.001,pos_x,NA())</f>
        <v>#N/A</v>
      </c>
      <c r="AE942" s="426" t="e">
        <f aca="false">IF(t&lt;T_para, pos_z, NA())</f>
        <v>#N/A</v>
      </c>
      <c r="AF942" s="412"/>
      <c r="AG942" s="418" t="n">
        <f aca="false">IF(AND(L941&lt;L_rampe,Poussee&lt;Poids*SIN(M941)),0,(-W941+Poussee)/m-Poids*SIN(M941)/m)</f>
        <v>1.88480180425708</v>
      </c>
      <c r="AH942" s="417" t="n">
        <f aca="false">IF(AND(L941&lt;L_rampe,Poussee&lt;Poids*SIN(M941)), g*SIN(M941), (-W941+Poussee)/m)</f>
        <v>-7.87565097543363</v>
      </c>
    </row>
    <row r="943" customFormat="false" ht="12" hidden="false" customHeight="false" outlineLevel="0" collapsed="false">
      <c r="A943" s="416" t="n">
        <f aca="false">IF(B942+0.01&lt;=T_ini+ROUNDUP(Temps_fin_propu,0), 0.01, IF(K942&gt;0, 0.1, 0.0001))</f>
        <v>0.0001</v>
      </c>
      <c r="B943" s="417" t="n">
        <f aca="false">B942+pas</f>
        <v>36.3216000000009</v>
      </c>
      <c r="C943" s="401"/>
      <c r="D943" s="418" t="n">
        <f aca="false">IF(AND(L942&lt;L_rampe,Poussee&lt;Poids*SIN(M942)),0,(-W942+Poussee)/m*COS(M942)-U942/m*SIN(M942))</f>
        <v>-0.790543875489148</v>
      </c>
      <c r="E943" s="419" t="n">
        <f aca="false">IF(AND(L942&lt;L_rampe,Poussee&lt;Poids*SIN(M942)),0,(-W942+Poussee)/m*SIN(M942)+U942/m*COS(M942)-Poids/m)</f>
        <v>-1.97409235642221</v>
      </c>
      <c r="F943" s="417" t="n">
        <f aca="false">SQRT(acc_x^2+acc_z^2)</f>
        <v>2.12649952992188</v>
      </c>
      <c r="G943" s="418" t="n">
        <f aca="false">G942+acc_x*pas</f>
        <v>12.4599353790391</v>
      </c>
      <c r="H943" s="419" t="n">
        <f aca="false">H942+acc_z*pas</f>
        <v>-123.504439697579</v>
      </c>
      <c r="I943" s="417" t="n">
        <f aca="false">SQRT(vit_x^2+vit_z^2)</f>
        <v>124.131368375052</v>
      </c>
      <c r="J943" s="418" t="n">
        <f aca="false">J942+0.5*(vit_x+G942)*pas*(K942&gt;=0)</f>
        <v>913.614336176273</v>
      </c>
      <c r="K943" s="419" t="n">
        <f aca="false">K942+0.5*(vit_z+H942)*pas</f>
        <v>-11.3732944907048</v>
      </c>
      <c r="L943" s="417" t="n">
        <f aca="false">SQRT(pos_x^2+pos_z^2)</f>
        <v>913.685124697992</v>
      </c>
      <c r="M943" s="418" t="n">
        <f aca="false">IF(AND(L942&gt;L_rampe,G943&gt;0),ATAN2(G943,H943),$M$4)</f>
        <v>-1.4702499909296</v>
      </c>
      <c r="N943" s="417" t="n">
        <f aca="false">DEGREES(Beta)</f>
        <v>-84.2391193094139</v>
      </c>
      <c r="O943" s="401"/>
      <c r="P943" s="420" t="n">
        <f aca="false">MATCH(t-pas/2-T_ini,CdP_t)</f>
        <v>23</v>
      </c>
      <c r="Q943" s="417" t="n">
        <f aca="false">(INDEX(CdP,2,i_P+1)-INDEX(CdP,2,i_P+0))/(INDEX(CdP,1,i_P+1)-INDEX(CdP,1,i_P+0))*(t-pas/2-T_ini-INDEX(CdP,1,i_P+0))+INDEX(CdP,2,i_P+0)</f>
        <v>0</v>
      </c>
      <c r="R943" s="418" t="n">
        <f aca="false">Poussee/(g*ISP)</f>
        <v>0</v>
      </c>
      <c r="S943" s="419" t="n">
        <f aca="false">S942-Débit*pas</f>
        <v>7.37799999999998</v>
      </c>
      <c r="T943" s="417" t="n">
        <f aca="false">m*g</f>
        <v>72.3781799999998</v>
      </c>
      <c r="U943" s="421" t="n">
        <f aca="false">IF(pos_xz&lt;L_rampe,Poids*COS(Beta),0)</f>
        <v>0</v>
      </c>
      <c r="V943" s="418" t="n">
        <f aca="false">Rho_moyen*(20000-Alt_rampe-pos_z)/(20000+Alt_rampe+pos_z)</f>
        <v>1.22639402130585</v>
      </c>
      <c r="W943" s="417" t="n">
        <f aca="false">1/2*Rho*Sref*Cx*vit_xz^2</f>
        <v>58.1070493388588</v>
      </c>
      <c r="X943" s="401"/>
      <c r="Y943" s="422" t="str">
        <f aca="false">IF(AND(pos_z&lt;=0,K942&gt;0),"Impact balistique","") &amp; IF(AND(H944&lt;0,vit_z&gt;=0),"Apogée","") &amp; IF(AND(Poussee=0,Q942&gt;0),"Fin de propulsion","") &amp; IF(AND(L944&gt;L_rampe,pos_xz&lt;=L_rampe),"Sortie de rampe","")</f>
        <v/>
      </c>
      <c r="Z943" s="423" t="str">
        <f aca="false">IF(ABS(t-T_para)&lt;pas/2,"Para","")</f>
        <v/>
      </c>
      <c r="AA943" s="424" t="str">
        <f aca="false">IF(ABS(t-T_satellite)&lt;pas/2,"Satellite","")</f>
        <v/>
      </c>
      <c r="AB943" s="412"/>
      <c r="AC943" s="420" t="e">
        <f aca="false">IF(ABS(t-ROUND(t,0))&lt;0.001,t,NA())</f>
        <v>#N/A</v>
      </c>
      <c r="AD943" s="425" t="e">
        <f aca="false">IF(ABS(t-ROUND(t,0))&lt;0.001,pos_x,NA())</f>
        <v>#N/A</v>
      </c>
      <c r="AE943" s="426" t="e">
        <f aca="false">IF(t&lt;T_para, pos_z, NA())</f>
        <v>#N/A</v>
      </c>
      <c r="AF943" s="412"/>
      <c r="AG943" s="418" t="n">
        <f aca="false">IF(AND(L942&lt;L_rampe,Poussee&lt;Poids*SIN(M942)),0,(-W942+Poussee)/m-Poids*SIN(M942)/m)</f>
        <v>1.88476894185898</v>
      </c>
      <c r="AH943" s="417" t="n">
        <f aca="false">IF(AND(L942&lt;L_rampe,Poussee&lt;Poids*SIN(M942)), g*SIN(M942), (-W942+Poussee)/m)</f>
        <v>-7.87568461898737</v>
      </c>
    </row>
    <row r="944" customFormat="false" ht="12" hidden="false" customHeight="false" outlineLevel="0" collapsed="false">
      <c r="A944" s="416" t="n">
        <f aca="false">IF(B943+0.01&lt;=T_ini+ROUNDUP(Temps_fin_propu,0), 0.01, IF(K943&gt;0, 0.1, 0.0001))</f>
        <v>0.0001</v>
      </c>
      <c r="B944" s="417" t="n">
        <f aca="false">B943+pas</f>
        <v>36.3217000000009</v>
      </c>
      <c r="C944" s="401"/>
      <c r="D944" s="418" t="n">
        <f aca="false">IF(AND(L943&lt;L_rampe,Poussee&lt;Poids*SIN(M943)),0,(-W943+Poussee)/m*COS(M943)-U943/m*SIN(M943))</f>
        <v>-0.790541036449571</v>
      </c>
      <c r="E944" s="419" t="n">
        <f aca="false">IF(AND(L943&lt;L_rampe,Poussee&lt;Poids*SIN(M943)),0,(-W943+Poussee)/m*SIN(M943)+U943/m*COS(M943)-Poids/m)</f>
        <v>-1.97405825596047</v>
      </c>
      <c r="F944" s="417" t="n">
        <f aca="false">SQRT(acc_x^2+acc_z^2)</f>
        <v>2.12646681804265</v>
      </c>
      <c r="G944" s="418" t="n">
        <f aca="false">G943+acc_x*pas</f>
        <v>12.4598563249355</v>
      </c>
      <c r="H944" s="419" t="n">
        <f aca="false">H943+acc_z*pas</f>
        <v>-123.504637103405</v>
      </c>
      <c r="I944" s="417" t="n">
        <f aca="false">SQRT(vit_x^2+vit_z^2)</f>
        <v>124.131556848699</v>
      </c>
      <c r="J944" s="418" t="n">
        <f aca="false">J943+0.5*(vit_x+G943)*pas*(K943&gt;=0)</f>
        <v>913.614336176273</v>
      </c>
      <c r="K944" s="419" t="n">
        <f aca="false">K943+0.5*(vit_z+H943)*pas</f>
        <v>-11.3856449445449</v>
      </c>
      <c r="L944" s="417" t="n">
        <f aca="false">SQRT(pos_x^2+pos_z^2)</f>
        <v>913.685278516413</v>
      </c>
      <c r="M944" s="418" t="n">
        <f aca="false">IF(AND(L943&gt;L_rampe,G944&gt;0),ATAN2(G944,H944),$M$4)</f>
        <v>-1.47025078419964</v>
      </c>
      <c r="N944" s="417" t="n">
        <f aca="false">DEGREES(Beta)</f>
        <v>-84.2391647604391</v>
      </c>
      <c r="O944" s="401"/>
      <c r="P944" s="420" t="n">
        <f aca="false">MATCH(t-pas/2-T_ini,CdP_t)</f>
        <v>23</v>
      </c>
      <c r="Q944" s="417" t="n">
        <f aca="false">(INDEX(CdP,2,i_P+1)-INDEX(CdP,2,i_P+0))/(INDEX(CdP,1,i_P+1)-INDEX(CdP,1,i_P+0))*(t-pas/2-T_ini-INDEX(CdP,1,i_P+0))+INDEX(CdP,2,i_P+0)</f>
        <v>0</v>
      </c>
      <c r="R944" s="418" t="n">
        <f aca="false">Poussee/(g*ISP)</f>
        <v>0</v>
      </c>
      <c r="S944" s="419" t="n">
        <f aca="false">S943-Débit*pas</f>
        <v>7.37799999999998</v>
      </c>
      <c r="T944" s="417" t="n">
        <f aca="false">m*g</f>
        <v>72.3781799999998</v>
      </c>
      <c r="U944" s="421" t="n">
        <f aca="false">IF(pos_xz&lt;L_rampe,Poids*COS(Beta),0)</f>
        <v>0</v>
      </c>
      <c r="V944" s="418" t="n">
        <f aca="false">Rho_moyen*(20000-Alt_rampe-pos_z)/(20000+Alt_rampe+pos_z)</f>
        <v>1.22639553595955</v>
      </c>
      <c r="W944" s="417" t="n">
        <f aca="false">1/2*Rho*Sref*Cx*vit_xz^2</f>
        <v>58.1072975566595</v>
      </c>
      <c r="X944" s="401"/>
      <c r="Y944" s="422" t="str">
        <f aca="false">IF(AND(pos_z&lt;=0,K943&gt;0),"Impact balistique","") &amp; IF(AND(H945&lt;0,vit_z&gt;=0),"Apogée","") &amp; IF(AND(Poussee=0,Q943&gt;0),"Fin de propulsion","") &amp; IF(AND(L945&gt;L_rampe,pos_xz&lt;=L_rampe),"Sortie de rampe","")</f>
        <v/>
      </c>
      <c r="Z944" s="423" t="str">
        <f aca="false">IF(ABS(t-T_para)&lt;pas/2,"Para","")</f>
        <v/>
      </c>
      <c r="AA944" s="424" t="str">
        <f aca="false">IF(ABS(t-T_satellite)&lt;pas/2,"Satellite","")</f>
        <v/>
      </c>
      <c r="AB944" s="412"/>
      <c r="AC944" s="420" t="e">
        <f aca="false">IF(ABS(t-ROUND(t,0))&lt;0.001,t,NA())</f>
        <v>#N/A</v>
      </c>
      <c r="AD944" s="425" t="e">
        <f aca="false">IF(ABS(t-ROUND(t,0))&lt;0.001,pos_x,NA())</f>
        <v>#N/A</v>
      </c>
      <c r="AE944" s="426" t="e">
        <f aca="false">IF(t&lt;T_para, pos_z, NA())</f>
        <v>#N/A</v>
      </c>
      <c r="AF944" s="412"/>
      <c r="AG944" s="418" t="n">
        <f aca="false">IF(AND(L943&lt;L_rampe,Poussee&lt;Poids*SIN(M943)),0,(-W943+Poussee)/m-Poids*SIN(M943)/m)</f>
        <v>1.88473607974146</v>
      </c>
      <c r="AH944" s="417" t="n">
        <f aca="false">IF(AND(L943&lt;L_rampe,Poussee&lt;Poids*SIN(M943)), g*SIN(M943), (-W943+Poussee)/m)</f>
        <v>-7.87571826224708</v>
      </c>
    </row>
    <row r="945" customFormat="false" ht="12" hidden="false" customHeight="false" outlineLevel="0" collapsed="false">
      <c r="A945" s="416" t="n">
        <f aca="false">IF(B944+0.01&lt;=T_ini+ROUNDUP(Temps_fin_propu,0), 0.01, IF(K944&gt;0, 0.1, 0.0001))</f>
        <v>0.0001</v>
      </c>
      <c r="B945" s="417" t="n">
        <f aca="false">B944+pas</f>
        <v>36.3218000000009</v>
      </c>
      <c r="C945" s="401"/>
      <c r="D945" s="418" t="n">
        <f aca="false">IF(AND(L944&lt;L_rampe,Poussee&lt;Poids*SIN(M944)),0,(-W944+Poussee)/m*COS(M944)-U944/m*SIN(M944))</f>
        <v>-0.790538197385191</v>
      </c>
      <c r="E945" s="419" t="n">
        <f aca="false">IF(AND(L944&lt;L_rampe,Poussee&lt;Poids*SIN(M944)),0,(-W944+Poussee)/m*SIN(M944)+U944/m*COS(M944)-Poids/m)</f>
        <v>-1.97402415579674</v>
      </c>
      <c r="F945" s="417" t="n">
        <f aca="false">SQRT(acc_x^2+acc_z^2)</f>
        <v>2.12643410647827</v>
      </c>
      <c r="G945" s="418" t="n">
        <f aca="false">G944+acc_x*pas</f>
        <v>12.4597772711157</v>
      </c>
      <c r="H945" s="419" t="n">
        <f aca="false">H944+acc_z*pas</f>
        <v>-123.50483450582</v>
      </c>
      <c r="I945" s="417" t="n">
        <f aca="false">SQRT(vit_x^2+vit_z^2)</f>
        <v>124.131745319059</v>
      </c>
      <c r="J945" s="418" t="n">
        <f aca="false">J944+0.5*(vit_x+G944)*pas*(K944&gt;=0)</f>
        <v>913.614336176273</v>
      </c>
      <c r="K945" s="419" t="n">
        <f aca="false">K944+0.5*(vit_z+H944)*pas</f>
        <v>-11.3979954181254</v>
      </c>
      <c r="L945" s="417" t="n">
        <f aca="false">SQRT(pos_x^2+pos_z^2)</f>
        <v>913.685432501998</v>
      </c>
      <c r="M945" s="418" t="n">
        <f aca="false">IF(AND(L944&gt;L_rampe,G945&gt;0),ATAN2(G945,H945),$M$4)</f>
        <v>-1.47025157746224</v>
      </c>
      <c r="N945" s="417" t="n">
        <f aca="false">DEGREES(Beta)</f>
        <v>-84.239210211038</v>
      </c>
      <c r="O945" s="401"/>
      <c r="P945" s="420" t="n">
        <f aca="false">MATCH(t-pas/2-T_ini,CdP_t)</f>
        <v>23</v>
      </c>
      <c r="Q945" s="417" t="n">
        <f aca="false">(INDEX(CdP,2,i_P+1)-INDEX(CdP,2,i_P+0))/(INDEX(CdP,1,i_P+1)-INDEX(CdP,1,i_P+0))*(t-pas/2-T_ini-INDEX(CdP,1,i_P+0))+INDEX(CdP,2,i_P+0)</f>
        <v>0</v>
      </c>
      <c r="R945" s="418" t="n">
        <f aca="false">Poussee/(g*ISP)</f>
        <v>0</v>
      </c>
      <c r="S945" s="419" t="n">
        <f aca="false">S944-Débit*pas</f>
        <v>7.37799999999998</v>
      </c>
      <c r="T945" s="417" t="n">
        <f aca="false">m*g</f>
        <v>72.3781799999998</v>
      </c>
      <c r="U945" s="421" t="n">
        <f aca="false">IF(pos_xz&lt;L_rampe,Poids*COS(Beta),0)</f>
        <v>0</v>
      </c>
      <c r="V945" s="418" t="n">
        <f aca="false">Rho_moyen*(20000-Alt_rampe-pos_z)/(20000+Alt_rampe+pos_z)</f>
        <v>1.22639705061755</v>
      </c>
      <c r="W945" s="417" t="n">
        <f aca="false">1/2*Rho*Sref*Cx*vit_xz^2</f>
        <v>58.1075457722907</v>
      </c>
      <c r="X945" s="401"/>
      <c r="Y945" s="422" t="str">
        <f aca="false">IF(AND(pos_z&lt;=0,K944&gt;0),"Impact balistique","") &amp; IF(AND(H946&lt;0,vit_z&gt;=0),"Apogée","") &amp; IF(AND(Poussee=0,Q944&gt;0),"Fin de propulsion","") &amp; IF(AND(L946&gt;L_rampe,pos_xz&lt;=L_rampe),"Sortie de rampe","")</f>
        <v/>
      </c>
      <c r="Z945" s="423" t="str">
        <f aca="false">IF(ABS(t-T_para)&lt;pas/2,"Para","")</f>
        <v/>
      </c>
      <c r="AA945" s="424" t="str">
        <f aca="false">IF(ABS(t-T_satellite)&lt;pas/2,"Satellite","")</f>
        <v/>
      </c>
      <c r="AB945" s="412"/>
      <c r="AC945" s="420" t="e">
        <f aca="false">IF(ABS(t-ROUND(t,0))&lt;0.001,t,NA())</f>
        <v>#N/A</v>
      </c>
      <c r="AD945" s="425" t="e">
        <f aca="false">IF(ABS(t-ROUND(t,0))&lt;0.001,pos_x,NA())</f>
        <v>#N/A</v>
      </c>
      <c r="AE945" s="426" t="e">
        <f aca="false">IF(t&lt;T_para, pos_z, NA())</f>
        <v>#N/A</v>
      </c>
      <c r="AF945" s="412"/>
      <c r="AG945" s="418" t="n">
        <f aca="false">IF(AND(L944&lt;L_rampe,Poussee&lt;Poids*SIN(M944)),0,(-W944+Poussee)/m-Poids*SIN(M944)/m)</f>
        <v>1.8847032179045</v>
      </c>
      <c r="AH945" s="417" t="n">
        <f aca="false">IF(AND(L944&lt;L_rampe,Poussee&lt;Poids*SIN(M944)), g*SIN(M944), (-W944+Poussee)/m)</f>
        <v>-7.87575190521274</v>
      </c>
    </row>
    <row r="946" customFormat="false" ht="12" hidden="false" customHeight="false" outlineLevel="0" collapsed="false">
      <c r="A946" s="416" t="n">
        <f aca="false">IF(B945+0.01&lt;=T_ini+ROUNDUP(Temps_fin_propu,0), 0.01, IF(K945&gt;0, 0.1, 0.0001))</f>
        <v>0.0001</v>
      </c>
      <c r="B946" s="417" t="n">
        <f aca="false">B945+pas</f>
        <v>36.3219000000009</v>
      </c>
      <c r="C946" s="401"/>
      <c r="D946" s="418" t="n">
        <f aca="false">IF(AND(L945&lt;L_rampe,Poussee&lt;Poids*SIN(M945)),0,(-W945+Poussee)/m*COS(M945)-U945/m*SIN(M945))</f>
        <v>-0.790535358296006</v>
      </c>
      <c r="E946" s="419" t="n">
        <f aca="false">IF(AND(L945&lt;L_rampe,Poussee&lt;Poids*SIN(M945)),0,(-W945+Poussee)/m*SIN(M945)+U945/m*COS(M945)-Poids/m)</f>
        <v>-1.97399005593102</v>
      </c>
      <c r="F946" s="417" t="n">
        <f aca="false">SQRT(acc_x^2+acc_z^2)</f>
        <v>2.12640139522875</v>
      </c>
      <c r="G946" s="418" t="n">
        <f aca="false">G945+acc_x*pas</f>
        <v>12.4596982175799</v>
      </c>
      <c r="H946" s="419" t="n">
        <f aca="false">H945+acc_z*pas</f>
        <v>-123.505031904826</v>
      </c>
      <c r="I946" s="417" t="n">
        <f aca="false">SQRT(vit_x^2+vit_z^2)</f>
        <v>124.131933786134</v>
      </c>
      <c r="J946" s="418" t="n">
        <f aca="false">J945+0.5*(vit_x+G945)*pas*(K945&gt;=0)</f>
        <v>913.614336176273</v>
      </c>
      <c r="K946" s="419" t="n">
        <f aca="false">K945+0.5*(vit_z+H945)*pas</f>
        <v>-11.4103459114459</v>
      </c>
      <c r="L946" s="417" t="n">
        <f aca="false">SQRT(pos_x^2+pos_z^2)</f>
        <v>913.685586654748</v>
      </c>
      <c r="M946" s="418" t="n">
        <f aca="false">IF(AND(L945&gt;L_rampe,G946&gt;0),ATAN2(G946,H946),$M$4)</f>
        <v>-1.4702523707174</v>
      </c>
      <c r="N946" s="417" t="n">
        <f aca="false">DEGREES(Beta)</f>
        <v>-84.2392556612106</v>
      </c>
      <c r="O946" s="401"/>
      <c r="P946" s="420" t="n">
        <f aca="false">MATCH(t-pas/2-T_ini,CdP_t)</f>
        <v>23</v>
      </c>
      <c r="Q946" s="417" t="n">
        <f aca="false">(INDEX(CdP,2,i_P+1)-INDEX(CdP,2,i_P+0))/(INDEX(CdP,1,i_P+1)-INDEX(CdP,1,i_P+0))*(t-pas/2-T_ini-INDEX(CdP,1,i_P+0))+INDEX(CdP,2,i_P+0)</f>
        <v>0</v>
      </c>
      <c r="R946" s="418" t="n">
        <f aca="false">Poussee/(g*ISP)</f>
        <v>0</v>
      </c>
      <c r="S946" s="419" t="n">
        <f aca="false">S945-Débit*pas</f>
        <v>7.37799999999998</v>
      </c>
      <c r="T946" s="417" t="n">
        <f aca="false">m*g</f>
        <v>72.3781799999998</v>
      </c>
      <c r="U946" s="421" t="n">
        <f aca="false">IF(pos_xz&lt;L_rampe,Poids*COS(Beta),0)</f>
        <v>0</v>
      </c>
      <c r="V946" s="418" t="n">
        <f aca="false">Rho_moyen*(20000-Alt_rampe-pos_z)/(20000+Alt_rampe+pos_z)</f>
        <v>1.22639856527983</v>
      </c>
      <c r="W946" s="417" t="n">
        <f aca="false">1/2*Rho*Sref*Cx*vit_xz^2</f>
        <v>58.1077939857524</v>
      </c>
      <c r="X946" s="401"/>
      <c r="Y946" s="422" t="str">
        <f aca="false">IF(AND(pos_z&lt;=0,K945&gt;0),"Impact balistique","") &amp; IF(AND(H947&lt;0,vit_z&gt;=0),"Apogée","") &amp; IF(AND(Poussee=0,Q945&gt;0),"Fin de propulsion","") &amp; IF(AND(L947&gt;L_rampe,pos_xz&lt;=L_rampe),"Sortie de rampe","")</f>
        <v/>
      </c>
      <c r="Z946" s="423" t="str">
        <f aca="false">IF(ABS(t-T_para)&lt;pas/2,"Para","")</f>
        <v/>
      </c>
      <c r="AA946" s="424" t="str">
        <f aca="false">IF(ABS(t-T_satellite)&lt;pas/2,"Satellite","")</f>
        <v/>
      </c>
      <c r="AB946" s="412"/>
      <c r="AC946" s="420" t="e">
        <f aca="false">IF(ABS(t-ROUND(t,0))&lt;0.001,t,NA())</f>
        <v>#N/A</v>
      </c>
      <c r="AD946" s="425" t="e">
        <f aca="false">IF(ABS(t-ROUND(t,0))&lt;0.001,pos_x,NA())</f>
        <v>#N/A</v>
      </c>
      <c r="AE946" s="426" t="e">
        <f aca="false">IF(t&lt;T_para, pos_z, NA())</f>
        <v>#N/A</v>
      </c>
      <c r="AF946" s="412"/>
      <c r="AG946" s="418" t="n">
        <f aca="false">IF(AND(L945&lt;L_rampe,Poussee&lt;Poids*SIN(M945)),0,(-W945+Poussee)/m-Poids*SIN(M945)/m)</f>
        <v>1.88467035634812</v>
      </c>
      <c r="AH946" s="417" t="n">
        <f aca="false">IF(AND(L945&lt;L_rampe,Poussee&lt;Poids*SIN(M945)), g*SIN(M945), (-W945+Poussee)/m)</f>
        <v>-7.87578554788436</v>
      </c>
    </row>
    <row r="947" customFormat="false" ht="12" hidden="false" customHeight="false" outlineLevel="0" collapsed="false">
      <c r="A947" s="416" t="n">
        <f aca="false">IF(B946+0.01&lt;=T_ini+ROUNDUP(Temps_fin_propu,0), 0.01, IF(K946&gt;0, 0.1, 0.0001))</f>
        <v>0.0001</v>
      </c>
      <c r="B947" s="417" t="n">
        <f aca="false">B946+pas</f>
        <v>36.3220000000009</v>
      </c>
      <c r="C947" s="401"/>
      <c r="D947" s="418" t="n">
        <f aca="false">IF(AND(L946&lt;L_rampe,Poussee&lt;Poids*SIN(M946)),0,(-W946+Poussee)/m*COS(M946)-U946/m*SIN(M946))</f>
        <v>-0.790532519182019</v>
      </c>
      <c r="E947" s="419" t="n">
        <f aca="false">IF(AND(L946&lt;L_rampe,Poussee&lt;Poids*SIN(M946)),0,(-W946+Poussee)/m*SIN(M946)+U946/m*COS(M946)-Poids/m)</f>
        <v>-1.97395595636332</v>
      </c>
      <c r="F947" s="417" t="n">
        <f aca="false">SQRT(acc_x^2+acc_z^2)</f>
        <v>2.12636868429407</v>
      </c>
      <c r="G947" s="418" t="n">
        <f aca="false">G946+acc_x*pas</f>
        <v>12.459619164328</v>
      </c>
      <c r="H947" s="419" t="n">
        <f aca="false">H946+acc_z*pas</f>
        <v>-123.505229300421</v>
      </c>
      <c r="I947" s="417" t="n">
        <f aca="false">SQRT(vit_x^2+vit_z^2)</f>
        <v>124.132122249923</v>
      </c>
      <c r="J947" s="418" t="n">
        <f aca="false">J946+0.5*(vit_x+G946)*pas*(K946&gt;=0)</f>
        <v>913.614336176273</v>
      </c>
      <c r="K947" s="419" t="n">
        <f aca="false">K946+0.5*(vit_z+H946)*pas</f>
        <v>-11.4226964245061</v>
      </c>
      <c r="L947" s="417" t="n">
        <f aca="false">SQRT(pos_x^2+pos_z^2)</f>
        <v>913.685740974663</v>
      </c>
      <c r="M947" s="418" t="n">
        <f aca="false">IF(AND(L946&gt;L_rampe,G947&gt;0),ATAN2(G947,H947),$M$4)</f>
        <v>-1.47025316396511</v>
      </c>
      <c r="N947" s="417" t="n">
        <f aca="false">DEGREES(Beta)</f>
        <v>-84.2393011109567</v>
      </c>
      <c r="O947" s="401"/>
      <c r="P947" s="420" t="n">
        <f aca="false">MATCH(t-pas/2-T_ini,CdP_t)</f>
        <v>23</v>
      </c>
      <c r="Q947" s="417" t="n">
        <f aca="false">(INDEX(CdP,2,i_P+1)-INDEX(CdP,2,i_P+0))/(INDEX(CdP,1,i_P+1)-INDEX(CdP,1,i_P+0))*(t-pas/2-T_ini-INDEX(CdP,1,i_P+0))+INDEX(CdP,2,i_P+0)</f>
        <v>0</v>
      </c>
      <c r="R947" s="418" t="n">
        <f aca="false">Poussee/(g*ISP)</f>
        <v>0</v>
      </c>
      <c r="S947" s="419" t="n">
        <f aca="false">S946-Débit*pas</f>
        <v>7.37799999999998</v>
      </c>
      <c r="T947" s="417" t="n">
        <f aca="false">m*g</f>
        <v>72.3781799999998</v>
      </c>
      <c r="U947" s="421" t="n">
        <f aca="false">IF(pos_xz&lt;L_rampe,Poids*COS(Beta),0)</f>
        <v>0</v>
      </c>
      <c r="V947" s="418" t="n">
        <f aca="false">Rho_moyen*(20000-Alt_rampe-pos_z)/(20000+Alt_rampe+pos_z)</f>
        <v>1.22640007994641</v>
      </c>
      <c r="W947" s="417" t="n">
        <f aca="false">1/2*Rho*Sref*Cx*vit_xz^2</f>
        <v>58.1080421970448</v>
      </c>
      <c r="X947" s="401"/>
      <c r="Y947" s="422" t="str">
        <f aca="false">IF(AND(pos_z&lt;=0,K946&gt;0),"Impact balistique","") &amp; IF(AND(H948&lt;0,vit_z&gt;=0),"Apogée","") &amp; IF(AND(Poussee=0,Q946&gt;0),"Fin de propulsion","") &amp; IF(AND(L948&gt;L_rampe,pos_xz&lt;=L_rampe),"Sortie de rampe","")</f>
        <v/>
      </c>
      <c r="Z947" s="423" t="str">
        <f aca="false">IF(ABS(t-T_para)&lt;pas/2,"Para","")</f>
        <v/>
      </c>
      <c r="AA947" s="424" t="str">
        <f aca="false">IF(ABS(t-T_satellite)&lt;pas/2,"Satellite","")</f>
        <v/>
      </c>
      <c r="AB947" s="412"/>
      <c r="AC947" s="420" t="e">
        <f aca="false">IF(ABS(t-ROUND(t,0))&lt;0.001,t,NA())</f>
        <v>#N/A</v>
      </c>
      <c r="AD947" s="425" t="e">
        <f aca="false">IF(ABS(t-ROUND(t,0))&lt;0.001,pos_x,NA())</f>
        <v>#N/A</v>
      </c>
      <c r="AE947" s="426" t="e">
        <f aca="false">IF(t&lt;T_para, pos_z, NA())</f>
        <v>#N/A</v>
      </c>
      <c r="AF947" s="412"/>
      <c r="AG947" s="418" t="n">
        <f aca="false">IF(AND(L946&lt;L_rampe,Poussee&lt;Poids*SIN(M946)),0,(-W946+Poussee)/m-Poids*SIN(M946)/m)</f>
        <v>1.88463749507231</v>
      </c>
      <c r="AH947" s="417" t="n">
        <f aca="false">IF(AND(L946&lt;L_rampe,Poussee&lt;Poids*SIN(M946)), g*SIN(M946), (-W946+Poussee)/m)</f>
        <v>-7.87581919026193</v>
      </c>
    </row>
    <row r="948" customFormat="false" ht="12" hidden="false" customHeight="false" outlineLevel="0" collapsed="false">
      <c r="A948" s="416" t="n">
        <f aca="false">IF(B947+0.01&lt;=T_ini+ROUNDUP(Temps_fin_propu,0), 0.01, IF(K947&gt;0, 0.1, 0.0001))</f>
        <v>0.0001</v>
      </c>
      <c r="B948" s="417" t="n">
        <f aca="false">B947+pas</f>
        <v>36.3221000000009</v>
      </c>
      <c r="C948" s="401"/>
      <c r="D948" s="418" t="n">
        <f aca="false">IF(AND(L947&lt;L_rampe,Poussee&lt;Poids*SIN(M947)),0,(-W947+Poussee)/m*COS(M947)-U947/m*SIN(M947))</f>
        <v>-0.790529680043229</v>
      </c>
      <c r="E948" s="419" t="n">
        <f aca="false">IF(AND(L947&lt;L_rampe,Poussee&lt;Poids*SIN(M947)),0,(-W947+Poussee)/m*SIN(M947)+U947/m*COS(M947)-Poids/m)</f>
        <v>-1.97392185709363</v>
      </c>
      <c r="F948" s="417" t="n">
        <f aca="false">SQRT(acc_x^2+acc_z^2)</f>
        <v>2.12633597367425</v>
      </c>
      <c r="G948" s="418" t="n">
        <f aca="false">G947+acc_x*pas</f>
        <v>12.45954011136</v>
      </c>
      <c r="H948" s="419" t="n">
        <f aca="false">H947+acc_z*pas</f>
        <v>-123.505426692607</v>
      </c>
      <c r="I948" s="417" t="n">
        <f aca="false">SQRT(vit_x^2+vit_z^2)</f>
        <v>124.132310710425</v>
      </c>
      <c r="J948" s="418" t="n">
        <f aca="false">J947+0.5*(vit_x+G947)*pas*(K947&gt;=0)</f>
        <v>913.614336176273</v>
      </c>
      <c r="K948" s="419" t="n">
        <f aca="false">K947+0.5*(vit_z+H947)*pas</f>
        <v>-11.4350469573058</v>
      </c>
      <c r="L948" s="417" t="n">
        <f aca="false">SQRT(pos_x^2+pos_z^2)</f>
        <v>913.685895461744</v>
      </c>
      <c r="M948" s="418" t="n">
        <f aca="false">IF(AND(L947&gt;L_rampe,G948&gt;0),ATAN2(G948,H948),$M$4)</f>
        <v>-1.47025395720538</v>
      </c>
      <c r="N948" s="417" t="n">
        <f aca="false">DEGREES(Beta)</f>
        <v>-84.2393465602765</v>
      </c>
      <c r="O948" s="401"/>
      <c r="P948" s="420" t="n">
        <f aca="false">MATCH(t-pas/2-T_ini,CdP_t)</f>
        <v>23</v>
      </c>
      <c r="Q948" s="417" t="n">
        <f aca="false">(INDEX(CdP,2,i_P+1)-INDEX(CdP,2,i_P+0))/(INDEX(CdP,1,i_P+1)-INDEX(CdP,1,i_P+0))*(t-pas/2-T_ini-INDEX(CdP,1,i_P+0))+INDEX(CdP,2,i_P+0)</f>
        <v>0</v>
      </c>
      <c r="R948" s="418" t="n">
        <f aca="false">Poussee/(g*ISP)</f>
        <v>0</v>
      </c>
      <c r="S948" s="419" t="n">
        <f aca="false">S947-Débit*pas</f>
        <v>7.37799999999998</v>
      </c>
      <c r="T948" s="417" t="n">
        <f aca="false">m*g</f>
        <v>72.3781799999998</v>
      </c>
      <c r="U948" s="421" t="n">
        <f aca="false">IF(pos_xz&lt;L_rampe,Poids*COS(Beta),0)</f>
        <v>0</v>
      </c>
      <c r="V948" s="418" t="n">
        <f aca="false">Rho_moyen*(20000-Alt_rampe-pos_z)/(20000+Alt_rampe+pos_z)</f>
        <v>1.22640159461728</v>
      </c>
      <c r="W948" s="417" t="n">
        <f aca="false">1/2*Rho*Sref*Cx*vit_xz^2</f>
        <v>58.1082904061677</v>
      </c>
      <c r="X948" s="401"/>
      <c r="Y948" s="422" t="str">
        <f aca="false">IF(AND(pos_z&lt;=0,K947&gt;0),"Impact balistique","") &amp; IF(AND(H949&lt;0,vit_z&gt;=0),"Apogée","") &amp; IF(AND(Poussee=0,Q947&gt;0),"Fin de propulsion","") &amp; IF(AND(L949&gt;L_rampe,pos_xz&lt;=L_rampe),"Sortie de rampe","")</f>
        <v/>
      </c>
      <c r="Z948" s="423" t="str">
        <f aca="false">IF(ABS(t-T_para)&lt;pas/2,"Para","")</f>
        <v/>
      </c>
      <c r="AA948" s="424" t="str">
        <f aca="false">IF(ABS(t-T_satellite)&lt;pas/2,"Satellite","")</f>
        <v/>
      </c>
      <c r="AB948" s="412"/>
      <c r="AC948" s="420" t="e">
        <f aca="false">IF(ABS(t-ROUND(t,0))&lt;0.001,t,NA())</f>
        <v>#N/A</v>
      </c>
      <c r="AD948" s="425" t="e">
        <f aca="false">IF(ABS(t-ROUND(t,0))&lt;0.001,pos_x,NA())</f>
        <v>#N/A</v>
      </c>
      <c r="AE948" s="426" t="e">
        <f aca="false">IF(t&lt;T_para, pos_z, NA())</f>
        <v>#N/A</v>
      </c>
      <c r="AF948" s="412"/>
      <c r="AG948" s="418" t="n">
        <f aca="false">IF(AND(L947&lt;L_rampe,Poussee&lt;Poids*SIN(M947)),0,(-W947+Poussee)/m-Poids*SIN(M947)/m)</f>
        <v>1.88460463407707</v>
      </c>
      <c r="AH948" s="417" t="n">
        <f aca="false">IF(AND(L947&lt;L_rampe,Poussee&lt;Poids*SIN(M947)), g*SIN(M947), (-W947+Poussee)/m)</f>
        <v>-7.87585283234547</v>
      </c>
    </row>
    <row r="949" customFormat="false" ht="12" hidden="false" customHeight="false" outlineLevel="0" collapsed="false">
      <c r="A949" s="416" t="n">
        <f aca="false">IF(B948+0.01&lt;=T_ini+ROUNDUP(Temps_fin_propu,0), 0.01, IF(K948&gt;0, 0.1, 0.0001))</f>
        <v>0.0001</v>
      </c>
      <c r="B949" s="417" t="n">
        <f aca="false">B948+pas</f>
        <v>36.3222000000009</v>
      </c>
      <c r="C949" s="401"/>
      <c r="D949" s="418" t="n">
        <f aca="false">IF(AND(L948&lt;L_rampe,Poussee&lt;Poids*SIN(M948)),0,(-W948+Poussee)/m*COS(M948)-U948/m*SIN(M948))</f>
        <v>-0.790526840879638</v>
      </c>
      <c r="E949" s="419" t="n">
        <f aca="false">IF(AND(L948&lt;L_rampe,Poussee&lt;Poids*SIN(M948)),0,(-W948+Poussee)/m*SIN(M948)+U948/m*COS(M948)-Poids/m)</f>
        <v>-1.97388775812196</v>
      </c>
      <c r="F949" s="417" t="n">
        <f aca="false">SQRT(acc_x^2+acc_z^2)</f>
        <v>2.12630326336928</v>
      </c>
      <c r="G949" s="418" t="n">
        <f aca="false">G948+acc_x*pas</f>
        <v>12.4594610586759</v>
      </c>
      <c r="H949" s="419" t="n">
        <f aca="false">H948+acc_z*pas</f>
        <v>-123.505624081383</v>
      </c>
      <c r="I949" s="417" t="n">
        <f aca="false">SQRT(vit_x^2+vit_z^2)</f>
        <v>124.132499167642</v>
      </c>
      <c r="J949" s="418" t="n">
        <f aca="false">J948+0.5*(vit_x+G948)*pas*(K948&gt;=0)</f>
        <v>913.614336176273</v>
      </c>
      <c r="K949" s="419" t="n">
        <f aca="false">K948+0.5*(vit_z+H948)*pas</f>
        <v>-11.4473975098445</v>
      </c>
      <c r="L949" s="417" t="n">
        <f aca="false">SQRT(pos_x^2+pos_z^2)</f>
        <v>913.686050115991</v>
      </c>
      <c r="M949" s="418" t="n">
        <f aca="false">IF(AND(L948&gt;L_rampe,G949&gt;0),ATAN2(G949,H949),$M$4)</f>
        <v>-1.47025475043822</v>
      </c>
      <c r="N949" s="417" t="n">
        <f aca="false">DEGREES(Beta)</f>
        <v>-84.2393920091699</v>
      </c>
      <c r="O949" s="401"/>
      <c r="P949" s="420" t="n">
        <f aca="false">MATCH(t-pas/2-T_ini,CdP_t)</f>
        <v>23</v>
      </c>
      <c r="Q949" s="417" t="n">
        <f aca="false">(INDEX(CdP,2,i_P+1)-INDEX(CdP,2,i_P+0))/(INDEX(CdP,1,i_P+1)-INDEX(CdP,1,i_P+0))*(t-pas/2-T_ini-INDEX(CdP,1,i_P+0))+INDEX(CdP,2,i_P+0)</f>
        <v>0</v>
      </c>
      <c r="R949" s="418" t="n">
        <f aca="false">Poussee/(g*ISP)</f>
        <v>0</v>
      </c>
      <c r="S949" s="419" t="n">
        <f aca="false">S948-Débit*pas</f>
        <v>7.37799999999998</v>
      </c>
      <c r="T949" s="417" t="n">
        <f aca="false">m*g</f>
        <v>72.3781799999998</v>
      </c>
      <c r="U949" s="421" t="n">
        <f aca="false">IF(pos_xz&lt;L_rampe,Poids*COS(Beta),0)</f>
        <v>0</v>
      </c>
      <c r="V949" s="418" t="n">
        <f aca="false">Rho_moyen*(20000-Alt_rampe-pos_z)/(20000+Alt_rampe+pos_z)</f>
        <v>1.22640310929245</v>
      </c>
      <c r="W949" s="417" t="n">
        <f aca="false">1/2*Rho*Sref*Cx*vit_xz^2</f>
        <v>58.1085386131211</v>
      </c>
      <c r="X949" s="401"/>
      <c r="Y949" s="422" t="str">
        <f aca="false">IF(AND(pos_z&lt;=0,K948&gt;0),"Impact balistique","") &amp; IF(AND(H950&lt;0,vit_z&gt;=0),"Apogée","") &amp; IF(AND(Poussee=0,Q948&gt;0),"Fin de propulsion","") &amp; IF(AND(L950&gt;L_rampe,pos_xz&lt;=L_rampe),"Sortie de rampe","")</f>
        <v/>
      </c>
      <c r="Z949" s="423" t="str">
        <f aca="false">IF(ABS(t-T_para)&lt;pas/2,"Para","")</f>
        <v/>
      </c>
      <c r="AA949" s="424" t="str">
        <f aca="false">IF(ABS(t-T_satellite)&lt;pas/2,"Satellite","")</f>
        <v/>
      </c>
      <c r="AB949" s="412"/>
      <c r="AC949" s="420" t="e">
        <f aca="false">IF(ABS(t-ROUND(t,0))&lt;0.001,t,NA())</f>
        <v>#N/A</v>
      </c>
      <c r="AD949" s="425" t="e">
        <f aca="false">IF(ABS(t-ROUND(t,0))&lt;0.001,pos_x,NA())</f>
        <v>#N/A</v>
      </c>
      <c r="AE949" s="426" t="e">
        <f aca="false">IF(t&lt;T_para, pos_z, NA())</f>
        <v>#N/A</v>
      </c>
      <c r="AF949" s="412"/>
      <c r="AG949" s="418" t="n">
        <f aca="false">IF(AND(L948&lt;L_rampe,Poussee&lt;Poids*SIN(M948)),0,(-W948+Poussee)/m-Poids*SIN(M948)/m)</f>
        <v>1.88457177336241</v>
      </c>
      <c r="AH949" s="417" t="n">
        <f aca="false">IF(AND(L948&lt;L_rampe,Poussee&lt;Poids*SIN(M948)), g*SIN(M948), (-W948+Poussee)/m)</f>
        <v>-7.87588647413497</v>
      </c>
    </row>
    <row r="950" customFormat="false" ht="12" hidden="false" customHeight="false" outlineLevel="0" collapsed="false">
      <c r="A950" s="416" t="n">
        <f aca="false">IF(B949+0.01&lt;=T_ini+ROUNDUP(Temps_fin_propu,0), 0.01, IF(K949&gt;0, 0.1, 0.0001))</f>
        <v>0.0001</v>
      </c>
      <c r="B950" s="417" t="n">
        <f aca="false">B949+pas</f>
        <v>36.3223000000009</v>
      </c>
      <c r="C950" s="401"/>
      <c r="D950" s="418" t="n">
        <f aca="false">IF(AND(L949&lt;L_rampe,Poussee&lt;Poids*SIN(M949)),0,(-W949+Poussee)/m*COS(M949)-U949/m*SIN(M949))</f>
        <v>-0.790524001691247</v>
      </c>
      <c r="E950" s="419" t="n">
        <f aca="false">IF(AND(L949&lt;L_rampe,Poussee&lt;Poids*SIN(M949)),0,(-W949+Poussee)/m*SIN(M949)+U949/m*COS(M949)-Poids/m)</f>
        <v>-1.97385365944829</v>
      </c>
      <c r="F950" s="417" t="n">
        <f aca="false">SQRT(acc_x^2+acc_z^2)</f>
        <v>2.12627055337917</v>
      </c>
      <c r="G950" s="418" t="n">
        <f aca="false">G949+acc_x*pas</f>
        <v>12.4593820062757</v>
      </c>
      <c r="H950" s="419" t="n">
        <f aca="false">H949+acc_z*pas</f>
        <v>-123.505821466749</v>
      </c>
      <c r="I950" s="417" t="n">
        <f aca="false">SQRT(vit_x^2+vit_z^2)</f>
        <v>124.132687621572</v>
      </c>
      <c r="J950" s="418" t="n">
        <f aca="false">J949+0.5*(vit_x+G949)*pas*(K949&gt;=0)</f>
        <v>913.614336176273</v>
      </c>
      <c r="K950" s="419" t="n">
        <f aca="false">K949+0.5*(vit_z+H949)*pas</f>
        <v>-11.4597480821219</v>
      </c>
      <c r="L950" s="417" t="n">
        <f aca="false">SQRT(pos_x^2+pos_z^2)</f>
        <v>913.686204937405</v>
      </c>
      <c r="M950" s="418" t="n">
        <f aca="false">IF(AND(L949&gt;L_rampe,G950&gt;0),ATAN2(G950,H950),$M$4)</f>
        <v>-1.47025554366361</v>
      </c>
      <c r="N950" s="417" t="n">
        <f aca="false">DEGREES(Beta)</f>
        <v>-84.2394374576369</v>
      </c>
      <c r="O950" s="401"/>
      <c r="P950" s="420" t="n">
        <f aca="false">MATCH(t-pas/2-T_ini,CdP_t)</f>
        <v>23</v>
      </c>
      <c r="Q950" s="417" t="n">
        <f aca="false">(INDEX(CdP,2,i_P+1)-INDEX(CdP,2,i_P+0))/(INDEX(CdP,1,i_P+1)-INDEX(CdP,1,i_P+0))*(t-pas/2-T_ini-INDEX(CdP,1,i_P+0))+INDEX(CdP,2,i_P+0)</f>
        <v>0</v>
      </c>
      <c r="R950" s="418" t="n">
        <f aca="false">Poussee/(g*ISP)</f>
        <v>0</v>
      </c>
      <c r="S950" s="419" t="n">
        <f aca="false">S949-Débit*pas</f>
        <v>7.37799999999998</v>
      </c>
      <c r="T950" s="417" t="n">
        <f aca="false">m*g</f>
        <v>72.3781799999998</v>
      </c>
      <c r="U950" s="421" t="n">
        <f aca="false">IF(pos_xz&lt;L_rampe,Poids*COS(Beta),0)</f>
        <v>0</v>
      </c>
      <c r="V950" s="418" t="n">
        <f aca="false">Rho_moyen*(20000-Alt_rampe-pos_z)/(20000+Alt_rampe+pos_z)</f>
        <v>1.2264046239719</v>
      </c>
      <c r="W950" s="417" t="n">
        <f aca="false">1/2*Rho*Sref*Cx*vit_xz^2</f>
        <v>58.1087868179051</v>
      </c>
      <c r="X950" s="401"/>
      <c r="Y950" s="422" t="str">
        <f aca="false">IF(AND(pos_z&lt;=0,K949&gt;0),"Impact balistique","") &amp; IF(AND(H951&lt;0,vit_z&gt;=0),"Apogée","") &amp; IF(AND(Poussee=0,Q949&gt;0),"Fin de propulsion","") &amp; IF(AND(L951&gt;L_rampe,pos_xz&lt;=L_rampe),"Sortie de rampe","")</f>
        <v/>
      </c>
      <c r="Z950" s="423" t="str">
        <f aca="false">IF(ABS(t-T_para)&lt;pas/2,"Para","")</f>
        <v/>
      </c>
      <c r="AA950" s="424" t="str">
        <f aca="false">IF(ABS(t-T_satellite)&lt;pas/2,"Satellite","")</f>
        <v/>
      </c>
      <c r="AB950" s="412"/>
      <c r="AC950" s="420" t="e">
        <f aca="false">IF(ABS(t-ROUND(t,0))&lt;0.001,t,NA())</f>
        <v>#N/A</v>
      </c>
      <c r="AD950" s="425" t="e">
        <f aca="false">IF(ABS(t-ROUND(t,0))&lt;0.001,pos_x,NA())</f>
        <v>#N/A</v>
      </c>
      <c r="AE950" s="426" t="e">
        <f aca="false">IF(t&lt;T_para, pos_z, NA())</f>
        <v>#N/A</v>
      </c>
      <c r="AF950" s="412"/>
      <c r="AG950" s="418" t="n">
        <f aca="false">IF(AND(L949&lt;L_rampe,Poussee&lt;Poids*SIN(M949)),0,(-W949+Poussee)/m-Poids*SIN(M949)/m)</f>
        <v>1.88453891292831</v>
      </c>
      <c r="AH950" s="417" t="n">
        <f aca="false">IF(AND(L949&lt;L_rampe,Poussee&lt;Poids*SIN(M949)), g*SIN(M949), (-W949+Poussee)/m)</f>
        <v>-7.87592011563042</v>
      </c>
    </row>
    <row r="951" customFormat="false" ht="12" hidden="false" customHeight="false" outlineLevel="0" collapsed="false">
      <c r="A951" s="416" t="n">
        <f aca="false">IF(B950+0.01&lt;=T_ini+ROUNDUP(Temps_fin_propu,0), 0.01, IF(K950&gt;0, 0.1, 0.0001))</f>
        <v>0.0001</v>
      </c>
      <c r="B951" s="417" t="n">
        <f aca="false">B950+pas</f>
        <v>36.322400000001</v>
      </c>
      <c r="C951" s="401"/>
      <c r="D951" s="418" t="n">
        <f aca="false">IF(AND(L950&lt;L_rampe,Poussee&lt;Poids*SIN(M950)),0,(-W950+Poussee)/m*COS(M950)-U950/m*SIN(M950))</f>
        <v>-0.790521162478054</v>
      </c>
      <c r="E951" s="419" t="n">
        <f aca="false">IF(AND(L950&lt;L_rampe,Poussee&lt;Poids*SIN(M950)),0,(-W950+Poussee)/m*SIN(M950)+U950/m*COS(M950)-Poids/m)</f>
        <v>-1.97381956107264</v>
      </c>
      <c r="F951" s="417" t="n">
        <f aca="false">SQRT(acc_x^2+acc_z^2)</f>
        <v>2.12623784370391</v>
      </c>
      <c r="G951" s="418" t="n">
        <f aca="false">G950+acc_x*pas</f>
        <v>12.4593029541595</v>
      </c>
      <c r="H951" s="419" t="n">
        <f aca="false">H950+acc_z*pas</f>
        <v>-123.506018848705</v>
      </c>
      <c r="I951" s="417" t="n">
        <f aca="false">SQRT(vit_x^2+vit_z^2)</f>
        <v>124.132876072216</v>
      </c>
      <c r="J951" s="418" t="n">
        <f aca="false">J950+0.5*(vit_x+G950)*pas*(K950&gt;=0)</f>
        <v>913.614336176273</v>
      </c>
      <c r="K951" s="419" t="n">
        <f aca="false">K950+0.5*(vit_z+H950)*pas</f>
        <v>-11.4720986741377</v>
      </c>
      <c r="L951" s="417" t="n">
        <f aca="false">SQRT(pos_x^2+pos_z^2)</f>
        <v>913.686359925988</v>
      </c>
      <c r="M951" s="418" t="n">
        <f aca="false">IF(AND(L950&gt;L_rampe,G951&gt;0),ATAN2(G951,H951),$M$4)</f>
        <v>-1.47025633688155</v>
      </c>
      <c r="N951" s="417" t="n">
        <f aca="false">DEGREES(Beta)</f>
        <v>-84.2394829056776</v>
      </c>
      <c r="O951" s="401"/>
      <c r="P951" s="420" t="n">
        <f aca="false">MATCH(t-pas/2-T_ini,CdP_t)</f>
        <v>23</v>
      </c>
      <c r="Q951" s="417" t="n">
        <f aca="false">(INDEX(CdP,2,i_P+1)-INDEX(CdP,2,i_P+0))/(INDEX(CdP,1,i_P+1)-INDEX(CdP,1,i_P+0))*(t-pas/2-T_ini-INDEX(CdP,1,i_P+0))+INDEX(CdP,2,i_P+0)</f>
        <v>0</v>
      </c>
      <c r="R951" s="418" t="n">
        <f aca="false">Poussee/(g*ISP)</f>
        <v>0</v>
      </c>
      <c r="S951" s="419" t="n">
        <f aca="false">S950-Débit*pas</f>
        <v>7.37799999999998</v>
      </c>
      <c r="T951" s="417" t="n">
        <f aca="false">m*g</f>
        <v>72.3781799999998</v>
      </c>
      <c r="U951" s="421" t="n">
        <f aca="false">IF(pos_xz&lt;L_rampe,Poids*COS(Beta),0)</f>
        <v>0</v>
      </c>
      <c r="V951" s="418" t="n">
        <f aca="false">Rho_moyen*(20000-Alt_rampe-pos_z)/(20000+Alt_rampe+pos_z)</f>
        <v>1.22640613865565</v>
      </c>
      <c r="W951" s="417" t="n">
        <f aca="false">1/2*Rho*Sref*Cx*vit_xz^2</f>
        <v>58.1090350205198</v>
      </c>
      <c r="X951" s="401"/>
      <c r="Y951" s="422" t="str">
        <f aca="false">IF(AND(pos_z&lt;=0,K950&gt;0),"Impact balistique","") &amp; IF(AND(H952&lt;0,vit_z&gt;=0),"Apogée","") &amp; IF(AND(Poussee=0,Q950&gt;0),"Fin de propulsion","") &amp; IF(AND(L952&gt;L_rampe,pos_xz&lt;=L_rampe),"Sortie de rampe","")</f>
        <v/>
      </c>
      <c r="Z951" s="423" t="str">
        <f aca="false">IF(ABS(t-T_para)&lt;pas/2,"Para","")</f>
        <v/>
      </c>
      <c r="AA951" s="424" t="str">
        <f aca="false">IF(ABS(t-T_satellite)&lt;pas/2,"Satellite","")</f>
        <v/>
      </c>
      <c r="AB951" s="412"/>
      <c r="AC951" s="420" t="e">
        <f aca="false">IF(ABS(t-ROUND(t,0))&lt;0.001,t,NA())</f>
        <v>#N/A</v>
      </c>
      <c r="AD951" s="425" t="e">
        <f aca="false">IF(ABS(t-ROUND(t,0))&lt;0.001,pos_x,NA())</f>
        <v>#N/A</v>
      </c>
      <c r="AE951" s="426" t="e">
        <f aca="false">IF(t&lt;T_para, pos_z, NA())</f>
        <v>#N/A</v>
      </c>
      <c r="AF951" s="412"/>
      <c r="AG951" s="418" t="n">
        <f aca="false">IF(AND(L950&lt;L_rampe,Poussee&lt;Poids*SIN(M950)),0,(-W950+Poussee)/m-Poids*SIN(M950)/m)</f>
        <v>1.88450605277479</v>
      </c>
      <c r="AH951" s="417" t="n">
        <f aca="false">IF(AND(L950&lt;L_rampe,Poussee&lt;Poids*SIN(M950)), g*SIN(M950), (-W950+Poussee)/m)</f>
        <v>-7.87595375683183</v>
      </c>
    </row>
    <row r="952" customFormat="false" ht="12" hidden="false" customHeight="false" outlineLevel="0" collapsed="false">
      <c r="A952" s="416" t="n">
        <f aca="false">IF(B951+0.01&lt;=T_ini+ROUNDUP(Temps_fin_propu,0), 0.01, IF(K951&gt;0, 0.1, 0.0001))</f>
        <v>0.0001</v>
      </c>
      <c r="B952" s="417" t="n">
        <f aca="false">B951+pas</f>
        <v>36.322500000001</v>
      </c>
      <c r="C952" s="401"/>
      <c r="D952" s="418" t="n">
        <f aca="false">IF(AND(L951&lt;L_rampe,Poussee&lt;Poids*SIN(M951)),0,(-W951+Poussee)/m*COS(M951)-U951/m*SIN(M951))</f>
        <v>-0.790518323240062</v>
      </c>
      <c r="E952" s="419" t="n">
        <f aca="false">IF(AND(L951&lt;L_rampe,Poussee&lt;Poids*SIN(M951)),0,(-W951+Poussee)/m*SIN(M951)+U951/m*COS(M951)-Poids/m)</f>
        <v>-1.973785462995</v>
      </c>
      <c r="F952" s="417" t="n">
        <f aca="false">SQRT(acc_x^2+acc_z^2)</f>
        <v>2.1262051343435</v>
      </c>
      <c r="G952" s="418" t="n">
        <f aca="false">G951+acc_x*pas</f>
        <v>12.4592239023271</v>
      </c>
      <c r="H952" s="419" t="n">
        <f aca="false">H951+acc_z*pas</f>
        <v>-123.506216227251</v>
      </c>
      <c r="I952" s="417" t="n">
        <f aca="false">SQRT(vit_x^2+vit_z^2)</f>
        <v>124.133064519575</v>
      </c>
      <c r="J952" s="418" t="n">
        <f aca="false">J951+0.5*(vit_x+G951)*pas*(K951&gt;=0)</f>
        <v>913.614336176273</v>
      </c>
      <c r="K952" s="419" t="n">
        <f aca="false">K951+0.5*(vit_z+H951)*pas</f>
        <v>-11.4844492858915</v>
      </c>
      <c r="L952" s="417" t="n">
        <f aca="false">SQRT(pos_x^2+pos_z^2)</f>
        <v>913.686515081739</v>
      </c>
      <c r="M952" s="418" t="n">
        <f aca="false">IF(AND(L951&gt;L_rampe,G952&gt;0),ATAN2(G952,H952),$M$4)</f>
        <v>-1.47025713009206</v>
      </c>
      <c r="N952" s="417" t="n">
        <f aca="false">DEGREES(Beta)</f>
        <v>-84.2395283532919</v>
      </c>
      <c r="O952" s="401"/>
      <c r="P952" s="420" t="n">
        <f aca="false">MATCH(t-pas/2-T_ini,CdP_t)</f>
        <v>23</v>
      </c>
      <c r="Q952" s="417" t="n">
        <f aca="false">(INDEX(CdP,2,i_P+1)-INDEX(CdP,2,i_P+0))/(INDEX(CdP,1,i_P+1)-INDEX(CdP,1,i_P+0))*(t-pas/2-T_ini-INDEX(CdP,1,i_P+0))+INDEX(CdP,2,i_P+0)</f>
        <v>0</v>
      </c>
      <c r="R952" s="418" t="n">
        <f aca="false">Poussee/(g*ISP)</f>
        <v>0</v>
      </c>
      <c r="S952" s="419" t="n">
        <f aca="false">S951-Débit*pas</f>
        <v>7.37799999999998</v>
      </c>
      <c r="T952" s="417" t="n">
        <f aca="false">m*g</f>
        <v>72.3781799999998</v>
      </c>
      <c r="U952" s="421" t="n">
        <f aca="false">IF(pos_xz&lt;L_rampe,Poids*COS(Beta),0)</f>
        <v>0</v>
      </c>
      <c r="V952" s="418" t="n">
        <f aca="false">Rho_moyen*(20000-Alt_rampe-pos_z)/(20000+Alt_rampe+pos_z)</f>
        <v>1.22640765334369</v>
      </c>
      <c r="W952" s="417" t="n">
        <f aca="false">1/2*Rho*Sref*Cx*vit_xz^2</f>
        <v>58.1092832209649</v>
      </c>
      <c r="X952" s="401"/>
      <c r="Y952" s="422" t="str">
        <f aca="false">IF(AND(pos_z&lt;=0,K951&gt;0),"Impact balistique","") &amp; IF(AND(H953&lt;0,vit_z&gt;=0),"Apogée","") &amp; IF(AND(Poussee=0,Q951&gt;0),"Fin de propulsion","") &amp; IF(AND(L953&gt;L_rampe,pos_xz&lt;=L_rampe),"Sortie de rampe","")</f>
        <v/>
      </c>
      <c r="Z952" s="423" t="str">
        <f aca="false">IF(ABS(t-T_para)&lt;pas/2,"Para","")</f>
        <v/>
      </c>
      <c r="AA952" s="424" t="str">
        <f aca="false">IF(ABS(t-T_satellite)&lt;pas/2,"Satellite","")</f>
        <v/>
      </c>
      <c r="AB952" s="412"/>
      <c r="AC952" s="420" t="e">
        <f aca="false">IF(ABS(t-ROUND(t,0))&lt;0.001,t,NA())</f>
        <v>#N/A</v>
      </c>
      <c r="AD952" s="425" t="e">
        <f aca="false">IF(ABS(t-ROUND(t,0))&lt;0.001,pos_x,NA())</f>
        <v>#N/A</v>
      </c>
      <c r="AE952" s="426" t="e">
        <f aca="false">IF(t&lt;T_para, pos_z, NA())</f>
        <v>#N/A</v>
      </c>
      <c r="AF952" s="412"/>
      <c r="AG952" s="418" t="n">
        <f aca="false">IF(AND(L951&lt;L_rampe,Poussee&lt;Poids*SIN(M951)),0,(-W951+Poussee)/m-Poids*SIN(M951)/m)</f>
        <v>1.88447319290184</v>
      </c>
      <c r="AH952" s="417" t="n">
        <f aca="false">IF(AND(L951&lt;L_rampe,Poussee&lt;Poids*SIN(M951)), g*SIN(M951), (-W951+Poussee)/m)</f>
        <v>-7.87598739773921</v>
      </c>
    </row>
    <row r="953" customFormat="false" ht="12" hidden="false" customHeight="false" outlineLevel="0" collapsed="false">
      <c r="A953" s="416" t="n">
        <f aca="false">IF(B952+0.01&lt;=T_ini+ROUNDUP(Temps_fin_propu,0), 0.01, IF(K952&gt;0, 0.1, 0.0001))</f>
        <v>0.0001</v>
      </c>
      <c r="B953" s="417" t="n">
        <f aca="false">B952+pas</f>
        <v>36.322600000001</v>
      </c>
      <c r="C953" s="401"/>
      <c r="D953" s="418" t="n">
        <f aca="false">IF(AND(L952&lt;L_rampe,Poussee&lt;Poids*SIN(M952)),0,(-W952+Poussee)/m*COS(M952)-U952/m*SIN(M952))</f>
        <v>-0.790515483977272</v>
      </c>
      <c r="E953" s="419" t="n">
        <f aca="false">IF(AND(L952&lt;L_rampe,Poussee&lt;Poids*SIN(M952)),0,(-W952+Poussee)/m*SIN(M952)+U952/m*COS(M952)-Poids/m)</f>
        <v>-1.97375136521537</v>
      </c>
      <c r="F953" s="417" t="n">
        <f aca="false">SQRT(acc_x^2+acc_z^2)</f>
        <v>2.12617242529795</v>
      </c>
      <c r="G953" s="418" t="n">
        <f aca="false">G952+acc_x*pas</f>
        <v>12.4591448507787</v>
      </c>
      <c r="H953" s="419" t="n">
        <f aca="false">H952+acc_z*pas</f>
        <v>-123.506413602388</v>
      </c>
      <c r="I953" s="417" t="n">
        <f aca="false">SQRT(vit_x^2+vit_z^2)</f>
        <v>124.133252963647</v>
      </c>
      <c r="J953" s="418" t="n">
        <f aca="false">J952+0.5*(vit_x+G952)*pas*(K952&gt;=0)</f>
        <v>913.614336176273</v>
      </c>
      <c r="K953" s="419" t="n">
        <f aca="false">K952+0.5*(vit_z+H952)*pas</f>
        <v>-11.496799917383</v>
      </c>
      <c r="L953" s="417" t="n">
        <f aca="false">SQRT(pos_x^2+pos_z^2)</f>
        <v>913.686670404659</v>
      </c>
      <c r="M953" s="418" t="n">
        <f aca="false">IF(AND(L952&gt;L_rampe,G953&gt;0),ATAN2(G953,H953),$M$4)</f>
        <v>-1.47025792329513</v>
      </c>
      <c r="N953" s="417" t="n">
        <f aca="false">DEGREES(Beta)</f>
        <v>-84.2395738004799</v>
      </c>
      <c r="O953" s="401"/>
      <c r="P953" s="420" t="n">
        <f aca="false">MATCH(t-pas/2-T_ini,CdP_t)</f>
        <v>23</v>
      </c>
      <c r="Q953" s="417" t="n">
        <f aca="false">(INDEX(CdP,2,i_P+1)-INDEX(CdP,2,i_P+0))/(INDEX(CdP,1,i_P+1)-INDEX(CdP,1,i_P+0))*(t-pas/2-T_ini-INDEX(CdP,1,i_P+0))+INDEX(CdP,2,i_P+0)</f>
        <v>0</v>
      </c>
      <c r="R953" s="418" t="n">
        <f aca="false">Poussee/(g*ISP)</f>
        <v>0</v>
      </c>
      <c r="S953" s="419" t="n">
        <f aca="false">S952-Débit*pas</f>
        <v>7.37799999999998</v>
      </c>
      <c r="T953" s="417" t="n">
        <f aca="false">m*g</f>
        <v>72.3781799999998</v>
      </c>
      <c r="U953" s="421" t="n">
        <f aca="false">IF(pos_xz&lt;L_rampe,Poids*COS(Beta),0)</f>
        <v>0</v>
      </c>
      <c r="V953" s="418" t="n">
        <f aca="false">Rho_moyen*(20000-Alt_rampe-pos_z)/(20000+Alt_rampe+pos_z)</f>
        <v>1.22640916803603</v>
      </c>
      <c r="W953" s="417" t="n">
        <f aca="false">1/2*Rho*Sref*Cx*vit_xz^2</f>
        <v>58.1095314192407</v>
      </c>
      <c r="X953" s="401"/>
      <c r="Y953" s="422" t="str">
        <f aca="false">IF(AND(pos_z&lt;=0,K952&gt;0),"Impact balistique","") &amp; IF(AND(H954&lt;0,vit_z&gt;=0),"Apogée","") &amp; IF(AND(Poussee=0,Q952&gt;0),"Fin de propulsion","") &amp; IF(AND(L954&gt;L_rampe,pos_xz&lt;=L_rampe),"Sortie de rampe","")</f>
        <v/>
      </c>
      <c r="Z953" s="423" t="str">
        <f aca="false">IF(ABS(t-T_para)&lt;pas/2,"Para","")</f>
        <v/>
      </c>
      <c r="AA953" s="424" t="str">
        <f aca="false">IF(ABS(t-T_satellite)&lt;pas/2,"Satellite","")</f>
        <v/>
      </c>
      <c r="AB953" s="412"/>
      <c r="AC953" s="420" t="e">
        <f aca="false">IF(ABS(t-ROUND(t,0))&lt;0.001,t,NA())</f>
        <v>#N/A</v>
      </c>
      <c r="AD953" s="425" t="e">
        <f aca="false">IF(ABS(t-ROUND(t,0))&lt;0.001,pos_x,NA())</f>
        <v>#N/A</v>
      </c>
      <c r="AE953" s="426" t="e">
        <f aca="false">IF(t&lt;T_para, pos_z, NA())</f>
        <v>#N/A</v>
      </c>
      <c r="AF953" s="412"/>
      <c r="AG953" s="418" t="n">
        <f aca="false">IF(AND(L952&lt;L_rampe,Poussee&lt;Poids*SIN(M952)),0,(-W952+Poussee)/m-Poids*SIN(M952)/m)</f>
        <v>1.88444033330946</v>
      </c>
      <c r="AH953" s="417" t="n">
        <f aca="false">IF(AND(L952&lt;L_rampe,Poussee&lt;Poids*SIN(M952)), g*SIN(M952), (-W952+Poussee)/m)</f>
        <v>-7.87602103835254</v>
      </c>
    </row>
    <row r="954" customFormat="false" ht="12" hidden="false" customHeight="false" outlineLevel="0" collapsed="false">
      <c r="A954" s="416" t="n">
        <f aca="false">IF(B953+0.01&lt;=T_ini+ROUNDUP(Temps_fin_propu,0), 0.01, IF(K953&gt;0, 0.1, 0.0001))</f>
        <v>0.0001</v>
      </c>
      <c r="B954" s="417" t="n">
        <f aca="false">B953+pas</f>
        <v>36.322700000001</v>
      </c>
      <c r="C954" s="401"/>
      <c r="D954" s="418" t="n">
        <f aca="false">IF(AND(L953&lt;L_rampe,Poussee&lt;Poids*SIN(M953)),0,(-W953+Poussee)/m*COS(M953)-U953/m*SIN(M953))</f>
        <v>-0.790512644689683</v>
      </c>
      <c r="E954" s="419" t="n">
        <f aca="false">IF(AND(L953&lt;L_rampe,Poussee&lt;Poids*SIN(M953)),0,(-W953+Poussee)/m*SIN(M953)+U953/m*COS(M953)-Poids/m)</f>
        <v>-1.97371726773375</v>
      </c>
      <c r="F954" s="417" t="n">
        <f aca="false">SQRT(acc_x^2+acc_z^2)</f>
        <v>2.12613971656725</v>
      </c>
      <c r="G954" s="418" t="n">
        <f aca="false">G953+acc_x*pas</f>
        <v>12.4590657995143</v>
      </c>
      <c r="H954" s="419" t="n">
        <f aca="false">H953+acc_z*pas</f>
        <v>-123.506610974115</v>
      </c>
      <c r="I954" s="417" t="n">
        <f aca="false">SQRT(vit_x^2+vit_z^2)</f>
        <v>124.133441404433</v>
      </c>
      <c r="J954" s="418" t="n">
        <f aca="false">J953+0.5*(vit_x+G953)*pas*(K953&gt;=0)</f>
        <v>913.614336176273</v>
      </c>
      <c r="K954" s="419" t="n">
        <f aca="false">K953+0.5*(vit_z+H953)*pas</f>
        <v>-11.5091505686118</v>
      </c>
      <c r="L954" s="417" t="n">
        <f aca="false">SQRT(pos_x^2+pos_z^2)</f>
        <v>913.68682589475</v>
      </c>
      <c r="M954" s="418" t="n">
        <f aca="false">IF(AND(L953&gt;L_rampe,G954&gt;0),ATAN2(G954,H954),$M$4)</f>
        <v>-1.47025871649075</v>
      </c>
      <c r="N954" s="417" t="n">
        <f aca="false">DEGREES(Beta)</f>
        <v>-84.2396192472416</v>
      </c>
      <c r="O954" s="401"/>
      <c r="P954" s="420" t="n">
        <f aca="false">MATCH(t-pas/2-T_ini,CdP_t)</f>
        <v>23</v>
      </c>
      <c r="Q954" s="417" t="n">
        <f aca="false">(INDEX(CdP,2,i_P+1)-INDEX(CdP,2,i_P+0))/(INDEX(CdP,1,i_P+1)-INDEX(CdP,1,i_P+0))*(t-pas/2-T_ini-INDEX(CdP,1,i_P+0))+INDEX(CdP,2,i_P+0)</f>
        <v>0</v>
      </c>
      <c r="R954" s="418" t="n">
        <f aca="false">Poussee/(g*ISP)</f>
        <v>0</v>
      </c>
      <c r="S954" s="419" t="n">
        <f aca="false">S953-Débit*pas</f>
        <v>7.37799999999998</v>
      </c>
      <c r="T954" s="417" t="n">
        <f aca="false">m*g</f>
        <v>72.3781799999998</v>
      </c>
      <c r="U954" s="421" t="n">
        <f aca="false">IF(pos_xz&lt;L_rampe,Poids*COS(Beta),0)</f>
        <v>0</v>
      </c>
      <c r="V954" s="418" t="n">
        <f aca="false">Rho_moyen*(20000-Alt_rampe-pos_z)/(20000+Alt_rampe+pos_z)</f>
        <v>1.22641068273265</v>
      </c>
      <c r="W954" s="417" t="n">
        <f aca="false">1/2*Rho*Sref*Cx*vit_xz^2</f>
        <v>58.109779615347</v>
      </c>
      <c r="X954" s="401"/>
      <c r="Y954" s="422" t="str">
        <f aca="false">IF(AND(pos_z&lt;=0,K953&gt;0),"Impact balistique","") &amp; IF(AND(H955&lt;0,vit_z&gt;=0),"Apogée","") &amp; IF(AND(Poussee=0,Q953&gt;0),"Fin de propulsion","") &amp; IF(AND(L955&gt;L_rampe,pos_xz&lt;=L_rampe),"Sortie de rampe","")</f>
        <v/>
      </c>
      <c r="Z954" s="423" t="str">
        <f aca="false">IF(ABS(t-T_para)&lt;pas/2,"Para","")</f>
        <v/>
      </c>
      <c r="AA954" s="424" t="str">
        <f aca="false">IF(ABS(t-T_satellite)&lt;pas/2,"Satellite","")</f>
        <v/>
      </c>
      <c r="AB954" s="412"/>
      <c r="AC954" s="420" t="e">
        <f aca="false">IF(ABS(t-ROUND(t,0))&lt;0.001,t,NA())</f>
        <v>#N/A</v>
      </c>
      <c r="AD954" s="425" t="e">
        <f aca="false">IF(ABS(t-ROUND(t,0))&lt;0.001,pos_x,NA())</f>
        <v>#N/A</v>
      </c>
      <c r="AE954" s="426" t="e">
        <f aca="false">IF(t&lt;T_para, pos_z, NA())</f>
        <v>#N/A</v>
      </c>
      <c r="AF954" s="412"/>
      <c r="AG954" s="418" t="n">
        <f aca="false">IF(AND(L953&lt;L_rampe,Poussee&lt;Poids*SIN(M953)),0,(-W953+Poussee)/m-Poids*SIN(M953)/m)</f>
        <v>1.88440747399766</v>
      </c>
      <c r="AH954" s="417" t="n">
        <f aca="false">IF(AND(L953&lt;L_rampe,Poussee&lt;Poids*SIN(M953)), g*SIN(M953), (-W953+Poussee)/m)</f>
        <v>-7.87605467867183</v>
      </c>
    </row>
    <row r="955" customFormat="false" ht="12" hidden="false" customHeight="false" outlineLevel="0" collapsed="false">
      <c r="A955" s="416" t="n">
        <f aca="false">IF(B954+0.01&lt;=T_ini+ROUNDUP(Temps_fin_propu,0), 0.01, IF(K954&gt;0, 0.1, 0.0001))</f>
        <v>0.0001</v>
      </c>
      <c r="B955" s="417" t="n">
        <f aca="false">B954+pas</f>
        <v>36.322800000001</v>
      </c>
      <c r="C955" s="401"/>
      <c r="D955" s="418" t="n">
        <f aca="false">IF(AND(L954&lt;L_rampe,Poussee&lt;Poids*SIN(M954)),0,(-W954+Poussee)/m*COS(M954)-U954/m*SIN(M954))</f>
        <v>-0.790509805377296</v>
      </c>
      <c r="E955" s="419" t="n">
        <f aca="false">IF(AND(L954&lt;L_rampe,Poussee&lt;Poids*SIN(M954)),0,(-W954+Poussee)/m*SIN(M954)+U954/m*COS(M954)-Poids/m)</f>
        <v>-1.97368317055014</v>
      </c>
      <c r="F955" s="417" t="n">
        <f aca="false">SQRT(acc_x^2+acc_z^2)</f>
        <v>2.12610700815141</v>
      </c>
      <c r="G955" s="418" t="n">
        <f aca="false">G954+acc_x*pas</f>
        <v>12.4589867485337</v>
      </c>
      <c r="H955" s="419" t="n">
        <f aca="false">H954+acc_z*pas</f>
        <v>-123.506808342432</v>
      </c>
      <c r="I955" s="417" t="n">
        <f aca="false">SQRT(vit_x^2+vit_z^2)</f>
        <v>124.133629841934</v>
      </c>
      <c r="J955" s="418" t="n">
        <f aca="false">J954+0.5*(vit_x+G954)*pas*(K954&gt;=0)</f>
        <v>913.614336176273</v>
      </c>
      <c r="K955" s="419" t="n">
        <f aca="false">K954+0.5*(vit_z+H954)*pas</f>
        <v>-11.5215012395776</v>
      </c>
      <c r="L955" s="417" t="n">
        <f aca="false">SQRT(pos_x^2+pos_z^2)</f>
        <v>913.686981552012</v>
      </c>
      <c r="M955" s="418" t="n">
        <f aca="false">IF(AND(L954&gt;L_rampe,G955&gt;0),ATAN2(G955,H955),$M$4)</f>
        <v>-1.47025950967894</v>
      </c>
      <c r="N955" s="417" t="n">
        <f aca="false">DEGREES(Beta)</f>
        <v>-84.2396646935769</v>
      </c>
      <c r="O955" s="401"/>
      <c r="P955" s="420" t="n">
        <f aca="false">MATCH(t-pas/2-T_ini,CdP_t)</f>
        <v>23</v>
      </c>
      <c r="Q955" s="417" t="n">
        <f aca="false">(INDEX(CdP,2,i_P+1)-INDEX(CdP,2,i_P+0))/(INDEX(CdP,1,i_P+1)-INDEX(CdP,1,i_P+0))*(t-pas/2-T_ini-INDEX(CdP,1,i_P+0))+INDEX(CdP,2,i_P+0)</f>
        <v>0</v>
      </c>
      <c r="R955" s="418" t="n">
        <f aca="false">Poussee/(g*ISP)</f>
        <v>0</v>
      </c>
      <c r="S955" s="419" t="n">
        <f aca="false">S954-Débit*pas</f>
        <v>7.37799999999998</v>
      </c>
      <c r="T955" s="417" t="n">
        <f aca="false">m*g</f>
        <v>72.3781799999998</v>
      </c>
      <c r="U955" s="421" t="n">
        <f aca="false">IF(pos_xz&lt;L_rampe,Poids*COS(Beta),0)</f>
        <v>0</v>
      </c>
      <c r="V955" s="418" t="n">
        <f aca="false">Rho_moyen*(20000-Alt_rampe-pos_z)/(20000+Alt_rampe+pos_z)</f>
        <v>1.22641219743357</v>
      </c>
      <c r="W955" s="417" t="n">
        <f aca="false">1/2*Rho*Sref*Cx*vit_xz^2</f>
        <v>58.1100278092839</v>
      </c>
      <c r="X955" s="401"/>
      <c r="Y955" s="422" t="str">
        <f aca="false">IF(AND(pos_z&lt;=0,K954&gt;0),"Impact balistique","") &amp; IF(AND(H956&lt;0,vit_z&gt;=0),"Apogée","") &amp; IF(AND(Poussee=0,Q954&gt;0),"Fin de propulsion","") &amp; IF(AND(L956&gt;L_rampe,pos_xz&lt;=L_rampe),"Sortie de rampe","")</f>
        <v/>
      </c>
      <c r="Z955" s="423" t="str">
        <f aca="false">IF(ABS(t-T_para)&lt;pas/2,"Para","")</f>
        <v/>
      </c>
      <c r="AA955" s="424" t="str">
        <f aca="false">IF(ABS(t-T_satellite)&lt;pas/2,"Satellite","")</f>
        <v/>
      </c>
      <c r="AB955" s="412"/>
      <c r="AC955" s="420" t="e">
        <f aca="false">IF(ABS(t-ROUND(t,0))&lt;0.001,t,NA())</f>
        <v>#N/A</v>
      </c>
      <c r="AD955" s="425" t="e">
        <f aca="false">IF(ABS(t-ROUND(t,0))&lt;0.001,pos_x,NA())</f>
        <v>#N/A</v>
      </c>
      <c r="AE955" s="426" t="e">
        <f aca="false">IF(t&lt;T_para, pos_z, NA())</f>
        <v>#N/A</v>
      </c>
      <c r="AF955" s="412"/>
      <c r="AG955" s="418" t="n">
        <f aca="false">IF(AND(L954&lt;L_rampe,Poussee&lt;Poids*SIN(M954)),0,(-W954+Poussee)/m-Poids*SIN(M954)/m)</f>
        <v>1.88437461496643</v>
      </c>
      <c r="AH955" s="417" t="n">
        <f aca="false">IF(AND(L954&lt;L_rampe,Poussee&lt;Poids*SIN(M954)), g*SIN(M954), (-W954+Poussee)/m)</f>
        <v>-7.87608831869709</v>
      </c>
    </row>
    <row r="956" customFormat="false" ht="12" hidden="false" customHeight="false" outlineLevel="0" collapsed="false">
      <c r="A956" s="416" t="n">
        <f aca="false">IF(B955+0.01&lt;=T_ini+ROUNDUP(Temps_fin_propu,0), 0.01, IF(K955&gt;0, 0.1, 0.0001))</f>
        <v>0.0001</v>
      </c>
      <c r="B956" s="417" t="n">
        <f aca="false">B955+pas</f>
        <v>36.322900000001</v>
      </c>
      <c r="C956" s="401"/>
      <c r="D956" s="418" t="n">
        <f aca="false">IF(AND(L955&lt;L_rampe,Poussee&lt;Poids*SIN(M955)),0,(-W955+Poussee)/m*COS(M955)-U955/m*SIN(M955))</f>
        <v>-0.790506966040115</v>
      </c>
      <c r="E956" s="419" t="n">
        <f aca="false">IF(AND(L955&lt;L_rampe,Poussee&lt;Poids*SIN(M955)),0,(-W955+Poussee)/m*SIN(M955)+U955/m*COS(M955)-Poids/m)</f>
        <v>-1.97364907366455</v>
      </c>
      <c r="F956" s="417" t="n">
        <f aca="false">SQRT(acc_x^2+acc_z^2)</f>
        <v>2.12607430005042</v>
      </c>
      <c r="G956" s="418" t="n">
        <f aca="false">G955+acc_x*pas</f>
        <v>12.4589076978371</v>
      </c>
      <c r="H956" s="419" t="n">
        <f aca="false">H955+acc_z*pas</f>
        <v>-123.507005707339</v>
      </c>
      <c r="I956" s="417" t="n">
        <f aca="false">SQRT(vit_x^2+vit_z^2)</f>
        <v>124.133818276149</v>
      </c>
      <c r="J956" s="418" t="n">
        <f aca="false">J955+0.5*(vit_x+G955)*pas*(K955&gt;=0)</f>
        <v>913.614336176273</v>
      </c>
      <c r="K956" s="419" t="n">
        <f aca="false">K955+0.5*(vit_z+H955)*pas</f>
        <v>-11.5338519302801</v>
      </c>
      <c r="L956" s="417" t="n">
        <f aca="false">SQRT(pos_x^2+pos_z^2)</f>
        <v>913.687137376445</v>
      </c>
      <c r="M956" s="418" t="n">
        <f aca="false">IF(AND(L955&gt;L_rampe,G956&gt;0),ATAN2(G956,H956),$M$4)</f>
        <v>-1.47026030285968</v>
      </c>
      <c r="N956" s="417" t="n">
        <f aca="false">DEGREES(Beta)</f>
        <v>-84.2397101394859</v>
      </c>
      <c r="O956" s="401"/>
      <c r="P956" s="420" t="n">
        <f aca="false">MATCH(t-pas/2-T_ini,CdP_t)</f>
        <v>23</v>
      </c>
      <c r="Q956" s="417" t="n">
        <f aca="false">(INDEX(CdP,2,i_P+1)-INDEX(CdP,2,i_P+0))/(INDEX(CdP,1,i_P+1)-INDEX(CdP,1,i_P+0))*(t-pas/2-T_ini-INDEX(CdP,1,i_P+0))+INDEX(CdP,2,i_P+0)</f>
        <v>0</v>
      </c>
      <c r="R956" s="418" t="n">
        <f aca="false">Poussee/(g*ISP)</f>
        <v>0</v>
      </c>
      <c r="S956" s="419" t="n">
        <f aca="false">S955-Débit*pas</f>
        <v>7.37799999999998</v>
      </c>
      <c r="T956" s="417" t="n">
        <f aca="false">m*g</f>
        <v>72.3781799999998</v>
      </c>
      <c r="U956" s="421" t="n">
        <f aca="false">IF(pos_xz&lt;L_rampe,Poids*COS(Beta),0)</f>
        <v>0</v>
      </c>
      <c r="V956" s="418" t="n">
        <f aca="false">Rho_moyen*(20000-Alt_rampe-pos_z)/(20000+Alt_rampe+pos_z)</f>
        <v>1.22641371213878</v>
      </c>
      <c r="W956" s="417" t="n">
        <f aca="false">1/2*Rho*Sref*Cx*vit_xz^2</f>
        <v>58.1102760010514</v>
      </c>
      <c r="X956" s="401"/>
      <c r="Y956" s="422" t="str">
        <f aca="false">IF(AND(pos_z&lt;=0,K955&gt;0),"Impact balistique","") &amp; IF(AND(H957&lt;0,vit_z&gt;=0),"Apogée","") &amp; IF(AND(Poussee=0,Q955&gt;0),"Fin de propulsion","") &amp; IF(AND(L957&gt;L_rampe,pos_xz&lt;=L_rampe),"Sortie de rampe","")</f>
        <v/>
      </c>
      <c r="Z956" s="423" t="str">
        <f aca="false">IF(ABS(t-T_para)&lt;pas/2,"Para","")</f>
        <v/>
      </c>
      <c r="AA956" s="424" t="str">
        <f aca="false">IF(ABS(t-T_satellite)&lt;pas/2,"Satellite","")</f>
        <v/>
      </c>
      <c r="AB956" s="412"/>
      <c r="AC956" s="420" t="e">
        <f aca="false">IF(ABS(t-ROUND(t,0))&lt;0.001,t,NA())</f>
        <v>#N/A</v>
      </c>
      <c r="AD956" s="425" t="e">
        <f aca="false">IF(ABS(t-ROUND(t,0))&lt;0.001,pos_x,NA())</f>
        <v>#N/A</v>
      </c>
      <c r="AE956" s="426" t="e">
        <f aca="false">IF(t&lt;T_para, pos_z, NA())</f>
        <v>#N/A</v>
      </c>
      <c r="AF956" s="412"/>
      <c r="AG956" s="418" t="n">
        <f aca="false">IF(AND(L955&lt;L_rampe,Poussee&lt;Poids*SIN(M955)),0,(-W955+Poussee)/m-Poids*SIN(M955)/m)</f>
        <v>1.88434175621576</v>
      </c>
      <c r="AH956" s="417" t="n">
        <f aca="false">IF(AND(L955&lt;L_rampe,Poussee&lt;Poids*SIN(M955)), g*SIN(M955), (-W955+Poussee)/m)</f>
        <v>-7.8761219584283</v>
      </c>
    </row>
    <row r="957" customFormat="false" ht="12" hidden="false" customHeight="false" outlineLevel="0" collapsed="false">
      <c r="A957" s="416" t="n">
        <f aca="false">IF(B956+0.01&lt;=T_ini+ROUNDUP(Temps_fin_propu,0), 0.01, IF(K956&gt;0, 0.1, 0.0001))</f>
        <v>0.0001</v>
      </c>
      <c r="B957" s="417" t="n">
        <f aca="false">B956+pas</f>
        <v>36.323000000001</v>
      </c>
      <c r="C957" s="401"/>
      <c r="D957" s="418" t="n">
        <f aca="false">IF(AND(L956&lt;L_rampe,Poussee&lt;Poids*SIN(M956)),0,(-W956+Poussee)/m*COS(M956)-U956/m*SIN(M956))</f>
        <v>-0.790504126678135</v>
      </c>
      <c r="E957" s="419" t="n">
        <f aca="false">IF(AND(L956&lt;L_rampe,Poussee&lt;Poids*SIN(M956)),0,(-W956+Poussee)/m*SIN(M956)+U956/m*COS(M956)-Poids/m)</f>
        <v>-1.97361497707696</v>
      </c>
      <c r="F957" s="417" t="n">
        <f aca="false">SQRT(acc_x^2+acc_z^2)</f>
        <v>2.12604159226428</v>
      </c>
      <c r="G957" s="418" t="n">
        <f aca="false">G956+acc_x*pas</f>
        <v>12.4588286474245</v>
      </c>
      <c r="H957" s="419" t="n">
        <f aca="false">H956+acc_z*pas</f>
        <v>-123.507203068837</v>
      </c>
      <c r="I957" s="417" t="n">
        <f aca="false">SQRT(vit_x^2+vit_z^2)</f>
        <v>124.134006707077</v>
      </c>
      <c r="J957" s="418" t="n">
        <f aca="false">J956+0.5*(vit_x+G956)*pas*(K956&gt;=0)</f>
        <v>913.614336176273</v>
      </c>
      <c r="K957" s="419" t="n">
        <f aca="false">K956+0.5*(vit_z+H956)*pas</f>
        <v>-11.5462026407189</v>
      </c>
      <c r="L957" s="417" t="n">
        <f aca="false">SQRT(pos_x^2+pos_z^2)</f>
        <v>913.68729336805</v>
      </c>
      <c r="M957" s="418" t="n">
        <f aca="false">IF(AND(L956&gt;L_rampe,G957&gt;0),ATAN2(G957,H957),$M$4)</f>
        <v>-1.47026109603298</v>
      </c>
      <c r="N957" s="417" t="n">
        <f aca="false">DEGREES(Beta)</f>
        <v>-84.2397555849686</v>
      </c>
      <c r="O957" s="401"/>
      <c r="P957" s="420" t="n">
        <f aca="false">MATCH(t-pas/2-T_ini,CdP_t)</f>
        <v>23</v>
      </c>
      <c r="Q957" s="417" t="n">
        <f aca="false">(INDEX(CdP,2,i_P+1)-INDEX(CdP,2,i_P+0))/(INDEX(CdP,1,i_P+1)-INDEX(CdP,1,i_P+0))*(t-pas/2-T_ini-INDEX(CdP,1,i_P+0))+INDEX(CdP,2,i_P+0)</f>
        <v>0</v>
      </c>
      <c r="R957" s="418" t="n">
        <f aca="false">Poussee/(g*ISP)</f>
        <v>0</v>
      </c>
      <c r="S957" s="419" t="n">
        <f aca="false">S956-Débit*pas</f>
        <v>7.37799999999998</v>
      </c>
      <c r="T957" s="417" t="n">
        <f aca="false">m*g</f>
        <v>72.3781799999998</v>
      </c>
      <c r="U957" s="421" t="n">
        <f aca="false">IF(pos_xz&lt;L_rampe,Poids*COS(Beta),0)</f>
        <v>0</v>
      </c>
      <c r="V957" s="418" t="n">
        <f aca="false">Rho_moyen*(20000-Alt_rampe-pos_z)/(20000+Alt_rampe+pos_z)</f>
        <v>1.22641522684829</v>
      </c>
      <c r="W957" s="417" t="n">
        <f aca="false">1/2*Rho*Sref*Cx*vit_xz^2</f>
        <v>58.1105241906495</v>
      </c>
      <c r="X957" s="401"/>
      <c r="Y957" s="422" t="str">
        <f aca="false">IF(AND(pos_z&lt;=0,K956&gt;0),"Impact balistique","") &amp; IF(AND(H958&lt;0,vit_z&gt;=0),"Apogée","") &amp; IF(AND(Poussee=0,Q956&gt;0),"Fin de propulsion","") &amp; IF(AND(L958&gt;L_rampe,pos_xz&lt;=L_rampe),"Sortie de rampe","")</f>
        <v/>
      </c>
      <c r="Z957" s="423" t="str">
        <f aca="false">IF(ABS(t-T_para)&lt;pas/2,"Para","")</f>
        <v/>
      </c>
      <c r="AA957" s="424" t="str">
        <f aca="false">IF(ABS(t-T_satellite)&lt;pas/2,"Satellite","")</f>
        <v/>
      </c>
      <c r="AB957" s="412"/>
      <c r="AC957" s="420" t="e">
        <f aca="false">IF(ABS(t-ROUND(t,0))&lt;0.001,t,NA())</f>
        <v>#N/A</v>
      </c>
      <c r="AD957" s="425" t="e">
        <f aca="false">IF(ABS(t-ROUND(t,0))&lt;0.001,pos_x,NA())</f>
        <v>#N/A</v>
      </c>
      <c r="AE957" s="426" t="e">
        <f aca="false">IF(t&lt;T_para, pos_z, NA())</f>
        <v>#N/A</v>
      </c>
      <c r="AF957" s="412"/>
      <c r="AG957" s="418" t="n">
        <f aca="false">IF(AND(L956&lt;L_rampe,Poussee&lt;Poids*SIN(M956)),0,(-W956+Poussee)/m-Poids*SIN(M956)/m)</f>
        <v>1.88430889774567</v>
      </c>
      <c r="AH957" s="417" t="n">
        <f aca="false">IF(AND(L956&lt;L_rampe,Poussee&lt;Poids*SIN(M956)), g*SIN(M956), (-W956+Poussee)/m)</f>
        <v>-7.87615559786548</v>
      </c>
    </row>
    <row r="958" customFormat="false" ht="12" hidden="false" customHeight="false" outlineLevel="0" collapsed="false">
      <c r="A958" s="416" t="n">
        <f aca="false">IF(B957+0.01&lt;=T_ini+ROUNDUP(Temps_fin_propu,0), 0.01, IF(K957&gt;0, 0.1, 0.0001))</f>
        <v>0.0001</v>
      </c>
      <c r="B958" s="417" t="n">
        <f aca="false">B957+pas</f>
        <v>36.323100000001</v>
      </c>
      <c r="C958" s="401"/>
      <c r="D958" s="418" t="n">
        <f aca="false">IF(AND(L957&lt;L_rampe,Poussee&lt;Poids*SIN(M957)),0,(-W957+Poussee)/m*COS(M957)-U957/m*SIN(M957))</f>
        <v>-0.790501287291362</v>
      </c>
      <c r="E958" s="419" t="n">
        <f aca="false">IF(AND(L957&lt;L_rampe,Poussee&lt;Poids*SIN(M957)),0,(-W957+Poussee)/m*SIN(M957)+U957/m*COS(M957)-Poids/m)</f>
        <v>-1.97358088078738</v>
      </c>
      <c r="F958" s="417" t="n">
        <f aca="false">SQRT(acc_x^2+acc_z^2)</f>
        <v>2.126008884793</v>
      </c>
      <c r="G958" s="418" t="n">
        <f aca="false">G957+acc_x*pas</f>
        <v>12.4587495972957</v>
      </c>
      <c r="H958" s="419" t="n">
        <f aca="false">H957+acc_z*pas</f>
        <v>-123.507400426925</v>
      </c>
      <c r="I958" s="417" t="n">
        <f aca="false">SQRT(vit_x^2+vit_z^2)</f>
        <v>124.13419513472</v>
      </c>
      <c r="J958" s="418" t="n">
        <f aca="false">J957+0.5*(vit_x+G957)*pas*(K957&gt;=0)</f>
        <v>913.614336176273</v>
      </c>
      <c r="K958" s="419" t="n">
        <f aca="false">K957+0.5*(vit_z+H957)*pas</f>
        <v>-11.5585533708937</v>
      </c>
      <c r="L958" s="417" t="n">
        <f aca="false">SQRT(pos_x^2+pos_z^2)</f>
        <v>913.687449526828</v>
      </c>
      <c r="M958" s="418" t="n">
        <f aca="false">IF(AND(L957&gt;L_rampe,G958&gt;0),ATAN2(G958,H958),$M$4)</f>
        <v>-1.47026188919885</v>
      </c>
      <c r="N958" s="417" t="n">
        <f aca="false">DEGREES(Beta)</f>
        <v>-84.239801030025</v>
      </c>
      <c r="O958" s="401"/>
      <c r="P958" s="420" t="n">
        <f aca="false">MATCH(t-pas/2-T_ini,CdP_t)</f>
        <v>23</v>
      </c>
      <c r="Q958" s="417" t="n">
        <f aca="false">(INDEX(CdP,2,i_P+1)-INDEX(CdP,2,i_P+0))/(INDEX(CdP,1,i_P+1)-INDEX(CdP,1,i_P+0))*(t-pas/2-T_ini-INDEX(CdP,1,i_P+0))+INDEX(CdP,2,i_P+0)</f>
        <v>0</v>
      </c>
      <c r="R958" s="418" t="n">
        <f aca="false">Poussee/(g*ISP)</f>
        <v>0</v>
      </c>
      <c r="S958" s="419" t="n">
        <f aca="false">S957-Débit*pas</f>
        <v>7.37799999999998</v>
      </c>
      <c r="T958" s="417" t="n">
        <f aca="false">m*g</f>
        <v>72.3781799999998</v>
      </c>
      <c r="U958" s="421" t="n">
        <f aca="false">IF(pos_xz&lt;L_rampe,Poids*COS(Beta),0)</f>
        <v>0</v>
      </c>
      <c r="V958" s="418" t="n">
        <f aca="false">Rho_moyen*(20000-Alt_rampe-pos_z)/(20000+Alt_rampe+pos_z)</f>
        <v>1.22641674156208</v>
      </c>
      <c r="W958" s="417" t="n">
        <f aca="false">1/2*Rho*Sref*Cx*vit_xz^2</f>
        <v>58.1107723780781</v>
      </c>
      <c r="X958" s="401"/>
      <c r="Y958" s="422" t="str">
        <f aca="false">IF(AND(pos_z&lt;=0,K957&gt;0),"Impact balistique","") &amp; IF(AND(H959&lt;0,vit_z&gt;=0),"Apogée","") &amp; IF(AND(Poussee=0,Q957&gt;0),"Fin de propulsion","") &amp; IF(AND(L959&gt;L_rampe,pos_xz&lt;=L_rampe),"Sortie de rampe","")</f>
        <v/>
      </c>
      <c r="Z958" s="423" t="str">
        <f aca="false">IF(ABS(t-T_para)&lt;pas/2,"Para","")</f>
        <v/>
      </c>
      <c r="AA958" s="424" t="str">
        <f aca="false">IF(ABS(t-T_satellite)&lt;pas/2,"Satellite","")</f>
        <v/>
      </c>
      <c r="AB958" s="412"/>
      <c r="AC958" s="420" t="e">
        <f aca="false">IF(ABS(t-ROUND(t,0))&lt;0.001,t,NA())</f>
        <v>#N/A</v>
      </c>
      <c r="AD958" s="425" t="e">
        <f aca="false">IF(ABS(t-ROUND(t,0))&lt;0.001,pos_x,NA())</f>
        <v>#N/A</v>
      </c>
      <c r="AE958" s="426" t="e">
        <f aca="false">IF(t&lt;T_para, pos_z, NA())</f>
        <v>#N/A</v>
      </c>
      <c r="AF958" s="412"/>
      <c r="AG958" s="418" t="n">
        <f aca="false">IF(AND(L957&lt;L_rampe,Poussee&lt;Poids*SIN(M957)),0,(-W957+Poussee)/m-Poids*SIN(M957)/m)</f>
        <v>1.88427603955615</v>
      </c>
      <c r="AH958" s="417" t="n">
        <f aca="false">IF(AND(L957&lt;L_rampe,Poussee&lt;Poids*SIN(M957)), g*SIN(M957), (-W957+Poussee)/m)</f>
        <v>-7.87618923700862</v>
      </c>
    </row>
    <row r="959" customFormat="false" ht="12" hidden="false" customHeight="false" outlineLevel="0" collapsed="false">
      <c r="A959" s="416" t="n">
        <f aca="false">IF(B958+0.01&lt;=T_ini+ROUNDUP(Temps_fin_propu,0), 0.01, IF(K958&gt;0, 0.1, 0.0001))</f>
        <v>0.0001</v>
      </c>
      <c r="B959" s="417" t="n">
        <f aca="false">B958+pas</f>
        <v>36.323200000001</v>
      </c>
      <c r="C959" s="401"/>
      <c r="D959" s="418" t="n">
        <f aca="false">IF(AND(L958&lt;L_rampe,Poussee&lt;Poids*SIN(M958)),0,(-W958+Poussee)/m*COS(M958)-U958/m*SIN(M958))</f>
        <v>-0.790498447879792</v>
      </c>
      <c r="E959" s="419" t="n">
        <f aca="false">IF(AND(L958&lt;L_rampe,Poussee&lt;Poids*SIN(M958)),0,(-W958+Poussee)/m*SIN(M958)+U958/m*COS(M958)-Poids/m)</f>
        <v>-1.97354678479581</v>
      </c>
      <c r="F959" s="417" t="n">
        <f aca="false">SQRT(acc_x^2+acc_z^2)</f>
        <v>2.12597617763658</v>
      </c>
      <c r="G959" s="418" t="n">
        <f aca="false">G958+acc_x*pas</f>
        <v>12.4586705474509</v>
      </c>
      <c r="H959" s="419" t="n">
        <f aca="false">H958+acc_z*pas</f>
        <v>-123.507597781603</v>
      </c>
      <c r="I959" s="417" t="n">
        <f aca="false">SQRT(vit_x^2+vit_z^2)</f>
        <v>124.134383559078</v>
      </c>
      <c r="J959" s="418" t="n">
        <f aca="false">J958+0.5*(vit_x+G958)*pas*(K958&gt;=0)</f>
        <v>913.614336176273</v>
      </c>
      <c r="K959" s="419" t="n">
        <f aca="false">K958+0.5*(vit_z+H958)*pas</f>
        <v>-11.5709041208041</v>
      </c>
      <c r="L959" s="417" t="n">
        <f aca="false">SQRT(pos_x^2+pos_z^2)</f>
        <v>913.68760585278</v>
      </c>
      <c r="M959" s="418" t="n">
        <f aca="false">IF(AND(L958&gt;L_rampe,G959&gt;0),ATAN2(G959,H959),$M$4)</f>
        <v>-1.47026268235727</v>
      </c>
      <c r="N959" s="417" t="n">
        <f aca="false">DEGREES(Beta)</f>
        <v>-84.239846474655</v>
      </c>
      <c r="O959" s="401"/>
      <c r="P959" s="420" t="n">
        <f aca="false">MATCH(t-pas/2-T_ini,CdP_t)</f>
        <v>23</v>
      </c>
      <c r="Q959" s="417" t="n">
        <f aca="false">(INDEX(CdP,2,i_P+1)-INDEX(CdP,2,i_P+0))/(INDEX(CdP,1,i_P+1)-INDEX(CdP,1,i_P+0))*(t-pas/2-T_ini-INDEX(CdP,1,i_P+0))+INDEX(CdP,2,i_P+0)</f>
        <v>0</v>
      </c>
      <c r="R959" s="418" t="n">
        <f aca="false">Poussee/(g*ISP)</f>
        <v>0</v>
      </c>
      <c r="S959" s="419" t="n">
        <f aca="false">S958-Débit*pas</f>
        <v>7.37799999999998</v>
      </c>
      <c r="T959" s="417" t="n">
        <f aca="false">m*g</f>
        <v>72.3781799999998</v>
      </c>
      <c r="U959" s="421" t="n">
        <f aca="false">IF(pos_xz&lt;L_rampe,Poids*COS(Beta),0)</f>
        <v>0</v>
      </c>
      <c r="V959" s="418" t="n">
        <f aca="false">Rho_moyen*(20000-Alt_rampe-pos_z)/(20000+Alt_rampe+pos_z)</f>
        <v>1.22641825628017</v>
      </c>
      <c r="W959" s="417" t="n">
        <f aca="false">1/2*Rho*Sref*Cx*vit_xz^2</f>
        <v>58.1110205633374</v>
      </c>
      <c r="X959" s="401"/>
      <c r="Y959" s="422" t="str">
        <f aca="false">IF(AND(pos_z&lt;=0,K958&gt;0),"Impact balistique","") &amp; IF(AND(H960&lt;0,vit_z&gt;=0),"Apogée","") &amp; IF(AND(Poussee=0,Q958&gt;0),"Fin de propulsion","") &amp; IF(AND(L960&gt;L_rampe,pos_xz&lt;=L_rampe),"Sortie de rampe","")</f>
        <v/>
      </c>
      <c r="Z959" s="423" t="str">
        <f aca="false">IF(ABS(t-T_para)&lt;pas/2,"Para","")</f>
        <v/>
      </c>
      <c r="AA959" s="424" t="str">
        <f aca="false">IF(ABS(t-T_satellite)&lt;pas/2,"Satellite","")</f>
        <v/>
      </c>
      <c r="AB959" s="412"/>
      <c r="AC959" s="420" t="e">
        <f aca="false">IF(ABS(t-ROUND(t,0))&lt;0.001,t,NA())</f>
        <v>#N/A</v>
      </c>
      <c r="AD959" s="425" t="e">
        <f aca="false">IF(ABS(t-ROUND(t,0))&lt;0.001,pos_x,NA())</f>
        <v>#N/A</v>
      </c>
      <c r="AE959" s="426" t="e">
        <f aca="false">IF(t&lt;T_para, pos_z, NA())</f>
        <v>#N/A</v>
      </c>
      <c r="AF959" s="412"/>
      <c r="AG959" s="418" t="n">
        <f aca="false">IF(AND(L958&lt;L_rampe,Poussee&lt;Poids*SIN(M958)),0,(-W958+Poussee)/m-Poids*SIN(M958)/m)</f>
        <v>1.88424318164721</v>
      </c>
      <c r="AH959" s="417" t="n">
        <f aca="false">IF(AND(L958&lt;L_rampe,Poussee&lt;Poids*SIN(M958)), g*SIN(M958), (-W958+Poussee)/m)</f>
        <v>-7.87622287585772</v>
      </c>
    </row>
    <row r="960" customFormat="false" ht="12" hidden="false" customHeight="false" outlineLevel="0" collapsed="false">
      <c r="A960" s="416" t="n">
        <f aca="false">IF(B959+0.01&lt;=T_ini+ROUNDUP(Temps_fin_propu,0), 0.01, IF(K959&gt;0, 0.1, 0.0001))</f>
        <v>0.0001</v>
      </c>
      <c r="B960" s="417" t="n">
        <f aca="false">B959+pas</f>
        <v>36.323300000001</v>
      </c>
      <c r="C960" s="401"/>
      <c r="D960" s="418" t="n">
        <f aca="false">IF(AND(L959&lt;L_rampe,Poussee&lt;Poids*SIN(M959)),0,(-W959+Poussee)/m*COS(M959)-U959/m*SIN(M959))</f>
        <v>-0.790495608443429</v>
      </c>
      <c r="E960" s="419" t="n">
        <f aca="false">IF(AND(L959&lt;L_rampe,Poussee&lt;Poids*SIN(M959)),0,(-W959+Poussee)/m*SIN(M959)+U959/m*COS(M959)-Poids/m)</f>
        <v>-1.97351268910226</v>
      </c>
      <c r="F960" s="417" t="n">
        <f aca="false">SQRT(acc_x^2+acc_z^2)</f>
        <v>2.12594347079502</v>
      </c>
      <c r="G960" s="418" t="n">
        <f aca="false">G959+acc_x*pas</f>
        <v>12.4585914978901</v>
      </c>
      <c r="H960" s="419" t="n">
        <f aca="false">H959+acc_z*pas</f>
        <v>-123.507795132872</v>
      </c>
      <c r="I960" s="417" t="n">
        <f aca="false">SQRT(vit_x^2+vit_z^2)</f>
        <v>124.134571980149</v>
      </c>
      <c r="J960" s="418" t="n">
        <f aca="false">J959+0.5*(vit_x+G959)*pas*(K959&gt;=0)</f>
        <v>913.614336176273</v>
      </c>
      <c r="K960" s="419" t="n">
        <f aca="false">K959+0.5*(vit_z+H959)*pas</f>
        <v>-11.5832548904498</v>
      </c>
      <c r="L960" s="417" t="n">
        <f aca="false">SQRT(pos_x^2+pos_z^2)</f>
        <v>913.687762345906</v>
      </c>
      <c r="M960" s="418" t="n">
        <f aca="false">IF(AND(L959&gt;L_rampe,G960&gt;0),ATAN2(G960,H960),$M$4)</f>
        <v>-1.47026347550825</v>
      </c>
      <c r="N960" s="417" t="n">
        <f aca="false">DEGREES(Beta)</f>
        <v>-84.2398919188588</v>
      </c>
      <c r="O960" s="401"/>
      <c r="P960" s="420" t="n">
        <f aca="false">MATCH(t-pas/2-T_ini,CdP_t)</f>
        <v>23</v>
      </c>
      <c r="Q960" s="417" t="n">
        <f aca="false">(INDEX(CdP,2,i_P+1)-INDEX(CdP,2,i_P+0))/(INDEX(CdP,1,i_P+1)-INDEX(CdP,1,i_P+0))*(t-pas/2-T_ini-INDEX(CdP,1,i_P+0))+INDEX(CdP,2,i_P+0)</f>
        <v>0</v>
      </c>
      <c r="R960" s="418" t="n">
        <f aca="false">Poussee/(g*ISP)</f>
        <v>0</v>
      </c>
      <c r="S960" s="419" t="n">
        <f aca="false">S959-Débit*pas</f>
        <v>7.37799999999998</v>
      </c>
      <c r="T960" s="417" t="n">
        <f aca="false">m*g</f>
        <v>72.3781799999998</v>
      </c>
      <c r="U960" s="421" t="n">
        <f aca="false">IF(pos_xz&lt;L_rampe,Poids*COS(Beta),0)</f>
        <v>0</v>
      </c>
      <c r="V960" s="418" t="n">
        <f aca="false">Rho_moyen*(20000-Alt_rampe-pos_z)/(20000+Alt_rampe+pos_z)</f>
        <v>1.22641977100255</v>
      </c>
      <c r="W960" s="417" t="n">
        <f aca="false">1/2*Rho*Sref*Cx*vit_xz^2</f>
        <v>58.1112687464272</v>
      </c>
      <c r="X960" s="401"/>
      <c r="Y960" s="422" t="str">
        <f aca="false">IF(AND(pos_z&lt;=0,K959&gt;0),"Impact balistique","") &amp; IF(AND(H961&lt;0,vit_z&gt;=0),"Apogée","") &amp; IF(AND(Poussee=0,Q959&gt;0),"Fin de propulsion","") &amp; IF(AND(L961&gt;L_rampe,pos_xz&lt;=L_rampe),"Sortie de rampe","")</f>
        <v/>
      </c>
      <c r="Z960" s="423" t="str">
        <f aca="false">IF(ABS(t-T_para)&lt;pas/2,"Para","")</f>
        <v/>
      </c>
      <c r="AA960" s="424" t="str">
        <f aca="false">IF(ABS(t-T_satellite)&lt;pas/2,"Satellite","")</f>
        <v/>
      </c>
      <c r="AB960" s="412"/>
      <c r="AC960" s="420" t="e">
        <f aca="false">IF(ABS(t-ROUND(t,0))&lt;0.001,t,NA())</f>
        <v>#N/A</v>
      </c>
      <c r="AD960" s="425" t="e">
        <f aca="false">IF(ABS(t-ROUND(t,0))&lt;0.001,pos_x,NA())</f>
        <v>#N/A</v>
      </c>
      <c r="AE960" s="426" t="e">
        <f aca="false">IF(t&lt;T_para, pos_z, NA())</f>
        <v>#N/A</v>
      </c>
      <c r="AF960" s="412"/>
      <c r="AG960" s="418" t="n">
        <f aca="false">IF(AND(L959&lt;L_rampe,Poussee&lt;Poids*SIN(M959)),0,(-W959+Poussee)/m-Poids*SIN(M959)/m)</f>
        <v>1.88421032401884</v>
      </c>
      <c r="AH960" s="417" t="n">
        <f aca="false">IF(AND(L959&lt;L_rampe,Poussee&lt;Poids*SIN(M959)), g*SIN(M959), (-W959+Poussee)/m)</f>
        <v>-7.87625651441278</v>
      </c>
    </row>
    <row r="961" customFormat="false" ht="12" hidden="false" customHeight="false" outlineLevel="0" collapsed="false">
      <c r="A961" s="416" t="n">
        <f aca="false">IF(B960+0.01&lt;=T_ini+ROUNDUP(Temps_fin_propu,0), 0.01, IF(K960&gt;0, 0.1, 0.0001))</f>
        <v>0.0001</v>
      </c>
      <c r="B961" s="417" t="n">
        <f aca="false">B960+pas</f>
        <v>36.323400000001</v>
      </c>
      <c r="C961" s="401"/>
      <c r="D961" s="418" t="n">
        <f aca="false">IF(AND(L960&lt;L_rampe,Poussee&lt;Poids*SIN(M960)),0,(-W960+Poussee)/m*COS(M960)-U960/m*SIN(M960))</f>
        <v>-0.790492768982273</v>
      </c>
      <c r="E961" s="419" t="n">
        <f aca="false">IF(AND(L960&lt;L_rampe,Poussee&lt;Poids*SIN(M960)),0,(-W960+Poussee)/m*SIN(M960)+U960/m*COS(M960)-Poids/m)</f>
        <v>-1.9734785937067</v>
      </c>
      <c r="F961" s="417" t="n">
        <f aca="false">SQRT(acc_x^2+acc_z^2)</f>
        <v>2.1259107642683</v>
      </c>
      <c r="G961" s="418" t="n">
        <f aca="false">G960+acc_x*pas</f>
        <v>12.4585124486132</v>
      </c>
      <c r="H961" s="419" t="n">
        <f aca="false">H960+acc_z*pas</f>
        <v>-123.507992480731</v>
      </c>
      <c r="I961" s="417" t="n">
        <f aca="false">SQRT(vit_x^2+vit_z^2)</f>
        <v>124.134760397935</v>
      </c>
      <c r="J961" s="418" t="n">
        <f aca="false">J960+0.5*(vit_x+G960)*pas*(K960&gt;=0)</f>
        <v>913.614336176273</v>
      </c>
      <c r="K961" s="419" t="n">
        <f aca="false">K960+0.5*(vit_z+H960)*pas</f>
        <v>-11.5956056798305</v>
      </c>
      <c r="L961" s="417" t="n">
        <f aca="false">SQRT(pos_x^2+pos_z^2)</f>
        <v>913.687919006208</v>
      </c>
      <c r="M961" s="418" t="n">
        <f aca="false">IF(AND(L960&gt;L_rampe,G961&gt;0),ATAN2(G961,H961),$M$4)</f>
        <v>-1.47026426865179</v>
      </c>
      <c r="N961" s="417" t="n">
        <f aca="false">DEGREES(Beta)</f>
        <v>-84.2399373626362</v>
      </c>
      <c r="O961" s="401"/>
      <c r="P961" s="420" t="n">
        <f aca="false">MATCH(t-pas/2-T_ini,CdP_t)</f>
        <v>23</v>
      </c>
      <c r="Q961" s="417" t="n">
        <f aca="false">(INDEX(CdP,2,i_P+1)-INDEX(CdP,2,i_P+0))/(INDEX(CdP,1,i_P+1)-INDEX(CdP,1,i_P+0))*(t-pas/2-T_ini-INDEX(CdP,1,i_P+0))+INDEX(CdP,2,i_P+0)</f>
        <v>0</v>
      </c>
      <c r="R961" s="418" t="n">
        <f aca="false">Poussee/(g*ISP)</f>
        <v>0</v>
      </c>
      <c r="S961" s="419" t="n">
        <f aca="false">S960-Débit*pas</f>
        <v>7.37799999999998</v>
      </c>
      <c r="T961" s="417" t="n">
        <f aca="false">m*g</f>
        <v>72.3781799999998</v>
      </c>
      <c r="U961" s="421" t="n">
        <f aca="false">IF(pos_xz&lt;L_rampe,Poids*COS(Beta),0)</f>
        <v>0</v>
      </c>
      <c r="V961" s="418" t="n">
        <f aca="false">Rho_moyen*(20000-Alt_rampe-pos_z)/(20000+Alt_rampe+pos_z)</f>
        <v>1.22642128572922</v>
      </c>
      <c r="W961" s="417" t="n">
        <f aca="false">1/2*Rho*Sref*Cx*vit_xz^2</f>
        <v>58.1115169273476</v>
      </c>
      <c r="X961" s="401"/>
      <c r="Y961" s="422" t="str">
        <f aca="false">IF(AND(pos_z&lt;=0,K960&gt;0),"Impact balistique","") &amp; IF(AND(H962&lt;0,vit_z&gt;=0),"Apogée","") &amp; IF(AND(Poussee=0,Q960&gt;0),"Fin de propulsion","") &amp; IF(AND(L962&gt;L_rampe,pos_xz&lt;=L_rampe),"Sortie de rampe","")</f>
        <v/>
      </c>
      <c r="Z961" s="423" t="str">
        <f aca="false">IF(ABS(t-T_para)&lt;pas/2,"Para","")</f>
        <v/>
      </c>
      <c r="AA961" s="424" t="str">
        <f aca="false">IF(ABS(t-T_satellite)&lt;pas/2,"Satellite","")</f>
        <v/>
      </c>
      <c r="AB961" s="412"/>
      <c r="AC961" s="420" t="e">
        <f aca="false">IF(ABS(t-ROUND(t,0))&lt;0.001,t,NA())</f>
        <v>#N/A</v>
      </c>
      <c r="AD961" s="425" t="e">
        <f aca="false">IF(ABS(t-ROUND(t,0))&lt;0.001,pos_x,NA())</f>
        <v>#N/A</v>
      </c>
      <c r="AE961" s="426" t="e">
        <f aca="false">IF(t&lt;T_para, pos_z, NA())</f>
        <v>#N/A</v>
      </c>
      <c r="AF961" s="412"/>
      <c r="AG961" s="418" t="n">
        <f aca="false">IF(AND(L960&lt;L_rampe,Poussee&lt;Poids*SIN(M960)),0,(-W960+Poussee)/m-Poids*SIN(M960)/m)</f>
        <v>1.88417746667103</v>
      </c>
      <c r="AH961" s="417" t="n">
        <f aca="false">IF(AND(L960&lt;L_rampe,Poussee&lt;Poids*SIN(M960)), g*SIN(M960), (-W960+Poussee)/m)</f>
        <v>-7.87629015267381</v>
      </c>
    </row>
    <row r="962" customFormat="false" ht="12" hidden="false" customHeight="false" outlineLevel="0" collapsed="false">
      <c r="A962" s="416" t="n">
        <f aca="false">IF(B961+0.01&lt;=T_ini+ROUNDUP(Temps_fin_propu,0), 0.01, IF(K961&gt;0, 0.1, 0.0001))</f>
        <v>0.0001</v>
      </c>
      <c r="B962" s="417" t="n">
        <f aca="false">B961+pas</f>
        <v>36.323500000001</v>
      </c>
      <c r="C962" s="401"/>
      <c r="D962" s="418" t="n">
        <f aca="false">IF(AND(L961&lt;L_rampe,Poussee&lt;Poids*SIN(M961)),0,(-W961+Poussee)/m*COS(M961)-U961/m*SIN(M961))</f>
        <v>-0.790489929496324</v>
      </c>
      <c r="E962" s="419" t="n">
        <f aca="false">IF(AND(L961&lt;L_rampe,Poussee&lt;Poids*SIN(M961)),0,(-W961+Poussee)/m*SIN(M961)+U961/m*COS(M961)-Poids/m)</f>
        <v>-1.97344449860916</v>
      </c>
      <c r="F962" s="417" t="n">
        <f aca="false">SQRT(acc_x^2+acc_z^2)</f>
        <v>2.12587805805645</v>
      </c>
      <c r="G962" s="418" t="n">
        <f aca="false">G961+acc_x*pas</f>
        <v>12.4584333996203</v>
      </c>
      <c r="H962" s="419" t="n">
        <f aca="false">H961+acc_z*pas</f>
        <v>-123.508189825181</v>
      </c>
      <c r="I962" s="417" t="n">
        <f aca="false">SQRT(vit_x^2+vit_z^2)</f>
        <v>124.134948812435</v>
      </c>
      <c r="J962" s="418" t="n">
        <f aca="false">J961+0.5*(vit_x+G961)*pas*(K961&gt;=0)</f>
        <v>913.614336176273</v>
      </c>
      <c r="K962" s="419" t="n">
        <f aca="false">K961+0.5*(vit_z+H961)*pas</f>
        <v>-11.6079564889458</v>
      </c>
      <c r="L962" s="417" t="n">
        <f aca="false">SQRT(pos_x^2+pos_z^2)</f>
        <v>913.688075833685</v>
      </c>
      <c r="M962" s="418" t="n">
        <f aca="false">IF(AND(L961&gt;L_rampe,G962&gt;0),ATAN2(G962,H962),$M$4)</f>
        <v>-1.47026506178789</v>
      </c>
      <c r="N962" s="417" t="n">
        <f aca="false">DEGREES(Beta)</f>
        <v>-84.2399828059874</v>
      </c>
      <c r="O962" s="401"/>
      <c r="P962" s="420" t="n">
        <f aca="false">MATCH(t-pas/2-T_ini,CdP_t)</f>
        <v>23</v>
      </c>
      <c r="Q962" s="417" t="n">
        <f aca="false">(INDEX(CdP,2,i_P+1)-INDEX(CdP,2,i_P+0))/(INDEX(CdP,1,i_P+1)-INDEX(CdP,1,i_P+0))*(t-pas/2-T_ini-INDEX(CdP,1,i_P+0))+INDEX(CdP,2,i_P+0)</f>
        <v>0</v>
      </c>
      <c r="R962" s="418" t="n">
        <f aca="false">Poussee/(g*ISP)</f>
        <v>0</v>
      </c>
      <c r="S962" s="419" t="n">
        <f aca="false">S961-Débit*pas</f>
        <v>7.37799999999998</v>
      </c>
      <c r="T962" s="417" t="n">
        <f aca="false">m*g</f>
        <v>72.3781799999998</v>
      </c>
      <c r="U962" s="421" t="n">
        <f aca="false">IF(pos_xz&lt;L_rampe,Poids*COS(Beta),0)</f>
        <v>0</v>
      </c>
      <c r="V962" s="418" t="n">
        <f aca="false">Rho_moyen*(20000-Alt_rampe-pos_z)/(20000+Alt_rampe+pos_z)</f>
        <v>1.22642280046019</v>
      </c>
      <c r="W962" s="417" t="n">
        <f aca="false">1/2*Rho*Sref*Cx*vit_xz^2</f>
        <v>58.1117651060987</v>
      </c>
      <c r="X962" s="401"/>
      <c r="Y962" s="422" t="str">
        <f aca="false">IF(AND(pos_z&lt;=0,K961&gt;0),"Impact balistique","") &amp; IF(AND(H963&lt;0,vit_z&gt;=0),"Apogée","") &amp; IF(AND(Poussee=0,Q961&gt;0),"Fin de propulsion","") &amp; IF(AND(L963&gt;L_rampe,pos_xz&lt;=L_rampe),"Sortie de rampe","")</f>
        <v/>
      </c>
      <c r="Z962" s="423" t="str">
        <f aca="false">IF(ABS(t-T_para)&lt;pas/2,"Para","")</f>
        <v/>
      </c>
      <c r="AA962" s="424" t="str">
        <f aca="false">IF(ABS(t-T_satellite)&lt;pas/2,"Satellite","")</f>
        <v/>
      </c>
      <c r="AB962" s="412"/>
      <c r="AC962" s="420" t="e">
        <f aca="false">IF(ABS(t-ROUND(t,0))&lt;0.001,t,NA())</f>
        <v>#N/A</v>
      </c>
      <c r="AD962" s="425" t="e">
        <f aca="false">IF(ABS(t-ROUND(t,0))&lt;0.001,pos_x,NA())</f>
        <v>#N/A</v>
      </c>
      <c r="AE962" s="426" t="e">
        <f aca="false">IF(t&lt;T_para, pos_z, NA())</f>
        <v>#N/A</v>
      </c>
      <c r="AF962" s="412"/>
      <c r="AG962" s="418" t="n">
        <f aca="false">IF(AND(L961&lt;L_rampe,Poussee&lt;Poids*SIN(M961)),0,(-W961+Poussee)/m-Poids*SIN(M961)/m)</f>
        <v>1.8841446096038</v>
      </c>
      <c r="AH962" s="417" t="n">
        <f aca="false">IF(AND(L961&lt;L_rampe,Poussee&lt;Poids*SIN(M961)), g*SIN(M961), (-W961+Poussee)/m)</f>
        <v>-7.87632379064079</v>
      </c>
    </row>
    <row r="963" customFormat="false" ht="12" hidden="false" customHeight="false" outlineLevel="0" collapsed="false">
      <c r="A963" s="416" t="n">
        <f aca="false">IF(B962+0.01&lt;=T_ini+ROUNDUP(Temps_fin_propu,0), 0.01, IF(K962&gt;0, 0.1, 0.0001))</f>
        <v>0.0001</v>
      </c>
      <c r="B963" s="417" t="n">
        <f aca="false">B962+pas</f>
        <v>36.323600000001</v>
      </c>
      <c r="C963" s="401"/>
      <c r="D963" s="418" t="n">
        <f aca="false">IF(AND(L962&lt;L_rampe,Poussee&lt;Poids*SIN(M962)),0,(-W962+Poussee)/m*COS(M962)-U962/m*SIN(M962))</f>
        <v>-0.790487089985584</v>
      </c>
      <c r="E963" s="419" t="n">
        <f aca="false">IF(AND(L962&lt;L_rampe,Poussee&lt;Poids*SIN(M962)),0,(-W962+Poussee)/m*SIN(M962)+U962/m*COS(M962)-Poids/m)</f>
        <v>-1.97341040380963</v>
      </c>
      <c r="F963" s="417" t="n">
        <f aca="false">SQRT(acc_x^2+acc_z^2)</f>
        <v>2.12584535215946</v>
      </c>
      <c r="G963" s="418" t="n">
        <f aca="false">G962+acc_x*pas</f>
        <v>12.4583543509113</v>
      </c>
      <c r="H963" s="419" t="n">
        <f aca="false">H962+acc_z*pas</f>
        <v>-123.508387166222</v>
      </c>
      <c r="I963" s="417" t="n">
        <f aca="false">SQRT(vit_x^2+vit_z^2)</f>
        <v>124.135137223649</v>
      </c>
      <c r="J963" s="418" t="n">
        <f aca="false">J962+0.5*(vit_x+G962)*pas*(K962&gt;=0)</f>
        <v>913.614336176273</v>
      </c>
      <c r="K963" s="419" t="n">
        <f aca="false">K962+0.5*(vit_z+H962)*pas</f>
        <v>-11.6203073177954</v>
      </c>
      <c r="L963" s="417" t="n">
        <f aca="false">SQRT(pos_x^2+pos_z^2)</f>
        <v>913.688232828339</v>
      </c>
      <c r="M963" s="418" t="n">
        <f aca="false">IF(AND(L962&gt;L_rampe,G963&gt;0),ATAN2(G963,H963),$M$4)</f>
        <v>-1.47026585491655</v>
      </c>
      <c r="N963" s="417" t="n">
        <f aca="false">DEGREES(Beta)</f>
        <v>-84.2400282489123</v>
      </c>
      <c r="O963" s="401"/>
      <c r="P963" s="420" t="n">
        <f aca="false">MATCH(t-pas/2-T_ini,CdP_t)</f>
        <v>23</v>
      </c>
      <c r="Q963" s="417" t="n">
        <f aca="false">(INDEX(CdP,2,i_P+1)-INDEX(CdP,2,i_P+0))/(INDEX(CdP,1,i_P+1)-INDEX(CdP,1,i_P+0))*(t-pas/2-T_ini-INDEX(CdP,1,i_P+0))+INDEX(CdP,2,i_P+0)</f>
        <v>0</v>
      </c>
      <c r="R963" s="418" t="n">
        <f aca="false">Poussee/(g*ISP)</f>
        <v>0</v>
      </c>
      <c r="S963" s="419" t="n">
        <f aca="false">S962-Débit*pas</f>
        <v>7.37799999999998</v>
      </c>
      <c r="T963" s="417" t="n">
        <f aca="false">m*g</f>
        <v>72.3781799999998</v>
      </c>
      <c r="U963" s="421" t="n">
        <f aca="false">IF(pos_xz&lt;L_rampe,Poids*COS(Beta),0)</f>
        <v>0</v>
      </c>
      <c r="V963" s="418" t="n">
        <f aca="false">Rho_moyen*(20000-Alt_rampe-pos_z)/(20000+Alt_rampe+pos_z)</f>
        <v>1.22642431519544</v>
      </c>
      <c r="W963" s="417" t="n">
        <f aca="false">1/2*Rho*Sref*Cx*vit_xz^2</f>
        <v>58.1120132826803</v>
      </c>
      <c r="X963" s="401"/>
      <c r="Y963" s="422" t="str">
        <f aca="false">IF(AND(pos_z&lt;=0,K962&gt;0),"Impact balistique","") &amp; IF(AND(H964&lt;0,vit_z&gt;=0),"Apogée","") &amp; IF(AND(Poussee=0,Q962&gt;0),"Fin de propulsion","") &amp; IF(AND(L964&gt;L_rampe,pos_xz&lt;=L_rampe),"Sortie de rampe","")</f>
        <v/>
      </c>
      <c r="Z963" s="423" t="str">
        <f aca="false">IF(ABS(t-T_para)&lt;pas/2,"Para","")</f>
        <v/>
      </c>
      <c r="AA963" s="424" t="str">
        <f aca="false">IF(ABS(t-T_satellite)&lt;pas/2,"Satellite","")</f>
        <v/>
      </c>
      <c r="AB963" s="412"/>
      <c r="AC963" s="420" t="e">
        <f aca="false">IF(ABS(t-ROUND(t,0))&lt;0.001,t,NA())</f>
        <v>#N/A</v>
      </c>
      <c r="AD963" s="425" t="e">
        <f aca="false">IF(ABS(t-ROUND(t,0))&lt;0.001,pos_x,NA())</f>
        <v>#N/A</v>
      </c>
      <c r="AE963" s="426" t="e">
        <f aca="false">IF(t&lt;T_para, pos_z, NA())</f>
        <v>#N/A</v>
      </c>
      <c r="AF963" s="412"/>
      <c r="AG963" s="418" t="n">
        <f aca="false">IF(AND(L962&lt;L_rampe,Poussee&lt;Poids*SIN(M962)),0,(-W962+Poussee)/m-Poids*SIN(M962)/m)</f>
        <v>1.88411175281714</v>
      </c>
      <c r="AH963" s="417" t="n">
        <f aca="false">IF(AND(L962&lt;L_rampe,Poussee&lt;Poids*SIN(M962)), g*SIN(M962), (-W962+Poussee)/m)</f>
        <v>-7.87635742831374</v>
      </c>
    </row>
    <row r="964" customFormat="false" ht="12" hidden="false" customHeight="false" outlineLevel="0" collapsed="false">
      <c r="A964" s="416" t="n">
        <f aca="false">IF(B963+0.01&lt;=T_ini+ROUNDUP(Temps_fin_propu,0), 0.01, IF(K963&gt;0, 0.1, 0.0001))</f>
        <v>0.0001</v>
      </c>
      <c r="B964" s="417" t="n">
        <f aca="false">B963+pas</f>
        <v>36.323700000001</v>
      </c>
      <c r="C964" s="401"/>
      <c r="D964" s="418" t="n">
        <f aca="false">IF(AND(L963&lt;L_rampe,Poussee&lt;Poids*SIN(M963)),0,(-W963+Poussee)/m*COS(M963)-U963/m*SIN(M963))</f>
        <v>-0.790484250450053</v>
      </c>
      <c r="E964" s="419" t="n">
        <f aca="false">IF(AND(L963&lt;L_rampe,Poussee&lt;Poids*SIN(M963)),0,(-W963+Poussee)/m*SIN(M963)+U963/m*COS(M963)-Poids/m)</f>
        <v>-1.9733763093081</v>
      </c>
      <c r="F964" s="417" t="n">
        <f aca="false">SQRT(acc_x^2+acc_z^2)</f>
        <v>2.12581264657732</v>
      </c>
      <c r="G964" s="418" t="n">
        <f aca="false">G963+acc_x*pas</f>
        <v>12.4582753024862</v>
      </c>
      <c r="H964" s="419" t="n">
        <f aca="false">H963+acc_z*pas</f>
        <v>-123.508584503853</v>
      </c>
      <c r="I964" s="417" t="n">
        <f aca="false">SQRT(vit_x^2+vit_z^2)</f>
        <v>124.135325631578</v>
      </c>
      <c r="J964" s="418" t="n">
        <f aca="false">J963+0.5*(vit_x+G963)*pas*(K963&gt;=0)</f>
        <v>913.614336176273</v>
      </c>
      <c r="K964" s="419" t="n">
        <f aca="false">K963+0.5*(vit_z+H963)*pas</f>
        <v>-11.6326581663789</v>
      </c>
      <c r="L964" s="417" t="n">
        <f aca="false">SQRT(pos_x^2+pos_z^2)</f>
        <v>913.688389990169</v>
      </c>
      <c r="M964" s="418" t="n">
        <f aca="false">IF(AND(L963&gt;L_rampe,G964&gt;0),ATAN2(G964,H964),$M$4)</f>
        <v>-1.47026664803777</v>
      </c>
      <c r="N964" s="417" t="n">
        <f aca="false">DEGREES(Beta)</f>
        <v>-84.2400736914109</v>
      </c>
      <c r="O964" s="401"/>
      <c r="P964" s="420" t="n">
        <f aca="false">MATCH(t-pas/2-T_ini,CdP_t)</f>
        <v>23</v>
      </c>
      <c r="Q964" s="417" t="n">
        <f aca="false">(INDEX(CdP,2,i_P+1)-INDEX(CdP,2,i_P+0))/(INDEX(CdP,1,i_P+1)-INDEX(CdP,1,i_P+0))*(t-pas/2-T_ini-INDEX(CdP,1,i_P+0))+INDEX(CdP,2,i_P+0)</f>
        <v>0</v>
      </c>
      <c r="R964" s="418" t="n">
        <f aca="false">Poussee/(g*ISP)</f>
        <v>0</v>
      </c>
      <c r="S964" s="419" t="n">
        <f aca="false">S963-Débit*pas</f>
        <v>7.37799999999998</v>
      </c>
      <c r="T964" s="417" t="n">
        <f aca="false">m*g</f>
        <v>72.3781799999998</v>
      </c>
      <c r="U964" s="421" t="n">
        <f aca="false">IF(pos_xz&lt;L_rampe,Poids*COS(Beta),0)</f>
        <v>0</v>
      </c>
      <c r="V964" s="418" t="n">
        <f aca="false">Rho_moyen*(20000-Alt_rampe-pos_z)/(20000+Alt_rampe+pos_z)</f>
        <v>1.22642582993499</v>
      </c>
      <c r="W964" s="417" t="n">
        <f aca="false">1/2*Rho*Sref*Cx*vit_xz^2</f>
        <v>58.1122614570925</v>
      </c>
      <c r="X964" s="401"/>
      <c r="Y964" s="422" t="str">
        <f aca="false">IF(AND(pos_z&lt;=0,K963&gt;0),"Impact balistique","") &amp; IF(AND(H965&lt;0,vit_z&gt;=0),"Apogée","") &amp; IF(AND(Poussee=0,Q963&gt;0),"Fin de propulsion","") &amp; IF(AND(L965&gt;L_rampe,pos_xz&lt;=L_rampe),"Sortie de rampe","")</f>
        <v/>
      </c>
      <c r="Z964" s="423" t="str">
        <f aca="false">IF(ABS(t-T_para)&lt;pas/2,"Para","")</f>
        <v/>
      </c>
      <c r="AA964" s="424" t="str">
        <f aca="false">IF(ABS(t-T_satellite)&lt;pas/2,"Satellite","")</f>
        <v/>
      </c>
      <c r="AB964" s="412"/>
      <c r="AC964" s="420" t="e">
        <f aca="false">IF(ABS(t-ROUND(t,0))&lt;0.001,t,NA())</f>
        <v>#N/A</v>
      </c>
      <c r="AD964" s="425" t="e">
        <f aca="false">IF(ABS(t-ROUND(t,0))&lt;0.001,pos_x,NA())</f>
        <v>#N/A</v>
      </c>
      <c r="AE964" s="426" t="e">
        <f aca="false">IF(t&lt;T_para, pos_z, NA())</f>
        <v>#N/A</v>
      </c>
      <c r="AF964" s="412"/>
      <c r="AG964" s="418" t="n">
        <f aca="false">IF(AND(L963&lt;L_rampe,Poussee&lt;Poids*SIN(M963)),0,(-W963+Poussee)/m-Poids*SIN(M963)/m)</f>
        <v>1.88407889631105</v>
      </c>
      <c r="AH964" s="417" t="n">
        <f aca="false">IF(AND(L963&lt;L_rampe,Poussee&lt;Poids*SIN(M963)), g*SIN(M963), (-W963+Poussee)/m)</f>
        <v>-7.87639106569266</v>
      </c>
    </row>
    <row r="965" customFormat="false" ht="12" hidden="false" customHeight="false" outlineLevel="0" collapsed="false">
      <c r="A965" s="416" t="n">
        <f aca="false">IF(B964+0.01&lt;=T_ini+ROUNDUP(Temps_fin_propu,0), 0.01, IF(K964&gt;0, 0.1, 0.0001))</f>
        <v>0.0001</v>
      </c>
      <c r="B965" s="417" t="n">
        <f aca="false">B964+pas</f>
        <v>36.323800000001</v>
      </c>
      <c r="C965" s="401"/>
      <c r="D965" s="418" t="n">
        <f aca="false">IF(AND(L964&lt;L_rampe,Poussee&lt;Poids*SIN(M964)),0,(-W964+Poussee)/m*COS(M964)-U964/m*SIN(M964))</f>
        <v>-0.790481410889729</v>
      </c>
      <c r="E965" s="419" t="n">
        <f aca="false">IF(AND(L964&lt;L_rampe,Poussee&lt;Poids*SIN(M964)),0,(-W964+Poussee)/m*SIN(M964)+U964/m*COS(M964)-Poids/m)</f>
        <v>-1.97334221510459</v>
      </c>
      <c r="F965" s="417" t="n">
        <f aca="false">SQRT(acc_x^2+acc_z^2)</f>
        <v>2.12577994131003</v>
      </c>
      <c r="G965" s="418" t="n">
        <f aca="false">G964+acc_x*pas</f>
        <v>12.4581962543451</v>
      </c>
      <c r="H965" s="419" t="n">
        <f aca="false">H964+acc_z*pas</f>
        <v>-123.508781838074</v>
      </c>
      <c r="I965" s="417" t="n">
        <f aca="false">SQRT(vit_x^2+vit_z^2)</f>
        <v>124.135514036221</v>
      </c>
      <c r="J965" s="418" t="n">
        <f aca="false">J964+0.5*(vit_x+G964)*pas*(K964&gt;=0)</f>
        <v>913.614336176273</v>
      </c>
      <c r="K965" s="419" t="n">
        <f aca="false">K964+0.5*(vit_z+H964)*pas</f>
        <v>-11.645009034696</v>
      </c>
      <c r="L965" s="417" t="n">
        <f aca="false">SQRT(pos_x^2+pos_z^2)</f>
        <v>913.688547319178</v>
      </c>
      <c r="M965" s="418" t="n">
        <f aca="false">IF(AND(L964&gt;L_rampe,G965&gt;0),ATAN2(G965,H965),$M$4)</f>
        <v>-1.47026744115156</v>
      </c>
      <c r="N965" s="417" t="n">
        <f aca="false">DEGREES(Beta)</f>
        <v>-84.2401191334832</v>
      </c>
      <c r="O965" s="401"/>
      <c r="P965" s="420" t="n">
        <f aca="false">MATCH(t-pas/2-T_ini,CdP_t)</f>
        <v>23</v>
      </c>
      <c r="Q965" s="417" t="n">
        <f aca="false">(INDEX(CdP,2,i_P+1)-INDEX(CdP,2,i_P+0))/(INDEX(CdP,1,i_P+1)-INDEX(CdP,1,i_P+0))*(t-pas/2-T_ini-INDEX(CdP,1,i_P+0))+INDEX(CdP,2,i_P+0)</f>
        <v>0</v>
      </c>
      <c r="R965" s="418" t="n">
        <f aca="false">Poussee/(g*ISP)</f>
        <v>0</v>
      </c>
      <c r="S965" s="419" t="n">
        <f aca="false">S964-Débit*pas</f>
        <v>7.37799999999998</v>
      </c>
      <c r="T965" s="417" t="n">
        <f aca="false">m*g</f>
        <v>72.3781799999998</v>
      </c>
      <c r="U965" s="421" t="n">
        <f aca="false">IF(pos_xz&lt;L_rampe,Poids*COS(Beta),0)</f>
        <v>0</v>
      </c>
      <c r="V965" s="418" t="n">
        <f aca="false">Rho_moyen*(20000-Alt_rampe-pos_z)/(20000+Alt_rampe+pos_z)</f>
        <v>1.22642734467883</v>
      </c>
      <c r="W965" s="417" t="n">
        <f aca="false">1/2*Rho*Sref*Cx*vit_xz^2</f>
        <v>58.1125096293353</v>
      </c>
      <c r="X965" s="401"/>
      <c r="Y965" s="422" t="str">
        <f aca="false">IF(AND(pos_z&lt;=0,K964&gt;0),"Impact balistique","") &amp; IF(AND(H966&lt;0,vit_z&gt;=0),"Apogée","") &amp; IF(AND(Poussee=0,Q964&gt;0),"Fin de propulsion","") &amp; IF(AND(L966&gt;L_rampe,pos_xz&lt;=L_rampe),"Sortie de rampe","")</f>
        <v/>
      </c>
      <c r="Z965" s="423" t="str">
        <f aca="false">IF(ABS(t-T_para)&lt;pas/2,"Para","")</f>
        <v/>
      </c>
      <c r="AA965" s="424" t="str">
        <f aca="false">IF(ABS(t-T_satellite)&lt;pas/2,"Satellite","")</f>
        <v/>
      </c>
      <c r="AB965" s="412"/>
      <c r="AC965" s="420" t="e">
        <f aca="false">IF(ABS(t-ROUND(t,0))&lt;0.001,t,NA())</f>
        <v>#N/A</v>
      </c>
      <c r="AD965" s="425" t="e">
        <f aca="false">IF(ABS(t-ROUND(t,0))&lt;0.001,pos_x,NA())</f>
        <v>#N/A</v>
      </c>
      <c r="AE965" s="426" t="e">
        <f aca="false">IF(t&lt;T_para, pos_z, NA())</f>
        <v>#N/A</v>
      </c>
      <c r="AF965" s="412"/>
      <c r="AG965" s="418" t="n">
        <f aca="false">IF(AND(L964&lt;L_rampe,Poussee&lt;Poids*SIN(M964)),0,(-W964+Poussee)/m-Poids*SIN(M964)/m)</f>
        <v>1.88404604008553</v>
      </c>
      <c r="AH965" s="417" t="n">
        <f aca="false">IF(AND(L964&lt;L_rampe,Poussee&lt;Poids*SIN(M964)), g*SIN(M964), (-W964+Poussee)/m)</f>
        <v>-7.87642470277753</v>
      </c>
    </row>
    <row r="966" customFormat="false" ht="12" hidden="false" customHeight="false" outlineLevel="0" collapsed="false">
      <c r="A966" s="416" t="n">
        <f aca="false">IF(B965+0.01&lt;=T_ini+ROUNDUP(Temps_fin_propu,0), 0.01, IF(K965&gt;0, 0.1, 0.0001))</f>
        <v>0.0001</v>
      </c>
      <c r="B966" s="417" t="n">
        <f aca="false">B965+pas</f>
        <v>36.323900000001</v>
      </c>
      <c r="C966" s="401"/>
      <c r="D966" s="418" t="n">
        <f aca="false">IF(AND(L965&lt;L_rampe,Poussee&lt;Poids*SIN(M965)),0,(-W965+Poussee)/m*COS(M965)-U965/m*SIN(M965))</f>
        <v>-0.790478571304616</v>
      </c>
      <c r="E966" s="419" t="n">
        <f aca="false">IF(AND(L965&lt;L_rampe,Poussee&lt;Poids*SIN(M965)),0,(-W965+Poussee)/m*SIN(M965)+U965/m*COS(M965)-Poids/m)</f>
        <v>-1.97330812119907</v>
      </c>
      <c r="F966" s="417" t="n">
        <f aca="false">SQRT(acc_x^2+acc_z^2)</f>
        <v>2.12574723635761</v>
      </c>
      <c r="G966" s="418" t="n">
        <f aca="false">G965+acc_x*pas</f>
        <v>12.458117206488</v>
      </c>
      <c r="H966" s="419" t="n">
        <f aca="false">H965+acc_z*pas</f>
        <v>-123.508979168886</v>
      </c>
      <c r="I966" s="417" t="n">
        <f aca="false">SQRT(vit_x^2+vit_z^2)</f>
        <v>124.135702437578</v>
      </c>
      <c r="J966" s="418" t="n">
        <f aca="false">J965+0.5*(vit_x+G965)*pas*(K965&gt;=0)</f>
        <v>913.614336176273</v>
      </c>
      <c r="K966" s="419" t="n">
        <f aca="false">K965+0.5*(vit_z+H965)*pas</f>
        <v>-11.6573599227463</v>
      </c>
      <c r="L966" s="417" t="n">
        <f aca="false">SQRT(pos_x^2+pos_z^2)</f>
        <v>913.688704815366</v>
      </c>
      <c r="M966" s="418" t="n">
        <f aca="false">IF(AND(L965&gt;L_rampe,G966&gt;0),ATAN2(G966,H966),$M$4)</f>
        <v>-1.4702682342579</v>
      </c>
      <c r="N966" s="417" t="n">
        <f aca="false">DEGREES(Beta)</f>
        <v>-84.2401645751293</v>
      </c>
      <c r="O966" s="401"/>
      <c r="P966" s="420" t="n">
        <f aca="false">MATCH(t-pas/2-T_ini,CdP_t)</f>
        <v>23</v>
      </c>
      <c r="Q966" s="417" t="n">
        <f aca="false">(INDEX(CdP,2,i_P+1)-INDEX(CdP,2,i_P+0))/(INDEX(CdP,1,i_P+1)-INDEX(CdP,1,i_P+0))*(t-pas/2-T_ini-INDEX(CdP,1,i_P+0))+INDEX(CdP,2,i_P+0)</f>
        <v>0</v>
      </c>
      <c r="R966" s="418" t="n">
        <f aca="false">Poussee/(g*ISP)</f>
        <v>0</v>
      </c>
      <c r="S966" s="419" t="n">
        <f aca="false">S965-Débit*pas</f>
        <v>7.37799999999998</v>
      </c>
      <c r="T966" s="417" t="n">
        <f aca="false">m*g</f>
        <v>72.3781799999998</v>
      </c>
      <c r="U966" s="421" t="n">
        <f aca="false">IF(pos_xz&lt;L_rampe,Poids*COS(Beta),0)</f>
        <v>0</v>
      </c>
      <c r="V966" s="418" t="n">
        <f aca="false">Rho_moyen*(20000-Alt_rampe-pos_z)/(20000+Alt_rampe+pos_z)</f>
        <v>1.22642885942697</v>
      </c>
      <c r="W966" s="417" t="n">
        <f aca="false">1/2*Rho*Sref*Cx*vit_xz^2</f>
        <v>58.1127577994088</v>
      </c>
      <c r="X966" s="401"/>
      <c r="Y966" s="422" t="str">
        <f aca="false">IF(AND(pos_z&lt;=0,K965&gt;0),"Impact balistique","") &amp; IF(AND(H967&lt;0,vit_z&gt;=0),"Apogée","") &amp; IF(AND(Poussee=0,Q965&gt;0),"Fin de propulsion","") &amp; IF(AND(L967&gt;L_rampe,pos_xz&lt;=L_rampe),"Sortie de rampe","")</f>
        <v/>
      </c>
      <c r="Z966" s="423" t="str">
        <f aca="false">IF(ABS(t-T_para)&lt;pas/2,"Para","")</f>
        <v/>
      </c>
      <c r="AA966" s="424" t="str">
        <f aca="false">IF(ABS(t-T_satellite)&lt;pas/2,"Satellite","")</f>
        <v/>
      </c>
      <c r="AB966" s="412"/>
      <c r="AC966" s="420" t="e">
        <f aca="false">IF(ABS(t-ROUND(t,0))&lt;0.001,t,NA())</f>
        <v>#N/A</v>
      </c>
      <c r="AD966" s="425" t="e">
        <f aca="false">IF(ABS(t-ROUND(t,0))&lt;0.001,pos_x,NA())</f>
        <v>#N/A</v>
      </c>
      <c r="AE966" s="426" t="e">
        <f aca="false">IF(t&lt;T_para, pos_z, NA())</f>
        <v>#N/A</v>
      </c>
      <c r="AF966" s="412"/>
      <c r="AG966" s="418" t="n">
        <f aca="false">IF(AND(L965&lt;L_rampe,Poussee&lt;Poids*SIN(M965)),0,(-W965+Poussee)/m-Poids*SIN(M965)/m)</f>
        <v>1.88401318414059</v>
      </c>
      <c r="AH966" s="417" t="n">
        <f aca="false">IF(AND(L965&lt;L_rampe,Poussee&lt;Poids*SIN(M965)), g*SIN(M965), (-W965+Poussee)/m)</f>
        <v>-7.87645833956837</v>
      </c>
    </row>
    <row r="967" customFormat="false" ht="12" hidden="false" customHeight="false" outlineLevel="0" collapsed="false">
      <c r="A967" s="416" t="n">
        <f aca="false">IF(B966+0.01&lt;=T_ini+ROUNDUP(Temps_fin_propu,0), 0.01, IF(K966&gt;0, 0.1, 0.0001))</f>
        <v>0.0001</v>
      </c>
      <c r="B967" s="417" t="n">
        <f aca="false">B966+pas</f>
        <v>36.324000000001</v>
      </c>
      <c r="C967" s="401"/>
      <c r="D967" s="418" t="n">
        <f aca="false">IF(AND(L966&lt;L_rampe,Poussee&lt;Poids*SIN(M966)),0,(-W966+Poussee)/m*COS(M966)-U966/m*SIN(M966))</f>
        <v>-0.790475731694716</v>
      </c>
      <c r="E967" s="419" t="n">
        <f aca="false">IF(AND(L966&lt;L_rampe,Poussee&lt;Poids*SIN(M966)),0,(-W966+Poussee)/m*SIN(M966)+U966/m*COS(M966)-Poids/m)</f>
        <v>-1.97327402759157</v>
      </c>
      <c r="F967" s="417" t="n">
        <f aca="false">SQRT(acc_x^2+acc_z^2)</f>
        <v>2.12571453172004</v>
      </c>
      <c r="G967" s="418" t="n">
        <f aca="false">G966+acc_x*pas</f>
        <v>12.4580381589148</v>
      </c>
      <c r="H967" s="419" t="n">
        <f aca="false">H966+acc_z*pas</f>
        <v>-123.509176496289</v>
      </c>
      <c r="I967" s="417" t="n">
        <f aca="false">SQRT(vit_x^2+vit_z^2)</f>
        <v>124.13589083565</v>
      </c>
      <c r="J967" s="418" t="n">
        <f aca="false">J966+0.5*(vit_x+G966)*pas*(K966&gt;=0)</f>
        <v>913.614336176273</v>
      </c>
      <c r="K967" s="419" t="n">
        <f aca="false">K966+0.5*(vit_z+H966)*pas</f>
        <v>-11.6697108305296</v>
      </c>
      <c r="L967" s="417" t="n">
        <f aca="false">SQRT(pos_x^2+pos_z^2)</f>
        <v>913.688862478733</v>
      </c>
      <c r="M967" s="418" t="n">
        <f aca="false">IF(AND(L966&gt;L_rampe,G967&gt;0),ATAN2(G967,H967),$M$4)</f>
        <v>-1.4702690273568</v>
      </c>
      <c r="N967" s="417" t="n">
        <f aca="false">DEGREES(Beta)</f>
        <v>-84.2402100163491</v>
      </c>
      <c r="O967" s="401"/>
      <c r="P967" s="420" t="n">
        <f aca="false">MATCH(t-pas/2-T_ini,CdP_t)</f>
        <v>23</v>
      </c>
      <c r="Q967" s="417" t="n">
        <f aca="false">(INDEX(CdP,2,i_P+1)-INDEX(CdP,2,i_P+0))/(INDEX(CdP,1,i_P+1)-INDEX(CdP,1,i_P+0))*(t-pas/2-T_ini-INDEX(CdP,1,i_P+0))+INDEX(CdP,2,i_P+0)</f>
        <v>0</v>
      </c>
      <c r="R967" s="418" t="n">
        <f aca="false">Poussee/(g*ISP)</f>
        <v>0</v>
      </c>
      <c r="S967" s="419" t="n">
        <f aca="false">S966-Débit*pas</f>
        <v>7.37799999999998</v>
      </c>
      <c r="T967" s="417" t="n">
        <f aca="false">m*g</f>
        <v>72.3781799999998</v>
      </c>
      <c r="U967" s="421" t="n">
        <f aca="false">IF(pos_xz&lt;L_rampe,Poids*COS(Beta),0)</f>
        <v>0</v>
      </c>
      <c r="V967" s="418" t="n">
        <f aca="false">Rho_moyen*(20000-Alt_rampe-pos_z)/(20000+Alt_rampe+pos_z)</f>
        <v>1.22643037417939</v>
      </c>
      <c r="W967" s="417" t="n">
        <f aca="false">1/2*Rho*Sref*Cx*vit_xz^2</f>
        <v>58.1130059673129</v>
      </c>
      <c r="X967" s="401"/>
      <c r="Y967" s="422" t="str">
        <f aca="false">IF(AND(pos_z&lt;=0,K966&gt;0),"Impact balistique","") &amp; IF(AND(H968&lt;0,vit_z&gt;=0),"Apogée","") &amp; IF(AND(Poussee=0,Q966&gt;0),"Fin de propulsion","") &amp; IF(AND(L968&gt;L_rampe,pos_xz&lt;=L_rampe),"Sortie de rampe","")</f>
        <v/>
      </c>
      <c r="Z967" s="423" t="str">
        <f aca="false">IF(ABS(t-T_para)&lt;pas/2,"Para","")</f>
        <v/>
      </c>
      <c r="AA967" s="424" t="str">
        <f aca="false">IF(ABS(t-T_satellite)&lt;pas/2,"Satellite","")</f>
        <v/>
      </c>
      <c r="AB967" s="412"/>
      <c r="AC967" s="420" t="e">
        <f aca="false">IF(ABS(t-ROUND(t,0))&lt;0.001,t,NA())</f>
        <v>#N/A</v>
      </c>
      <c r="AD967" s="425" t="e">
        <f aca="false">IF(ABS(t-ROUND(t,0))&lt;0.001,pos_x,NA())</f>
        <v>#N/A</v>
      </c>
      <c r="AE967" s="426" t="e">
        <f aca="false">IF(t&lt;T_para, pos_z, NA())</f>
        <v>#N/A</v>
      </c>
      <c r="AF967" s="412"/>
      <c r="AG967" s="418" t="n">
        <f aca="false">IF(AND(L966&lt;L_rampe,Poussee&lt;Poids*SIN(M966)),0,(-W966+Poussee)/m-Poids*SIN(M966)/m)</f>
        <v>1.88398032847621</v>
      </c>
      <c r="AH967" s="417" t="n">
        <f aca="false">IF(AND(L966&lt;L_rampe,Poussee&lt;Poids*SIN(M966)), g*SIN(M966), (-W966+Poussee)/m)</f>
        <v>-7.87649197606518</v>
      </c>
    </row>
    <row r="968" customFormat="false" ht="12" hidden="false" customHeight="false" outlineLevel="0" collapsed="false">
      <c r="A968" s="416" t="n">
        <f aca="false">IF(B967+0.01&lt;=T_ini+ROUNDUP(Temps_fin_propu,0), 0.01, IF(K967&gt;0, 0.1, 0.0001))</f>
        <v>0.0001</v>
      </c>
      <c r="B968" s="417" t="n">
        <f aca="false">B967+pas</f>
        <v>36.324100000001</v>
      </c>
      <c r="C968" s="401"/>
      <c r="D968" s="418" t="n">
        <f aca="false">IF(AND(L967&lt;L_rampe,Poussee&lt;Poids*SIN(M967)),0,(-W967+Poussee)/m*COS(M967)-U967/m*SIN(M967))</f>
        <v>-0.790472892060026</v>
      </c>
      <c r="E968" s="419" t="n">
        <f aca="false">IF(AND(L967&lt;L_rampe,Poussee&lt;Poids*SIN(M967)),0,(-W967+Poussee)/m*SIN(M967)+U967/m*COS(M967)-Poids/m)</f>
        <v>-1.97323993428207</v>
      </c>
      <c r="F968" s="417" t="n">
        <f aca="false">SQRT(acc_x^2+acc_z^2)</f>
        <v>2.12568182739733</v>
      </c>
      <c r="G968" s="418" t="n">
        <f aca="false">G967+acc_x*pas</f>
        <v>12.4579591116256</v>
      </c>
      <c r="H968" s="419" t="n">
        <f aca="false">H967+acc_z*pas</f>
        <v>-123.509373820282</v>
      </c>
      <c r="I968" s="417" t="n">
        <f aca="false">SQRT(vit_x^2+vit_z^2)</f>
        <v>124.136079230437</v>
      </c>
      <c r="J968" s="418" t="n">
        <f aca="false">J967+0.5*(vit_x+G967)*pas*(K967&gt;=0)</f>
        <v>913.614336176273</v>
      </c>
      <c r="K968" s="419" t="n">
        <f aca="false">K967+0.5*(vit_z+H967)*pas</f>
        <v>-11.6820617580454</v>
      </c>
      <c r="L968" s="417" t="n">
        <f aca="false">SQRT(pos_x^2+pos_z^2)</f>
        <v>913.68902030928</v>
      </c>
      <c r="M968" s="418" t="n">
        <f aca="false">IF(AND(L967&gt;L_rampe,G968&gt;0),ATAN2(G968,H968),$M$4)</f>
        <v>-1.47026982044826</v>
      </c>
      <c r="N968" s="417" t="n">
        <f aca="false">DEGREES(Beta)</f>
        <v>-84.2402554571427</v>
      </c>
      <c r="O968" s="401"/>
      <c r="P968" s="420" t="n">
        <f aca="false">MATCH(t-pas/2-T_ini,CdP_t)</f>
        <v>23</v>
      </c>
      <c r="Q968" s="417" t="n">
        <f aca="false">(INDEX(CdP,2,i_P+1)-INDEX(CdP,2,i_P+0))/(INDEX(CdP,1,i_P+1)-INDEX(CdP,1,i_P+0))*(t-pas/2-T_ini-INDEX(CdP,1,i_P+0))+INDEX(CdP,2,i_P+0)</f>
        <v>0</v>
      </c>
      <c r="R968" s="418" t="n">
        <f aca="false">Poussee/(g*ISP)</f>
        <v>0</v>
      </c>
      <c r="S968" s="419" t="n">
        <f aca="false">S967-Débit*pas</f>
        <v>7.37799999999998</v>
      </c>
      <c r="T968" s="417" t="n">
        <f aca="false">m*g</f>
        <v>72.3781799999998</v>
      </c>
      <c r="U968" s="421" t="n">
        <f aca="false">IF(pos_xz&lt;L_rampe,Poids*COS(Beta),0)</f>
        <v>0</v>
      </c>
      <c r="V968" s="418" t="n">
        <f aca="false">Rho_moyen*(20000-Alt_rampe-pos_z)/(20000+Alt_rampe+pos_z)</f>
        <v>1.22643188893611</v>
      </c>
      <c r="W968" s="417" t="n">
        <f aca="false">1/2*Rho*Sref*Cx*vit_xz^2</f>
        <v>58.1132541330475</v>
      </c>
      <c r="X968" s="401"/>
      <c r="Y968" s="422" t="str">
        <f aca="false">IF(AND(pos_z&lt;=0,K967&gt;0),"Impact balistique","") &amp; IF(AND(H969&lt;0,vit_z&gt;=0),"Apogée","") &amp; IF(AND(Poussee=0,Q967&gt;0),"Fin de propulsion","") &amp; IF(AND(L969&gt;L_rampe,pos_xz&lt;=L_rampe),"Sortie de rampe","")</f>
        <v/>
      </c>
      <c r="Z968" s="423" t="str">
        <f aca="false">IF(ABS(t-T_para)&lt;pas/2,"Para","")</f>
        <v/>
      </c>
      <c r="AA968" s="424" t="str">
        <f aca="false">IF(ABS(t-T_satellite)&lt;pas/2,"Satellite","")</f>
        <v/>
      </c>
      <c r="AB968" s="412"/>
      <c r="AC968" s="420" t="e">
        <f aca="false">IF(ABS(t-ROUND(t,0))&lt;0.001,t,NA())</f>
        <v>#N/A</v>
      </c>
      <c r="AD968" s="425" t="e">
        <f aca="false">IF(ABS(t-ROUND(t,0))&lt;0.001,pos_x,NA())</f>
        <v>#N/A</v>
      </c>
      <c r="AE968" s="426" t="e">
        <f aca="false">IF(t&lt;T_para, pos_z, NA())</f>
        <v>#N/A</v>
      </c>
      <c r="AF968" s="412"/>
      <c r="AG968" s="418" t="n">
        <f aca="false">IF(AND(L967&lt;L_rampe,Poussee&lt;Poids*SIN(M967)),0,(-W967+Poussee)/m-Poids*SIN(M967)/m)</f>
        <v>1.88394747309241</v>
      </c>
      <c r="AH968" s="417" t="n">
        <f aca="false">IF(AND(L967&lt;L_rampe,Poussee&lt;Poids*SIN(M967)), g*SIN(M967), (-W967+Poussee)/m)</f>
        <v>-7.87652561226796</v>
      </c>
    </row>
    <row r="969" customFormat="false" ht="12" hidden="false" customHeight="false" outlineLevel="0" collapsed="false">
      <c r="A969" s="416" t="n">
        <f aca="false">IF(B968+0.01&lt;=T_ini+ROUNDUP(Temps_fin_propu,0), 0.01, IF(K968&gt;0, 0.1, 0.0001))</f>
        <v>0.0001</v>
      </c>
      <c r="B969" s="417" t="n">
        <f aca="false">B968+pas</f>
        <v>36.324200000001</v>
      </c>
      <c r="C969" s="401"/>
      <c r="D969" s="418" t="n">
        <f aca="false">IF(AND(L968&lt;L_rampe,Poussee&lt;Poids*SIN(M968)),0,(-W968+Poussee)/m*COS(M968)-U968/m*SIN(M968))</f>
        <v>-0.790470052400547</v>
      </c>
      <c r="E969" s="419" t="n">
        <f aca="false">IF(AND(L968&lt;L_rampe,Poussee&lt;Poids*SIN(M968)),0,(-W968+Poussee)/m*SIN(M968)+U968/m*COS(M968)-Poids/m)</f>
        <v>-1.97320584127058</v>
      </c>
      <c r="F969" s="417" t="n">
        <f aca="false">SQRT(acc_x^2+acc_z^2)</f>
        <v>2.12564912338948</v>
      </c>
      <c r="G969" s="418" t="n">
        <f aca="false">G968+acc_x*pas</f>
        <v>12.4578800646204</v>
      </c>
      <c r="H969" s="419" t="n">
        <f aca="false">H968+acc_z*pas</f>
        <v>-123.509571140867</v>
      </c>
      <c r="I969" s="417" t="n">
        <f aca="false">SQRT(vit_x^2+vit_z^2)</f>
        <v>124.136267621937</v>
      </c>
      <c r="J969" s="418" t="n">
        <f aca="false">J968+0.5*(vit_x+G968)*pas*(K968&gt;=0)</f>
        <v>913.614336176273</v>
      </c>
      <c r="K969" s="419" t="n">
        <f aca="false">K968+0.5*(vit_z+H968)*pas</f>
        <v>-11.6944127052935</v>
      </c>
      <c r="L969" s="417" t="n">
        <f aca="false">SQRT(pos_x^2+pos_z^2)</f>
        <v>913.689178307007</v>
      </c>
      <c r="M969" s="418" t="n">
        <f aca="false">IF(AND(L968&gt;L_rampe,G969&gt;0),ATAN2(G969,H969),$M$4)</f>
        <v>-1.47027061353228</v>
      </c>
      <c r="N969" s="417" t="n">
        <f aca="false">DEGREES(Beta)</f>
        <v>-84.24030089751</v>
      </c>
      <c r="O969" s="401"/>
      <c r="P969" s="420" t="n">
        <f aca="false">MATCH(t-pas/2-T_ini,CdP_t)</f>
        <v>23</v>
      </c>
      <c r="Q969" s="417" t="n">
        <f aca="false">(INDEX(CdP,2,i_P+1)-INDEX(CdP,2,i_P+0))/(INDEX(CdP,1,i_P+1)-INDEX(CdP,1,i_P+0))*(t-pas/2-T_ini-INDEX(CdP,1,i_P+0))+INDEX(CdP,2,i_P+0)</f>
        <v>0</v>
      </c>
      <c r="R969" s="418" t="n">
        <f aca="false">Poussee/(g*ISP)</f>
        <v>0</v>
      </c>
      <c r="S969" s="419" t="n">
        <f aca="false">S968-Débit*pas</f>
        <v>7.37799999999998</v>
      </c>
      <c r="T969" s="417" t="n">
        <f aca="false">m*g</f>
        <v>72.3781799999998</v>
      </c>
      <c r="U969" s="421" t="n">
        <f aca="false">IF(pos_xz&lt;L_rampe,Poids*COS(Beta),0)</f>
        <v>0</v>
      </c>
      <c r="V969" s="418" t="n">
        <f aca="false">Rho_moyen*(20000-Alt_rampe-pos_z)/(20000+Alt_rampe+pos_z)</f>
        <v>1.22643340369712</v>
      </c>
      <c r="W969" s="417" t="n">
        <f aca="false">1/2*Rho*Sref*Cx*vit_xz^2</f>
        <v>58.1135022966127</v>
      </c>
      <c r="X969" s="401"/>
      <c r="Y969" s="422" t="str">
        <f aca="false">IF(AND(pos_z&lt;=0,K968&gt;0),"Impact balistique","") &amp; IF(AND(H970&lt;0,vit_z&gt;=0),"Apogée","") &amp; IF(AND(Poussee=0,Q968&gt;0),"Fin de propulsion","") &amp; IF(AND(L970&gt;L_rampe,pos_xz&lt;=L_rampe),"Sortie de rampe","")</f>
        <v/>
      </c>
      <c r="Z969" s="423" t="str">
        <f aca="false">IF(ABS(t-T_para)&lt;pas/2,"Para","")</f>
        <v/>
      </c>
      <c r="AA969" s="424" t="str">
        <f aca="false">IF(ABS(t-T_satellite)&lt;pas/2,"Satellite","")</f>
        <v/>
      </c>
      <c r="AB969" s="412"/>
      <c r="AC969" s="420" t="e">
        <f aca="false">IF(ABS(t-ROUND(t,0))&lt;0.001,t,NA())</f>
        <v>#N/A</v>
      </c>
      <c r="AD969" s="425" t="e">
        <f aca="false">IF(ABS(t-ROUND(t,0))&lt;0.001,pos_x,NA())</f>
        <v>#N/A</v>
      </c>
      <c r="AE969" s="426" t="e">
        <f aca="false">IF(t&lt;T_para, pos_z, NA())</f>
        <v>#N/A</v>
      </c>
      <c r="AF969" s="412"/>
      <c r="AG969" s="418" t="n">
        <f aca="false">IF(AND(L968&lt;L_rampe,Poussee&lt;Poids*SIN(M968)),0,(-W968+Poussee)/m-Poids*SIN(M968)/m)</f>
        <v>1.88391461798918</v>
      </c>
      <c r="AH969" s="417" t="n">
        <f aca="false">IF(AND(L968&lt;L_rampe,Poussee&lt;Poids*SIN(M968)), g*SIN(M968), (-W968+Poussee)/m)</f>
        <v>-7.87655924817669</v>
      </c>
    </row>
    <row r="970" customFormat="false" ht="12" hidden="false" customHeight="false" outlineLevel="0" collapsed="false">
      <c r="A970" s="416" t="n">
        <f aca="false">IF(B969+0.01&lt;=T_ini+ROUNDUP(Temps_fin_propu,0), 0.01, IF(K969&gt;0, 0.1, 0.0001))</f>
        <v>0.0001</v>
      </c>
      <c r="B970" s="417" t="n">
        <f aca="false">B969+pas</f>
        <v>36.324300000001</v>
      </c>
      <c r="C970" s="401"/>
      <c r="D970" s="418" t="n">
        <f aca="false">IF(AND(L969&lt;L_rampe,Poussee&lt;Poids*SIN(M969)),0,(-W969+Poussee)/m*COS(M969)-U969/m*SIN(M969))</f>
        <v>-0.790467212716283</v>
      </c>
      <c r="E970" s="419" t="n">
        <f aca="false">IF(AND(L969&lt;L_rampe,Poussee&lt;Poids*SIN(M969)),0,(-W969+Poussee)/m*SIN(M969)+U969/m*COS(M969)-Poids/m)</f>
        <v>-1.97317174855709</v>
      </c>
      <c r="F970" s="417" t="n">
        <f aca="false">SQRT(acc_x^2+acc_z^2)</f>
        <v>2.12561641969649</v>
      </c>
      <c r="G970" s="418" t="n">
        <f aca="false">G969+acc_x*pas</f>
        <v>12.4578010178991</v>
      </c>
      <c r="H970" s="419" t="n">
        <f aca="false">H969+acc_z*pas</f>
        <v>-123.509768458041</v>
      </c>
      <c r="I970" s="417" t="n">
        <f aca="false">SQRT(vit_x^2+vit_z^2)</f>
        <v>124.136456010153</v>
      </c>
      <c r="J970" s="418" t="n">
        <f aca="false">J969+0.5*(vit_x+G969)*pas*(K969&gt;=0)</f>
        <v>913.614336176273</v>
      </c>
      <c r="K970" s="419" t="n">
        <f aca="false">K969+0.5*(vit_z+H969)*pas</f>
        <v>-11.7067636722734</v>
      </c>
      <c r="L970" s="417" t="n">
        <f aca="false">SQRT(pos_x^2+pos_z^2)</f>
        <v>913.689336471916</v>
      </c>
      <c r="M970" s="418" t="n">
        <f aca="false">IF(AND(L969&gt;L_rampe,G970&gt;0),ATAN2(G970,H970),$M$4)</f>
        <v>-1.47027140660887</v>
      </c>
      <c r="N970" s="417" t="n">
        <f aca="false">DEGREES(Beta)</f>
        <v>-84.240346337451</v>
      </c>
      <c r="O970" s="401"/>
      <c r="P970" s="420" t="n">
        <f aca="false">MATCH(t-pas/2-T_ini,CdP_t)</f>
        <v>23</v>
      </c>
      <c r="Q970" s="417" t="n">
        <f aca="false">(INDEX(CdP,2,i_P+1)-INDEX(CdP,2,i_P+0))/(INDEX(CdP,1,i_P+1)-INDEX(CdP,1,i_P+0))*(t-pas/2-T_ini-INDEX(CdP,1,i_P+0))+INDEX(CdP,2,i_P+0)</f>
        <v>0</v>
      </c>
      <c r="R970" s="418" t="n">
        <f aca="false">Poussee/(g*ISP)</f>
        <v>0</v>
      </c>
      <c r="S970" s="419" t="n">
        <f aca="false">S969-Débit*pas</f>
        <v>7.37799999999998</v>
      </c>
      <c r="T970" s="417" t="n">
        <f aca="false">m*g</f>
        <v>72.3781799999998</v>
      </c>
      <c r="U970" s="421" t="n">
        <f aca="false">IF(pos_xz&lt;L_rampe,Poids*COS(Beta),0)</f>
        <v>0</v>
      </c>
      <c r="V970" s="418" t="n">
        <f aca="false">Rho_moyen*(20000-Alt_rampe-pos_z)/(20000+Alt_rampe+pos_z)</f>
        <v>1.22643491846242</v>
      </c>
      <c r="W970" s="417" t="n">
        <f aca="false">1/2*Rho*Sref*Cx*vit_xz^2</f>
        <v>58.1137504580086</v>
      </c>
      <c r="X970" s="401"/>
      <c r="Y970" s="422" t="str">
        <f aca="false">IF(AND(pos_z&lt;=0,K969&gt;0),"Impact balistique","") &amp; IF(AND(H971&lt;0,vit_z&gt;=0),"Apogée","") &amp; IF(AND(Poussee=0,Q969&gt;0),"Fin de propulsion","") &amp; IF(AND(L971&gt;L_rampe,pos_xz&lt;=L_rampe),"Sortie de rampe","")</f>
        <v/>
      </c>
      <c r="Z970" s="423" t="str">
        <f aca="false">IF(ABS(t-T_para)&lt;pas/2,"Para","")</f>
        <v/>
      </c>
      <c r="AA970" s="424" t="str">
        <f aca="false">IF(ABS(t-T_satellite)&lt;pas/2,"Satellite","")</f>
        <v/>
      </c>
      <c r="AB970" s="412"/>
      <c r="AC970" s="420" t="e">
        <f aca="false">IF(ABS(t-ROUND(t,0))&lt;0.001,t,NA())</f>
        <v>#N/A</v>
      </c>
      <c r="AD970" s="425" t="e">
        <f aca="false">IF(ABS(t-ROUND(t,0))&lt;0.001,pos_x,NA())</f>
        <v>#N/A</v>
      </c>
      <c r="AE970" s="426" t="e">
        <f aca="false">IF(t&lt;T_para, pos_z, NA())</f>
        <v>#N/A</v>
      </c>
      <c r="AF970" s="412"/>
      <c r="AG970" s="418" t="n">
        <f aca="false">IF(AND(L969&lt;L_rampe,Poussee&lt;Poids*SIN(M969)),0,(-W969+Poussee)/m-Poids*SIN(M969)/m)</f>
        <v>1.88388176316652</v>
      </c>
      <c r="AH970" s="417" t="n">
        <f aca="false">IF(AND(L969&lt;L_rampe,Poussee&lt;Poids*SIN(M969)), g*SIN(M969), (-W969+Poussee)/m)</f>
        <v>-7.87659288379139</v>
      </c>
    </row>
    <row r="971" customFormat="false" ht="12" hidden="false" customHeight="false" outlineLevel="0" collapsed="false">
      <c r="A971" s="416" t="n">
        <f aca="false">IF(B970+0.01&lt;=T_ini+ROUNDUP(Temps_fin_propu,0), 0.01, IF(K970&gt;0, 0.1, 0.0001))</f>
        <v>0.0001</v>
      </c>
      <c r="B971" s="417" t="n">
        <f aca="false">B970+pas</f>
        <v>36.324400000001</v>
      </c>
      <c r="C971" s="401"/>
      <c r="D971" s="418" t="n">
        <f aca="false">IF(AND(L970&lt;L_rampe,Poussee&lt;Poids*SIN(M970)),0,(-W970+Poussee)/m*COS(M970)-U970/m*SIN(M970))</f>
        <v>-0.790464373007233</v>
      </c>
      <c r="E971" s="419" t="n">
        <f aca="false">IF(AND(L970&lt;L_rampe,Poussee&lt;Poids*SIN(M970)),0,(-W970+Poussee)/m*SIN(M970)+U970/m*COS(M970)-Poids/m)</f>
        <v>-1.97313765614161</v>
      </c>
      <c r="F971" s="417" t="n">
        <f aca="false">SQRT(acc_x^2+acc_z^2)</f>
        <v>2.12558371631835</v>
      </c>
      <c r="G971" s="418" t="n">
        <f aca="false">G970+acc_x*pas</f>
        <v>12.4577219714618</v>
      </c>
      <c r="H971" s="419" t="n">
        <f aca="false">H970+acc_z*pas</f>
        <v>-123.509965771807</v>
      </c>
      <c r="I971" s="417" t="n">
        <f aca="false">SQRT(vit_x^2+vit_z^2)</f>
        <v>124.136644395083</v>
      </c>
      <c r="J971" s="418" t="n">
        <f aca="false">J970+0.5*(vit_x+G970)*pas*(K970&gt;=0)</f>
        <v>913.614336176273</v>
      </c>
      <c r="K971" s="419" t="n">
        <f aca="false">K970+0.5*(vit_z+H970)*pas</f>
        <v>-11.7191146589849</v>
      </c>
      <c r="L971" s="417" t="n">
        <f aca="false">SQRT(pos_x^2+pos_z^2)</f>
        <v>913.689494804008</v>
      </c>
      <c r="M971" s="418" t="n">
        <f aca="false">IF(AND(L970&gt;L_rampe,G971&gt;0),ATAN2(G971,H971),$M$4)</f>
        <v>-1.47027219967801</v>
      </c>
      <c r="N971" s="417" t="n">
        <f aca="false">DEGREES(Beta)</f>
        <v>-84.2403917769659</v>
      </c>
      <c r="O971" s="401"/>
      <c r="P971" s="420" t="n">
        <f aca="false">MATCH(t-pas/2-T_ini,CdP_t)</f>
        <v>23</v>
      </c>
      <c r="Q971" s="417" t="n">
        <f aca="false">(INDEX(CdP,2,i_P+1)-INDEX(CdP,2,i_P+0))/(INDEX(CdP,1,i_P+1)-INDEX(CdP,1,i_P+0))*(t-pas/2-T_ini-INDEX(CdP,1,i_P+0))+INDEX(CdP,2,i_P+0)</f>
        <v>0</v>
      </c>
      <c r="R971" s="418" t="n">
        <f aca="false">Poussee/(g*ISP)</f>
        <v>0</v>
      </c>
      <c r="S971" s="419" t="n">
        <f aca="false">S970-Débit*pas</f>
        <v>7.37799999999998</v>
      </c>
      <c r="T971" s="417" t="n">
        <f aca="false">m*g</f>
        <v>72.3781799999998</v>
      </c>
      <c r="U971" s="421" t="n">
        <f aca="false">IF(pos_xz&lt;L_rampe,Poids*COS(Beta),0)</f>
        <v>0</v>
      </c>
      <c r="V971" s="418" t="n">
        <f aca="false">Rho_moyen*(20000-Alt_rampe-pos_z)/(20000+Alt_rampe+pos_z)</f>
        <v>1.22643643323201</v>
      </c>
      <c r="W971" s="417" t="n">
        <f aca="false">1/2*Rho*Sref*Cx*vit_xz^2</f>
        <v>58.1139986172351</v>
      </c>
      <c r="X971" s="401"/>
      <c r="Y971" s="422" t="str">
        <f aca="false">IF(AND(pos_z&lt;=0,K970&gt;0),"Impact balistique","") &amp; IF(AND(H972&lt;0,vit_z&gt;=0),"Apogée","") &amp; IF(AND(Poussee=0,Q970&gt;0),"Fin de propulsion","") &amp; IF(AND(L972&gt;L_rampe,pos_xz&lt;=L_rampe),"Sortie de rampe","")</f>
        <v/>
      </c>
      <c r="Z971" s="423" t="str">
        <f aca="false">IF(ABS(t-T_para)&lt;pas/2,"Para","")</f>
        <v/>
      </c>
      <c r="AA971" s="424" t="str">
        <f aca="false">IF(ABS(t-T_satellite)&lt;pas/2,"Satellite","")</f>
        <v/>
      </c>
      <c r="AB971" s="412"/>
      <c r="AC971" s="420" t="e">
        <f aca="false">IF(ABS(t-ROUND(t,0))&lt;0.001,t,NA())</f>
        <v>#N/A</v>
      </c>
      <c r="AD971" s="425" t="e">
        <f aca="false">IF(ABS(t-ROUND(t,0))&lt;0.001,pos_x,NA())</f>
        <v>#N/A</v>
      </c>
      <c r="AE971" s="426" t="e">
        <f aca="false">IF(t&lt;T_para, pos_z, NA())</f>
        <v>#N/A</v>
      </c>
      <c r="AF971" s="412"/>
      <c r="AG971" s="418" t="n">
        <f aca="false">IF(AND(L970&lt;L_rampe,Poussee&lt;Poids*SIN(M970)),0,(-W970+Poussee)/m-Poids*SIN(M970)/m)</f>
        <v>1.88384890862443</v>
      </c>
      <c r="AH971" s="417" t="n">
        <f aca="false">IF(AND(L970&lt;L_rampe,Poussee&lt;Poids*SIN(M970)), g*SIN(M970), (-W970+Poussee)/m)</f>
        <v>-7.87662651911206</v>
      </c>
    </row>
    <row r="972" customFormat="false" ht="12" hidden="false" customHeight="false" outlineLevel="0" collapsed="false">
      <c r="A972" s="416" t="n">
        <f aca="false">IF(B971+0.01&lt;=T_ini+ROUNDUP(Temps_fin_propu,0), 0.01, IF(K971&gt;0, 0.1, 0.0001))</f>
        <v>0.0001</v>
      </c>
      <c r="B972" s="417" t="n">
        <f aca="false">B971+pas</f>
        <v>36.324500000001</v>
      </c>
      <c r="C972" s="401"/>
      <c r="D972" s="418" t="n">
        <f aca="false">IF(AND(L971&lt;L_rampe,Poussee&lt;Poids*SIN(M971)),0,(-W971+Poussee)/m*COS(M971)-U971/m*SIN(M971))</f>
        <v>-0.790461533273394</v>
      </c>
      <c r="E972" s="419" t="n">
        <f aca="false">IF(AND(L971&lt;L_rampe,Poussee&lt;Poids*SIN(M971)),0,(-W971+Poussee)/m*SIN(M971)+U971/m*COS(M971)-Poids/m)</f>
        <v>-1.97310356402414</v>
      </c>
      <c r="F972" s="417" t="n">
        <f aca="false">SQRT(acc_x^2+acc_z^2)</f>
        <v>2.12555101325507</v>
      </c>
      <c r="G972" s="418" t="n">
        <f aca="false">G971+acc_x*pas</f>
        <v>12.4576429253085</v>
      </c>
      <c r="H972" s="419" t="n">
        <f aca="false">H971+acc_z*pas</f>
        <v>-123.510163082163</v>
      </c>
      <c r="I972" s="417" t="n">
        <f aca="false">SQRT(vit_x^2+vit_z^2)</f>
        <v>124.136832776727</v>
      </c>
      <c r="J972" s="418" t="n">
        <f aca="false">J971+0.5*(vit_x+G971)*pas*(K971&gt;=0)</f>
        <v>913.614336176273</v>
      </c>
      <c r="K972" s="419" t="n">
        <f aca="false">K971+0.5*(vit_z+H971)*pas</f>
        <v>-11.7314656654276</v>
      </c>
      <c r="L972" s="417" t="n">
        <f aca="false">SQRT(pos_x^2+pos_z^2)</f>
        <v>913.689653303282</v>
      </c>
      <c r="M972" s="418" t="n">
        <f aca="false">IF(AND(L971&gt;L_rampe,G972&gt;0),ATAN2(G972,H972),$M$4)</f>
        <v>-1.47027299273972</v>
      </c>
      <c r="N972" s="417" t="n">
        <f aca="false">DEGREES(Beta)</f>
        <v>-84.2404372160545</v>
      </c>
      <c r="O972" s="401"/>
      <c r="P972" s="420" t="n">
        <f aca="false">MATCH(t-pas/2-T_ini,CdP_t)</f>
        <v>23</v>
      </c>
      <c r="Q972" s="417" t="n">
        <f aca="false">(INDEX(CdP,2,i_P+1)-INDEX(CdP,2,i_P+0))/(INDEX(CdP,1,i_P+1)-INDEX(CdP,1,i_P+0))*(t-pas/2-T_ini-INDEX(CdP,1,i_P+0))+INDEX(CdP,2,i_P+0)</f>
        <v>0</v>
      </c>
      <c r="R972" s="418" t="n">
        <f aca="false">Poussee/(g*ISP)</f>
        <v>0</v>
      </c>
      <c r="S972" s="419" t="n">
        <f aca="false">S971-Débit*pas</f>
        <v>7.37799999999998</v>
      </c>
      <c r="T972" s="417" t="n">
        <f aca="false">m*g</f>
        <v>72.3781799999998</v>
      </c>
      <c r="U972" s="421" t="n">
        <f aca="false">IF(pos_xz&lt;L_rampe,Poids*COS(Beta),0)</f>
        <v>0</v>
      </c>
      <c r="V972" s="418" t="n">
        <f aca="false">Rho_moyen*(20000-Alt_rampe-pos_z)/(20000+Alt_rampe+pos_z)</f>
        <v>1.2264379480059</v>
      </c>
      <c r="W972" s="417" t="n">
        <f aca="false">1/2*Rho*Sref*Cx*vit_xz^2</f>
        <v>58.1142467742922</v>
      </c>
      <c r="X972" s="401"/>
      <c r="Y972" s="422" t="str">
        <f aca="false">IF(AND(pos_z&lt;=0,K971&gt;0),"Impact balistique","") &amp; IF(AND(H973&lt;0,vit_z&gt;=0),"Apogée","") &amp; IF(AND(Poussee=0,Q971&gt;0),"Fin de propulsion","") &amp; IF(AND(L973&gt;L_rampe,pos_xz&lt;=L_rampe),"Sortie de rampe","")</f>
        <v/>
      </c>
      <c r="Z972" s="423" t="str">
        <f aca="false">IF(ABS(t-T_para)&lt;pas/2,"Para","")</f>
        <v/>
      </c>
      <c r="AA972" s="424" t="str">
        <f aca="false">IF(ABS(t-T_satellite)&lt;pas/2,"Satellite","")</f>
        <v/>
      </c>
      <c r="AB972" s="412"/>
      <c r="AC972" s="420" t="e">
        <f aca="false">IF(ABS(t-ROUND(t,0))&lt;0.001,t,NA())</f>
        <v>#N/A</v>
      </c>
      <c r="AD972" s="425" t="e">
        <f aca="false">IF(ABS(t-ROUND(t,0))&lt;0.001,pos_x,NA())</f>
        <v>#N/A</v>
      </c>
      <c r="AE972" s="426" t="e">
        <f aca="false">IF(t&lt;T_para, pos_z, NA())</f>
        <v>#N/A</v>
      </c>
      <c r="AF972" s="412"/>
      <c r="AG972" s="418" t="n">
        <f aca="false">IF(AND(L971&lt;L_rampe,Poussee&lt;Poids*SIN(M971)),0,(-W971+Poussee)/m-Poids*SIN(M971)/m)</f>
        <v>1.88381605436291</v>
      </c>
      <c r="AH972" s="417" t="n">
        <f aca="false">IF(AND(L971&lt;L_rampe,Poussee&lt;Poids*SIN(M971)), g*SIN(M971), (-W971+Poussee)/m)</f>
        <v>-7.87666015413869</v>
      </c>
    </row>
    <row r="973" customFormat="false" ht="12" hidden="false" customHeight="false" outlineLevel="0" collapsed="false">
      <c r="A973" s="416" t="n">
        <f aca="false">IF(B972+0.01&lt;=T_ini+ROUNDUP(Temps_fin_propu,0), 0.01, IF(K972&gt;0, 0.1, 0.0001))</f>
        <v>0.0001</v>
      </c>
      <c r="B973" s="417" t="n">
        <f aca="false">B972+pas</f>
        <v>36.324600000001</v>
      </c>
      <c r="C973" s="401"/>
      <c r="D973" s="418" t="n">
        <f aca="false">IF(AND(L972&lt;L_rampe,Poussee&lt;Poids*SIN(M972)),0,(-W972+Poussee)/m*COS(M972)-U972/m*SIN(M972))</f>
        <v>-0.790458693514772</v>
      </c>
      <c r="E973" s="419" t="n">
        <f aca="false">IF(AND(L972&lt;L_rampe,Poussee&lt;Poids*SIN(M972)),0,(-W972+Poussee)/m*SIN(M972)+U972/m*COS(M972)-Poids/m)</f>
        <v>-1.97306947220467</v>
      </c>
      <c r="F973" s="417" t="n">
        <f aca="false">SQRT(acc_x^2+acc_z^2)</f>
        <v>2.12551831050666</v>
      </c>
      <c r="G973" s="418" t="n">
        <f aca="false">G972+acc_x*pas</f>
        <v>12.4575638794391</v>
      </c>
      <c r="H973" s="419" t="n">
        <f aca="false">H972+acc_z*pas</f>
        <v>-123.510360389111</v>
      </c>
      <c r="I973" s="417" t="n">
        <f aca="false">SQRT(vit_x^2+vit_z^2)</f>
        <v>124.137021155086</v>
      </c>
      <c r="J973" s="418" t="n">
        <f aca="false">J972+0.5*(vit_x+G972)*pas*(K972&gt;=0)</f>
        <v>913.614336176273</v>
      </c>
      <c r="K973" s="419" t="n">
        <f aca="false">K972+0.5*(vit_z+H972)*pas</f>
        <v>-11.7438166916012</v>
      </c>
      <c r="L973" s="417" t="n">
        <f aca="false">SQRT(pos_x^2+pos_z^2)</f>
        <v>913.68981196974</v>
      </c>
      <c r="M973" s="418" t="n">
        <f aca="false">IF(AND(L972&gt;L_rampe,G973&gt;0),ATAN2(G973,H973),$M$4)</f>
        <v>-1.47027378579398</v>
      </c>
      <c r="N973" s="417" t="n">
        <f aca="false">DEGREES(Beta)</f>
        <v>-84.2404826547168</v>
      </c>
      <c r="O973" s="401"/>
      <c r="P973" s="420" t="n">
        <f aca="false">MATCH(t-pas/2-T_ini,CdP_t)</f>
        <v>23</v>
      </c>
      <c r="Q973" s="417" t="n">
        <f aca="false">(INDEX(CdP,2,i_P+1)-INDEX(CdP,2,i_P+0))/(INDEX(CdP,1,i_P+1)-INDEX(CdP,1,i_P+0))*(t-pas/2-T_ini-INDEX(CdP,1,i_P+0))+INDEX(CdP,2,i_P+0)</f>
        <v>0</v>
      </c>
      <c r="R973" s="418" t="n">
        <f aca="false">Poussee/(g*ISP)</f>
        <v>0</v>
      </c>
      <c r="S973" s="419" t="n">
        <f aca="false">S972-Débit*pas</f>
        <v>7.37799999999998</v>
      </c>
      <c r="T973" s="417" t="n">
        <f aca="false">m*g</f>
        <v>72.3781799999998</v>
      </c>
      <c r="U973" s="421" t="n">
        <f aca="false">IF(pos_xz&lt;L_rampe,Poids*COS(Beta),0)</f>
        <v>0</v>
      </c>
      <c r="V973" s="418" t="n">
        <f aca="false">Rho_moyen*(20000-Alt_rampe-pos_z)/(20000+Alt_rampe+pos_z)</f>
        <v>1.22643946278407</v>
      </c>
      <c r="W973" s="417" t="n">
        <f aca="false">1/2*Rho*Sref*Cx*vit_xz^2</f>
        <v>58.11449492918</v>
      </c>
      <c r="X973" s="401"/>
      <c r="Y973" s="422" t="str">
        <f aca="false">IF(AND(pos_z&lt;=0,K972&gt;0),"Impact balistique","") &amp; IF(AND(H974&lt;0,vit_z&gt;=0),"Apogée","") &amp; IF(AND(Poussee=0,Q972&gt;0),"Fin de propulsion","") &amp; IF(AND(L974&gt;L_rampe,pos_xz&lt;=L_rampe),"Sortie de rampe","")</f>
        <v/>
      </c>
      <c r="Z973" s="423" t="str">
        <f aca="false">IF(ABS(t-T_para)&lt;pas/2,"Para","")</f>
        <v/>
      </c>
      <c r="AA973" s="424" t="str">
        <f aca="false">IF(ABS(t-T_satellite)&lt;pas/2,"Satellite","")</f>
        <v/>
      </c>
      <c r="AB973" s="412"/>
      <c r="AC973" s="420" t="e">
        <f aca="false">IF(ABS(t-ROUND(t,0))&lt;0.001,t,NA())</f>
        <v>#N/A</v>
      </c>
      <c r="AD973" s="425" t="e">
        <f aca="false">IF(ABS(t-ROUND(t,0))&lt;0.001,pos_x,NA())</f>
        <v>#N/A</v>
      </c>
      <c r="AE973" s="426" t="e">
        <f aca="false">IF(t&lt;T_para, pos_z, NA())</f>
        <v>#N/A</v>
      </c>
      <c r="AF973" s="412"/>
      <c r="AG973" s="418" t="n">
        <f aca="false">IF(AND(L972&lt;L_rampe,Poussee&lt;Poids*SIN(M972)),0,(-W972+Poussee)/m-Poids*SIN(M972)/m)</f>
        <v>1.88378320038197</v>
      </c>
      <c r="AH973" s="417" t="n">
        <f aca="false">IF(AND(L972&lt;L_rampe,Poussee&lt;Poids*SIN(M972)), g*SIN(M972), (-W972+Poussee)/m)</f>
        <v>-7.87669378887129</v>
      </c>
    </row>
    <row r="974" customFormat="false" ht="12" hidden="false" customHeight="false" outlineLevel="0" collapsed="false">
      <c r="A974" s="416" t="n">
        <f aca="false">IF(B973+0.01&lt;=T_ini+ROUNDUP(Temps_fin_propu,0), 0.01, IF(K973&gt;0, 0.1, 0.0001))</f>
        <v>0.0001</v>
      </c>
      <c r="B974" s="417" t="n">
        <f aca="false">B973+pas</f>
        <v>36.324700000001</v>
      </c>
      <c r="C974" s="401"/>
      <c r="D974" s="418" t="n">
        <f aca="false">IF(AND(L973&lt;L_rampe,Poussee&lt;Poids*SIN(M973)),0,(-W973+Poussee)/m*COS(M973)-U973/m*SIN(M973))</f>
        <v>-0.790455853731367</v>
      </c>
      <c r="E974" s="419" t="n">
        <f aca="false">IF(AND(L973&lt;L_rampe,Poussee&lt;Poids*SIN(M973)),0,(-W973+Poussee)/m*SIN(M973)+U973/m*COS(M973)-Poids/m)</f>
        <v>-1.9730353806832</v>
      </c>
      <c r="F974" s="417" t="n">
        <f aca="false">SQRT(acc_x^2+acc_z^2)</f>
        <v>2.1254856080731</v>
      </c>
      <c r="G974" s="418" t="n">
        <f aca="false">G973+acc_x*pas</f>
        <v>12.4574848338537</v>
      </c>
      <c r="H974" s="419" t="n">
        <f aca="false">H973+acc_z*pas</f>
        <v>-123.510557692649</v>
      </c>
      <c r="I974" s="417" t="n">
        <f aca="false">SQRT(vit_x^2+vit_z^2)</f>
        <v>124.13720953016</v>
      </c>
      <c r="J974" s="418" t="n">
        <f aca="false">J973+0.5*(vit_x+G973)*pas*(K973&gt;=0)</f>
        <v>913.614336176273</v>
      </c>
      <c r="K974" s="419" t="n">
        <f aca="false">K973+0.5*(vit_z+H973)*pas</f>
        <v>-11.7561677375053</v>
      </c>
      <c r="L974" s="417" t="n">
        <f aca="false">SQRT(pos_x^2+pos_z^2)</f>
        <v>913.689970803382</v>
      </c>
      <c r="M974" s="418" t="n">
        <f aca="false">IF(AND(L973&gt;L_rampe,G974&gt;0),ATAN2(G974,H974),$M$4)</f>
        <v>-1.47027457884081</v>
      </c>
      <c r="N974" s="417" t="n">
        <f aca="false">DEGREES(Beta)</f>
        <v>-84.240528092953</v>
      </c>
      <c r="O974" s="401"/>
      <c r="P974" s="420" t="n">
        <f aca="false">MATCH(t-pas/2-T_ini,CdP_t)</f>
        <v>23</v>
      </c>
      <c r="Q974" s="417" t="n">
        <f aca="false">(INDEX(CdP,2,i_P+1)-INDEX(CdP,2,i_P+0))/(INDEX(CdP,1,i_P+1)-INDEX(CdP,1,i_P+0))*(t-pas/2-T_ini-INDEX(CdP,1,i_P+0))+INDEX(CdP,2,i_P+0)</f>
        <v>0</v>
      </c>
      <c r="R974" s="418" t="n">
        <f aca="false">Poussee/(g*ISP)</f>
        <v>0</v>
      </c>
      <c r="S974" s="419" t="n">
        <f aca="false">S973-Débit*pas</f>
        <v>7.37799999999998</v>
      </c>
      <c r="T974" s="417" t="n">
        <f aca="false">m*g</f>
        <v>72.3781799999998</v>
      </c>
      <c r="U974" s="421" t="n">
        <f aca="false">IF(pos_xz&lt;L_rampe,Poids*COS(Beta),0)</f>
        <v>0</v>
      </c>
      <c r="V974" s="418" t="n">
        <f aca="false">Rho_moyen*(20000-Alt_rampe-pos_z)/(20000+Alt_rampe+pos_z)</f>
        <v>1.22644097756654</v>
      </c>
      <c r="W974" s="417" t="n">
        <f aca="false">1/2*Rho*Sref*Cx*vit_xz^2</f>
        <v>58.1147430818983</v>
      </c>
      <c r="X974" s="401"/>
      <c r="Y974" s="422" t="str">
        <f aca="false">IF(AND(pos_z&lt;=0,K973&gt;0),"Impact balistique","") &amp; IF(AND(H975&lt;0,vit_z&gt;=0),"Apogée","") &amp; IF(AND(Poussee=0,Q973&gt;0),"Fin de propulsion","") &amp; IF(AND(L975&gt;L_rampe,pos_xz&lt;=L_rampe),"Sortie de rampe","")</f>
        <v/>
      </c>
      <c r="Z974" s="423" t="str">
        <f aca="false">IF(ABS(t-T_para)&lt;pas/2,"Para","")</f>
        <v/>
      </c>
      <c r="AA974" s="424" t="str">
        <f aca="false">IF(ABS(t-T_satellite)&lt;pas/2,"Satellite","")</f>
        <v/>
      </c>
      <c r="AB974" s="412"/>
      <c r="AC974" s="420" t="e">
        <f aca="false">IF(ABS(t-ROUND(t,0))&lt;0.001,t,NA())</f>
        <v>#N/A</v>
      </c>
      <c r="AD974" s="425" t="e">
        <f aca="false">IF(ABS(t-ROUND(t,0))&lt;0.001,pos_x,NA())</f>
        <v>#N/A</v>
      </c>
      <c r="AE974" s="426" t="e">
        <f aca="false">IF(t&lt;T_para, pos_z, NA())</f>
        <v>#N/A</v>
      </c>
      <c r="AF974" s="412"/>
      <c r="AG974" s="418" t="n">
        <f aca="false">IF(AND(L973&lt;L_rampe,Poussee&lt;Poids*SIN(M973)),0,(-W973+Poussee)/m-Poids*SIN(M973)/m)</f>
        <v>1.88375034668159</v>
      </c>
      <c r="AH974" s="417" t="n">
        <f aca="false">IF(AND(L973&lt;L_rampe,Poussee&lt;Poids*SIN(M973)), g*SIN(M973), (-W973+Poussee)/m)</f>
        <v>-7.87672742330985</v>
      </c>
    </row>
    <row r="975" customFormat="false" ht="12" hidden="false" customHeight="false" outlineLevel="0" collapsed="false">
      <c r="A975" s="416" t="n">
        <f aca="false">IF(B974+0.01&lt;=T_ini+ROUNDUP(Temps_fin_propu,0), 0.01, IF(K974&gt;0, 0.1, 0.0001))</f>
        <v>0.0001</v>
      </c>
      <c r="B975" s="417" t="n">
        <f aca="false">B974+pas</f>
        <v>36.324800000001</v>
      </c>
      <c r="C975" s="401"/>
      <c r="D975" s="418" t="n">
        <f aca="false">IF(AND(L974&lt;L_rampe,Poussee&lt;Poids*SIN(M974)),0,(-W974+Poussee)/m*COS(M974)-U974/m*SIN(M974))</f>
        <v>-0.790453013923177</v>
      </c>
      <c r="E975" s="419" t="n">
        <f aca="false">IF(AND(L974&lt;L_rampe,Poussee&lt;Poids*SIN(M974)),0,(-W974+Poussee)/m*SIN(M974)+U974/m*COS(M974)-Poids/m)</f>
        <v>-1.97300128945974</v>
      </c>
      <c r="F975" s="417" t="n">
        <f aca="false">SQRT(acc_x^2+acc_z^2)</f>
        <v>2.12545290595441</v>
      </c>
      <c r="G975" s="418" t="n">
        <f aca="false">G974+acc_x*pas</f>
        <v>12.4574057885524</v>
      </c>
      <c r="H975" s="419" t="n">
        <f aca="false">H974+acc_z*pas</f>
        <v>-123.510754992778</v>
      </c>
      <c r="I975" s="417" t="n">
        <f aca="false">SQRT(vit_x^2+vit_z^2)</f>
        <v>124.137397901948</v>
      </c>
      <c r="J975" s="418" t="n">
        <f aca="false">J974+0.5*(vit_x+G974)*pas*(K974&gt;=0)</f>
        <v>913.614336176273</v>
      </c>
      <c r="K975" s="419" t="n">
        <f aca="false">K974+0.5*(vit_z+H974)*pas</f>
        <v>-11.7685188031395</v>
      </c>
      <c r="L975" s="417" t="n">
        <f aca="false">SQRT(pos_x^2+pos_z^2)</f>
        <v>913.690129804209</v>
      </c>
      <c r="M975" s="418" t="n">
        <f aca="false">IF(AND(L974&gt;L_rampe,G975&gt;0),ATAN2(G975,H975),$M$4)</f>
        <v>-1.4702753718802</v>
      </c>
      <c r="N975" s="417" t="n">
        <f aca="false">DEGREES(Beta)</f>
        <v>-84.2405735307629</v>
      </c>
      <c r="O975" s="401"/>
      <c r="P975" s="420" t="n">
        <f aca="false">MATCH(t-pas/2-T_ini,CdP_t)</f>
        <v>23</v>
      </c>
      <c r="Q975" s="417" t="n">
        <f aca="false">(INDEX(CdP,2,i_P+1)-INDEX(CdP,2,i_P+0))/(INDEX(CdP,1,i_P+1)-INDEX(CdP,1,i_P+0))*(t-pas/2-T_ini-INDEX(CdP,1,i_P+0))+INDEX(CdP,2,i_P+0)</f>
        <v>0</v>
      </c>
      <c r="R975" s="418" t="n">
        <f aca="false">Poussee/(g*ISP)</f>
        <v>0</v>
      </c>
      <c r="S975" s="419" t="n">
        <f aca="false">S974-Débit*pas</f>
        <v>7.37799999999998</v>
      </c>
      <c r="T975" s="417" t="n">
        <f aca="false">m*g</f>
        <v>72.3781799999998</v>
      </c>
      <c r="U975" s="421" t="n">
        <f aca="false">IF(pos_xz&lt;L_rampe,Poids*COS(Beta),0)</f>
        <v>0</v>
      </c>
      <c r="V975" s="418" t="n">
        <f aca="false">Rho_moyen*(20000-Alt_rampe-pos_z)/(20000+Alt_rampe+pos_z)</f>
        <v>1.2264424923533</v>
      </c>
      <c r="W975" s="417" t="n">
        <f aca="false">1/2*Rho*Sref*Cx*vit_xz^2</f>
        <v>58.1149912324473</v>
      </c>
      <c r="X975" s="401"/>
      <c r="Y975" s="422" t="str">
        <f aca="false">IF(AND(pos_z&lt;=0,K974&gt;0),"Impact balistique","") &amp; IF(AND(H976&lt;0,vit_z&gt;=0),"Apogée","") &amp; IF(AND(Poussee=0,Q974&gt;0),"Fin de propulsion","") &amp; IF(AND(L976&gt;L_rampe,pos_xz&lt;=L_rampe),"Sortie de rampe","")</f>
        <v/>
      </c>
      <c r="Z975" s="423" t="str">
        <f aca="false">IF(ABS(t-T_para)&lt;pas/2,"Para","")</f>
        <v/>
      </c>
      <c r="AA975" s="424" t="str">
        <f aca="false">IF(ABS(t-T_satellite)&lt;pas/2,"Satellite","")</f>
        <v/>
      </c>
      <c r="AB975" s="412"/>
      <c r="AC975" s="420" t="e">
        <f aca="false">IF(ABS(t-ROUND(t,0))&lt;0.001,t,NA())</f>
        <v>#N/A</v>
      </c>
      <c r="AD975" s="425" t="e">
        <f aca="false">IF(ABS(t-ROUND(t,0))&lt;0.001,pos_x,NA())</f>
        <v>#N/A</v>
      </c>
      <c r="AE975" s="426" t="e">
        <f aca="false">IF(t&lt;T_para, pos_z, NA())</f>
        <v>#N/A</v>
      </c>
      <c r="AF975" s="412"/>
      <c r="AG975" s="418" t="n">
        <f aca="false">IF(AND(L974&lt;L_rampe,Poussee&lt;Poids*SIN(M974)),0,(-W974+Poussee)/m-Poids*SIN(M974)/m)</f>
        <v>1.88371749326178</v>
      </c>
      <c r="AH975" s="417" t="n">
        <f aca="false">IF(AND(L974&lt;L_rampe,Poussee&lt;Poids*SIN(M974)), g*SIN(M974), (-W974+Poussee)/m)</f>
        <v>-7.87676105745439</v>
      </c>
    </row>
    <row r="976" customFormat="false" ht="12" hidden="false" customHeight="false" outlineLevel="0" collapsed="false">
      <c r="A976" s="416" t="n">
        <f aca="false">IF(B975+0.01&lt;=T_ini+ROUNDUP(Temps_fin_propu,0), 0.01, IF(K975&gt;0, 0.1, 0.0001))</f>
        <v>0.0001</v>
      </c>
      <c r="B976" s="417" t="n">
        <f aca="false">B975+pas</f>
        <v>36.324900000001</v>
      </c>
      <c r="C976" s="401"/>
      <c r="D976" s="418" t="n">
        <f aca="false">IF(AND(L975&lt;L_rampe,Poussee&lt;Poids*SIN(M975)),0,(-W975+Poussee)/m*COS(M975)-U975/m*SIN(M975))</f>
        <v>-0.790450174090204</v>
      </c>
      <c r="E976" s="419" t="n">
        <f aca="false">IF(AND(L975&lt;L_rampe,Poussee&lt;Poids*SIN(M975)),0,(-W975+Poussee)/m*SIN(M975)+U975/m*COS(M975)-Poids/m)</f>
        <v>-1.97296719853428</v>
      </c>
      <c r="F976" s="417" t="n">
        <f aca="false">SQRT(acc_x^2+acc_z^2)</f>
        <v>2.12542020415057</v>
      </c>
      <c r="G976" s="418" t="n">
        <f aca="false">G975+acc_x*pas</f>
        <v>12.4573267435349</v>
      </c>
      <c r="H976" s="419" t="n">
        <f aca="false">H975+acc_z*pas</f>
        <v>-123.510952289498</v>
      </c>
      <c r="I976" s="417" t="n">
        <f aca="false">SQRT(vit_x^2+vit_z^2)</f>
        <v>124.137586270451</v>
      </c>
      <c r="J976" s="418" t="n">
        <f aca="false">J975+0.5*(vit_x+G975)*pas*(K975&gt;=0)</f>
        <v>913.614336176273</v>
      </c>
      <c r="K976" s="419" t="n">
        <f aca="false">K975+0.5*(vit_z+H975)*pas</f>
        <v>-11.7808698885037</v>
      </c>
      <c r="L976" s="417" t="n">
        <f aca="false">SQRT(pos_x^2+pos_z^2)</f>
        <v>913.690288972222</v>
      </c>
      <c r="M976" s="418" t="n">
        <f aca="false">IF(AND(L975&gt;L_rampe,G976&gt;0),ATAN2(G976,H976),$M$4)</f>
        <v>-1.47027616491215</v>
      </c>
      <c r="N976" s="417" t="n">
        <f aca="false">DEGREES(Beta)</f>
        <v>-84.2406189681466</v>
      </c>
      <c r="O976" s="401"/>
      <c r="P976" s="420" t="n">
        <f aca="false">MATCH(t-pas/2-T_ini,CdP_t)</f>
        <v>23</v>
      </c>
      <c r="Q976" s="417" t="n">
        <f aca="false">(INDEX(CdP,2,i_P+1)-INDEX(CdP,2,i_P+0))/(INDEX(CdP,1,i_P+1)-INDEX(CdP,1,i_P+0))*(t-pas/2-T_ini-INDEX(CdP,1,i_P+0))+INDEX(CdP,2,i_P+0)</f>
        <v>0</v>
      </c>
      <c r="R976" s="418" t="n">
        <f aca="false">Poussee/(g*ISP)</f>
        <v>0</v>
      </c>
      <c r="S976" s="419" t="n">
        <f aca="false">S975-Débit*pas</f>
        <v>7.37799999999998</v>
      </c>
      <c r="T976" s="417" t="n">
        <f aca="false">m*g</f>
        <v>72.3781799999998</v>
      </c>
      <c r="U976" s="421" t="n">
        <f aca="false">IF(pos_xz&lt;L_rampe,Poids*COS(Beta),0)</f>
        <v>0</v>
      </c>
      <c r="V976" s="418" t="n">
        <f aca="false">Rho_moyen*(20000-Alt_rampe-pos_z)/(20000+Alt_rampe+pos_z)</f>
        <v>1.22644400714436</v>
      </c>
      <c r="W976" s="417" t="n">
        <f aca="false">1/2*Rho*Sref*Cx*vit_xz^2</f>
        <v>58.1152393808269</v>
      </c>
      <c r="X976" s="401"/>
      <c r="Y976" s="422" t="str">
        <f aca="false">IF(AND(pos_z&lt;=0,K975&gt;0),"Impact balistique","") &amp; IF(AND(H977&lt;0,vit_z&gt;=0),"Apogée","") &amp; IF(AND(Poussee=0,Q975&gt;0),"Fin de propulsion","") &amp; IF(AND(L977&gt;L_rampe,pos_xz&lt;=L_rampe),"Sortie de rampe","")</f>
        <v/>
      </c>
      <c r="Z976" s="423" t="str">
        <f aca="false">IF(ABS(t-T_para)&lt;pas/2,"Para","")</f>
        <v/>
      </c>
      <c r="AA976" s="424" t="str">
        <f aca="false">IF(ABS(t-T_satellite)&lt;pas/2,"Satellite","")</f>
        <v/>
      </c>
      <c r="AB976" s="412"/>
      <c r="AC976" s="420" t="e">
        <f aca="false">IF(ABS(t-ROUND(t,0))&lt;0.001,t,NA())</f>
        <v>#N/A</v>
      </c>
      <c r="AD976" s="425" t="e">
        <f aca="false">IF(ABS(t-ROUND(t,0))&lt;0.001,pos_x,NA())</f>
        <v>#N/A</v>
      </c>
      <c r="AE976" s="426" t="e">
        <f aca="false">IF(t&lt;T_para, pos_z, NA())</f>
        <v>#N/A</v>
      </c>
      <c r="AF976" s="412"/>
      <c r="AG976" s="418" t="n">
        <f aca="false">IF(AND(L975&lt;L_rampe,Poussee&lt;Poids*SIN(M975)),0,(-W975+Poussee)/m-Poids*SIN(M975)/m)</f>
        <v>1.88368464012255</v>
      </c>
      <c r="AH976" s="417" t="n">
        <f aca="false">IF(AND(L975&lt;L_rampe,Poussee&lt;Poids*SIN(M975)), g*SIN(M975), (-W975+Poussee)/m)</f>
        <v>-7.87679469130489</v>
      </c>
    </row>
    <row r="977" customFormat="false" ht="12" hidden="false" customHeight="false" outlineLevel="0" collapsed="false">
      <c r="A977" s="416" t="n">
        <f aca="false">IF(B976+0.01&lt;=T_ini+ROUNDUP(Temps_fin_propu,0), 0.01, IF(K976&gt;0, 0.1, 0.0001))</f>
        <v>0.0001</v>
      </c>
      <c r="B977" s="417" t="n">
        <f aca="false">B976+pas</f>
        <v>36.325000000001</v>
      </c>
      <c r="C977" s="401"/>
      <c r="D977" s="418" t="n">
        <f aca="false">IF(AND(L976&lt;L_rampe,Poussee&lt;Poids*SIN(M976)),0,(-W976+Poussee)/m*COS(M976)-U976/m*SIN(M976))</f>
        <v>-0.790447334232448</v>
      </c>
      <c r="E977" s="419" t="n">
        <f aca="false">IF(AND(L976&lt;L_rampe,Poussee&lt;Poids*SIN(M976)),0,(-W976+Poussee)/m*SIN(M976)+U976/m*COS(M976)-Poids/m)</f>
        <v>-1.97293310790683</v>
      </c>
      <c r="F977" s="417" t="n">
        <f aca="false">SQRT(acc_x^2+acc_z^2)</f>
        <v>2.12538750266159</v>
      </c>
      <c r="G977" s="418" t="n">
        <f aca="false">G976+acc_x*pas</f>
        <v>12.4572476988015</v>
      </c>
      <c r="H977" s="419" t="n">
        <f aca="false">H976+acc_z*pas</f>
        <v>-123.511149582808</v>
      </c>
      <c r="I977" s="417" t="n">
        <f aca="false">SQRT(vit_x^2+vit_z^2)</f>
        <v>124.137774635669</v>
      </c>
      <c r="J977" s="418" t="n">
        <f aca="false">J976+0.5*(vit_x+G976)*pas*(K976&gt;=0)</f>
        <v>913.614336176273</v>
      </c>
      <c r="K977" s="419" t="n">
        <f aca="false">K976+0.5*(vit_z+H976)*pas</f>
        <v>-11.7932209935973</v>
      </c>
      <c r="L977" s="417" t="n">
        <f aca="false">SQRT(pos_x^2+pos_z^2)</f>
        <v>913.690448307421</v>
      </c>
      <c r="M977" s="418" t="n">
        <f aca="false">IF(AND(L976&gt;L_rampe,G977&gt;0),ATAN2(G977,H977),$M$4)</f>
        <v>-1.47027695793666</v>
      </c>
      <c r="N977" s="417" t="n">
        <f aca="false">DEGREES(Beta)</f>
        <v>-84.2406644051041</v>
      </c>
      <c r="O977" s="401"/>
      <c r="P977" s="420" t="n">
        <f aca="false">MATCH(t-pas/2-T_ini,CdP_t)</f>
        <v>23</v>
      </c>
      <c r="Q977" s="417" t="n">
        <f aca="false">(INDEX(CdP,2,i_P+1)-INDEX(CdP,2,i_P+0))/(INDEX(CdP,1,i_P+1)-INDEX(CdP,1,i_P+0))*(t-pas/2-T_ini-INDEX(CdP,1,i_P+0))+INDEX(CdP,2,i_P+0)</f>
        <v>0</v>
      </c>
      <c r="R977" s="418" t="n">
        <f aca="false">Poussee/(g*ISP)</f>
        <v>0</v>
      </c>
      <c r="S977" s="419" t="n">
        <f aca="false">S976-Débit*pas</f>
        <v>7.37799999999998</v>
      </c>
      <c r="T977" s="417" t="n">
        <f aca="false">m*g</f>
        <v>72.3781799999998</v>
      </c>
      <c r="U977" s="421" t="n">
        <f aca="false">IF(pos_xz&lt;L_rampe,Poids*COS(Beta),0)</f>
        <v>0</v>
      </c>
      <c r="V977" s="418" t="n">
        <f aca="false">Rho_moyen*(20000-Alt_rampe-pos_z)/(20000+Alt_rampe+pos_z)</f>
        <v>1.2264455219397</v>
      </c>
      <c r="W977" s="417" t="n">
        <f aca="false">1/2*Rho*Sref*Cx*vit_xz^2</f>
        <v>58.1154875270372</v>
      </c>
      <c r="X977" s="401"/>
      <c r="Y977" s="422" t="str">
        <f aca="false">IF(AND(pos_z&lt;=0,K976&gt;0),"Impact balistique","") &amp; IF(AND(H978&lt;0,vit_z&gt;=0),"Apogée","") &amp; IF(AND(Poussee=0,Q976&gt;0),"Fin de propulsion","") &amp; IF(AND(L978&gt;L_rampe,pos_xz&lt;=L_rampe),"Sortie de rampe","")</f>
        <v/>
      </c>
      <c r="Z977" s="423" t="str">
        <f aca="false">IF(ABS(t-T_para)&lt;pas/2,"Para","")</f>
        <v/>
      </c>
      <c r="AA977" s="424" t="str">
        <f aca="false">IF(ABS(t-T_satellite)&lt;pas/2,"Satellite","")</f>
        <v/>
      </c>
      <c r="AB977" s="412"/>
      <c r="AC977" s="420" t="e">
        <f aca="false">IF(ABS(t-ROUND(t,0))&lt;0.001,t,NA())</f>
        <v>#N/A</v>
      </c>
      <c r="AD977" s="425" t="e">
        <f aca="false">IF(ABS(t-ROUND(t,0))&lt;0.001,pos_x,NA())</f>
        <v>#N/A</v>
      </c>
      <c r="AE977" s="426" t="e">
        <f aca="false">IF(t&lt;T_para, pos_z, NA())</f>
        <v>#N/A</v>
      </c>
      <c r="AF977" s="412"/>
      <c r="AG977" s="418" t="n">
        <f aca="false">IF(AND(L976&lt;L_rampe,Poussee&lt;Poids*SIN(M976)),0,(-W976+Poussee)/m-Poids*SIN(M976)/m)</f>
        <v>1.88365178726389</v>
      </c>
      <c r="AH977" s="417" t="n">
        <f aca="false">IF(AND(L976&lt;L_rampe,Poussee&lt;Poids*SIN(M976)), g*SIN(M976), (-W976+Poussee)/m)</f>
        <v>-7.87682832486135</v>
      </c>
    </row>
    <row r="978" customFormat="false" ht="12" hidden="false" customHeight="false" outlineLevel="0" collapsed="false">
      <c r="A978" s="416" t="n">
        <f aca="false">IF(B977+0.01&lt;=T_ini+ROUNDUP(Temps_fin_propu,0), 0.01, IF(K977&gt;0, 0.1, 0.0001))</f>
        <v>0.0001</v>
      </c>
      <c r="B978" s="417" t="n">
        <f aca="false">B977+pas</f>
        <v>36.325100000001</v>
      </c>
      <c r="C978" s="401"/>
      <c r="D978" s="418" t="n">
        <f aca="false">IF(AND(L977&lt;L_rampe,Poussee&lt;Poids*SIN(M977)),0,(-W977+Poussee)/m*COS(M977)-U977/m*SIN(M977))</f>
        <v>-0.790444494349912</v>
      </c>
      <c r="E978" s="419" t="n">
        <f aca="false">IF(AND(L977&lt;L_rampe,Poussee&lt;Poids*SIN(M977)),0,(-W977+Poussee)/m*SIN(M977)+U977/m*COS(M977)-Poids/m)</f>
        <v>-1.97289901757738</v>
      </c>
      <c r="F978" s="417" t="n">
        <f aca="false">SQRT(acc_x^2+acc_z^2)</f>
        <v>2.12535480148748</v>
      </c>
      <c r="G978" s="418" t="n">
        <f aca="false">G977+acc_x*pas</f>
        <v>12.4571686543521</v>
      </c>
      <c r="H978" s="419" t="n">
        <f aca="false">H977+acc_z*pas</f>
        <v>-123.51134687271</v>
      </c>
      <c r="I978" s="417" t="n">
        <f aca="false">SQRT(vit_x^2+vit_z^2)</f>
        <v>124.137962997602</v>
      </c>
      <c r="J978" s="418" t="n">
        <f aca="false">J977+0.5*(vit_x+G977)*pas*(K977&gt;=0)</f>
        <v>913.614336176273</v>
      </c>
      <c r="K978" s="419" t="n">
        <f aca="false">K977+0.5*(vit_z+H977)*pas</f>
        <v>-11.80557211842</v>
      </c>
      <c r="L978" s="417" t="n">
        <f aca="false">SQRT(pos_x^2+pos_z^2)</f>
        <v>913.690607809808</v>
      </c>
      <c r="M978" s="418" t="n">
        <f aca="false">IF(AND(L977&gt;L_rampe,G978&gt;0),ATAN2(G978,H978),$M$4)</f>
        <v>-1.47027775095373</v>
      </c>
      <c r="N978" s="417" t="n">
        <f aca="false">DEGREES(Beta)</f>
        <v>-84.2407098416354</v>
      </c>
      <c r="O978" s="401"/>
      <c r="P978" s="420" t="n">
        <f aca="false">MATCH(t-pas/2-T_ini,CdP_t)</f>
        <v>23</v>
      </c>
      <c r="Q978" s="417" t="n">
        <f aca="false">(INDEX(CdP,2,i_P+1)-INDEX(CdP,2,i_P+0))/(INDEX(CdP,1,i_P+1)-INDEX(CdP,1,i_P+0))*(t-pas/2-T_ini-INDEX(CdP,1,i_P+0))+INDEX(CdP,2,i_P+0)</f>
        <v>0</v>
      </c>
      <c r="R978" s="418" t="n">
        <f aca="false">Poussee/(g*ISP)</f>
        <v>0</v>
      </c>
      <c r="S978" s="419" t="n">
        <f aca="false">S977-Débit*pas</f>
        <v>7.37799999999998</v>
      </c>
      <c r="T978" s="417" t="n">
        <f aca="false">m*g</f>
        <v>72.3781799999998</v>
      </c>
      <c r="U978" s="421" t="n">
        <f aca="false">IF(pos_xz&lt;L_rampe,Poids*COS(Beta),0)</f>
        <v>0</v>
      </c>
      <c r="V978" s="418" t="n">
        <f aca="false">Rho_moyen*(20000-Alt_rampe-pos_z)/(20000+Alt_rampe+pos_z)</f>
        <v>1.22644703673934</v>
      </c>
      <c r="W978" s="417" t="n">
        <f aca="false">1/2*Rho*Sref*Cx*vit_xz^2</f>
        <v>58.1157356710781</v>
      </c>
      <c r="X978" s="401"/>
      <c r="Y978" s="422" t="str">
        <f aca="false">IF(AND(pos_z&lt;=0,K977&gt;0),"Impact balistique","") &amp; IF(AND(H979&lt;0,vit_z&gt;=0),"Apogée","") &amp; IF(AND(Poussee=0,Q977&gt;0),"Fin de propulsion","") &amp; IF(AND(L979&gt;L_rampe,pos_xz&lt;=L_rampe),"Sortie de rampe","")</f>
        <v/>
      </c>
      <c r="Z978" s="423" t="str">
        <f aca="false">IF(ABS(t-T_para)&lt;pas/2,"Para","")</f>
        <v/>
      </c>
      <c r="AA978" s="424" t="str">
        <f aca="false">IF(ABS(t-T_satellite)&lt;pas/2,"Satellite","")</f>
        <v/>
      </c>
      <c r="AB978" s="412"/>
      <c r="AC978" s="420" t="e">
        <f aca="false">IF(ABS(t-ROUND(t,0))&lt;0.001,t,NA())</f>
        <v>#N/A</v>
      </c>
      <c r="AD978" s="425" t="e">
        <f aca="false">IF(ABS(t-ROUND(t,0))&lt;0.001,pos_x,NA())</f>
        <v>#N/A</v>
      </c>
      <c r="AE978" s="426" t="e">
        <f aca="false">IF(t&lt;T_para, pos_z, NA())</f>
        <v>#N/A</v>
      </c>
      <c r="AF978" s="412"/>
      <c r="AG978" s="418" t="n">
        <f aca="false">IF(AND(L977&lt;L_rampe,Poussee&lt;Poids*SIN(M977)),0,(-W977+Poussee)/m-Poids*SIN(M977)/m)</f>
        <v>1.88361893468579</v>
      </c>
      <c r="AH978" s="417" t="n">
        <f aca="false">IF(AND(L977&lt;L_rampe,Poussee&lt;Poids*SIN(M977)), g*SIN(M977), (-W977+Poussee)/m)</f>
        <v>-7.87686195812379</v>
      </c>
    </row>
    <row r="979" customFormat="false" ht="12" hidden="false" customHeight="false" outlineLevel="0" collapsed="false">
      <c r="A979" s="416" t="n">
        <f aca="false">IF(B978+0.01&lt;=T_ini+ROUNDUP(Temps_fin_propu,0), 0.01, IF(K978&gt;0, 0.1, 0.0001))</f>
        <v>0.0001</v>
      </c>
      <c r="B979" s="417" t="n">
        <f aca="false">B978+pas</f>
        <v>36.325200000001</v>
      </c>
      <c r="C979" s="401"/>
      <c r="D979" s="418" t="n">
        <f aca="false">IF(AND(L978&lt;L_rampe,Poussee&lt;Poids*SIN(M978)),0,(-W978+Poussee)/m*COS(M978)-U978/m*SIN(M978))</f>
        <v>-0.790441654442595</v>
      </c>
      <c r="E979" s="419" t="n">
        <f aca="false">IF(AND(L978&lt;L_rampe,Poussee&lt;Poids*SIN(M978)),0,(-W978+Poussee)/m*SIN(M978)+U978/m*COS(M978)-Poids/m)</f>
        <v>-1.97286492754593</v>
      </c>
      <c r="F979" s="417" t="n">
        <f aca="false">SQRT(acc_x^2+acc_z^2)</f>
        <v>2.12532210062822</v>
      </c>
      <c r="G979" s="418" t="n">
        <f aca="false">G978+acc_x*pas</f>
        <v>12.4570896101866</v>
      </c>
      <c r="H979" s="419" t="n">
        <f aca="false">H978+acc_z*pas</f>
        <v>-123.511544159203</v>
      </c>
      <c r="I979" s="417" t="n">
        <f aca="false">SQRT(vit_x^2+vit_z^2)</f>
        <v>124.138151356249</v>
      </c>
      <c r="J979" s="418" t="n">
        <f aca="false">J978+0.5*(vit_x+G978)*pas*(K978&gt;=0)</f>
        <v>913.614336176273</v>
      </c>
      <c r="K979" s="419" t="n">
        <f aca="false">K978+0.5*(vit_z+H978)*pas</f>
        <v>-11.8179232629716</v>
      </c>
      <c r="L979" s="417" t="n">
        <f aca="false">SQRT(pos_x^2+pos_z^2)</f>
        <v>913.690767479382</v>
      </c>
      <c r="M979" s="418" t="n">
        <f aca="false">IF(AND(L978&gt;L_rampe,G979&gt;0),ATAN2(G979,H979),$M$4)</f>
        <v>-1.47027854396336</v>
      </c>
      <c r="N979" s="417" t="n">
        <f aca="false">DEGREES(Beta)</f>
        <v>-84.2407552777406</v>
      </c>
      <c r="O979" s="401"/>
      <c r="P979" s="420" t="n">
        <f aca="false">MATCH(t-pas/2-T_ini,CdP_t)</f>
        <v>23</v>
      </c>
      <c r="Q979" s="417" t="n">
        <f aca="false">(INDEX(CdP,2,i_P+1)-INDEX(CdP,2,i_P+0))/(INDEX(CdP,1,i_P+1)-INDEX(CdP,1,i_P+0))*(t-pas/2-T_ini-INDEX(CdP,1,i_P+0))+INDEX(CdP,2,i_P+0)</f>
        <v>0</v>
      </c>
      <c r="R979" s="418" t="n">
        <f aca="false">Poussee/(g*ISP)</f>
        <v>0</v>
      </c>
      <c r="S979" s="419" t="n">
        <f aca="false">S978-Débit*pas</f>
        <v>7.37799999999998</v>
      </c>
      <c r="T979" s="417" t="n">
        <f aca="false">m*g</f>
        <v>72.3781799999998</v>
      </c>
      <c r="U979" s="421" t="n">
        <f aca="false">IF(pos_xz&lt;L_rampe,Poids*COS(Beta),0)</f>
        <v>0</v>
      </c>
      <c r="V979" s="418" t="n">
        <f aca="false">Rho_moyen*(20000-Alt_rampe-pos_z)/(20000+Alt_rampe+pos_z)</f>
        <v>1.22644855154326</v>
      </c>
      <c r="W979" s="417" t="n">
        <f aca="false">1/2*Rho*Sref*Cx*vit_xz^2</f>
        <v>58.1159838129496</v>
      </c>
      <c r="X979" s="401"/>
      <c r="Y979" s="422" t="str">
        <f aca="false">IF(AND(pos_z&lt;=0,K978&gt;0),"Impact balistique","") &amp; IF(AND(H980&lt;0,vit_z&gt;=0),"Apogée","") &amp; IF(AND(Poussee=0,Q978&gt;0),"Fin de propulsion","") &amp; IF(AND(L980&gt;L_rampe,pos_xz&lt;=L_rampe),"Sortie de rampe","")</f>
        <v/>
      </c>
      <c r="Z979" s="423" t="str">
        <f aca="false">IF(ABS(t-T_para)&lt;pas/2,"Para","")</f>
        <v/>
      </c>
      <c r="AA979" s="424" t="str">
        <f aca="false">IF(ABS(t-T_satellite)&lt;pas/2,"Satellite","")</f>
        <v/>
      </c>
      <c r="AB979" s="412"/>
      <c r="AC979" s="420" t="e">
        <f aca="false">IF(ABS(t-ROUND(t,0))&lt;0.001,t,NA())</f>
        <v>#N/A</v>
      </c>
      <c r="AD979" s="425" t="e">
        <f aca="false">IF(ABS(t-ROUND(t,0))&lt;0.001,pos_x,NA())</f>
        <v>#N/A</v>
      </c>
      <c r="AE979" s="426" t="e">
        <f aca="false">IF(t&lt;T_para, pos_z, NA())</f>
        <v>#N/A</v>
      </c>
      <c r="AF979" s="412"/>
      <c r="AG979" s="418" t="n">
        <f aca="false">IF(AND(L978&lt;L_rampe,Poussee&lt;Poids*SIN(M978)),0,(-W978+Poussee)/m-Poids*SIN(M978)/m)</f>
        <v>1.88358608238827</v>
      </c>
      <c r="AH979" s="417" t="n">
        <f aca="false">IF(AND(L978&lt;L_rampe,Poussee&lt;Poids*SIN(M978)), g*SIN(M978), (-W978+Poussee)/m)</f>
        <v>-7.8768955910922</v>
      </c>
    </row>
    <row r="980" customFormat="false" ht="12" hidden="false" customHeight="false" outlineLevel="0" collapsed="false">
      <c r="A980" s="416" t="n">
        <f aca="false">IF(B979+0.01&lt;=T_ini+ROUNDUP(Temps_fin_propu,0), 0.01, IF(K979&gt;0, 0.1, 0.0001))</f>
        <v>0.0001</v>
      </c>
      <c r="B980" s="417" t="n">
        <f aca="false">B979+pas</f>
        <v>36.325300000001</v>
      </c>
      <c r="C980" s="401"/>
      <c r="D980" s="418" t="n">
        <f aca="false">IF(AND(L979&lt;L_rampe,Poussee&lt;Poids*SIN(M979)),0,(-W979+Poussee)/m*COS(M979)-U979/m*SIN(M979))</f>
        <v>-0.790438814510497</v>
      </c>
      <c r="E980" s="419" t="n">
        <f aca="false">IF(AND(L979&lt;L_rampe,Poussee&lt;Poids*SIN(M979)),0,(-W979+Poussee)/m*SIN(M979)+U979/m*COS(M979)-Poids/m)</f>
        <v>-1.97283083781248</v>
      </c>
      <c r="F980" s="417" t="n">
        <f aca="false">SQRT(acc_x^2+acc_z^2)</f>
        <v>2.12528940008383</v>
      </c>
      <c r="G980" s="418" t="n">
        <f aca="false">G979+acc_x*pas</f>
        <v>12.4570105663052</v>
      </c>
      <c r="H980" s="419" t="n">
        <f aca="false">H979+acc_z*pas</f>
        <v>-123.511741442287</v>
      </c>
      <c r="I980" s="417" t="n">
        <f aca="false">SQRT(vit_x^2+vit_z^2)</f>
        <v>124.138339711611</v>
      </c>
      <c r="J980" s="418" t="n">
        <f aca="false">J979+0.5*(vit_x+G979)*pas*(K979&gt;=0)</f>
        <v>913.614336176273</v>
      </c>
      <c r="K980" s="419" t="n">
        <f aca="false">K979+0.5*(vit_z+H979)*pas</f>
        <v>-11.8302744272517</v>
      </c>
      <c r="L980" s="417" t="n">
        <f aca="false">SQRT(pos_x^2+pos_z^2)</f>
        <v>913.690927316145</v>
      </c>
      <c r="M980" s="418" t="n">
        <f aca="false">IF(AND(L979&gt;L_rampe,G980&gt;0),ATAN2(G980,H980),$M$4)</f>
        <v>-1.47027933696556</v>
      </c>
      <c r="N980" s="417" t="n">
        <f aca="false">DEGREES(Beta)</f>
        <v>-84.2408007134195</v>
      </c>
      <c r="O980" s="401"/>
      <c r="P980" s="420" t="n">
        <f aca="false">MATCH(t-pas/2-T_ini,CdP_t)</f>
        <v>23</v>
      </c>
      <c r="Q980" s="417" t="n">
        <f aca="false">(INDEX(CdP,2,i_P+1)-INDEX(CdP,2,i_P+0))/(INDEX(CdP,1,i_P+1)-INDEX(CdP,1,i_P+0))*(t-pas/2-T_ini-INDEX(CdP,1,i_P+0))+INDEX(CdP,2,i_P+0)</f>
        <v>0</v>
      </c>
      <c r="R980" s="418" t="n">
        <f aca="false">Poussee/(g*ISP)</f>
        <v>0</v>
      </c>
      <c r="S980" s="419" t="n">
        <f aca="false">S979-Débit*pas</f>
        <v>7.37799999999998</v>
      </c>
      <c r="T980" s="417" t="n">
        <f aca="false">m*g</f>
        <v>72.3781799999998</v>
      </c>
      <c r="U980" s="421" t="n">
        <f aca="false">IF(pos_xz&lt;L_rampe,Poids*COS(Beta),0)</f>
        <v>0</v>
      </c>
      <c r="V980" s="418" t="n">
        <f aca="false">Rho_moyen*(20000-Alt_rampe-pos_z)/(20000+Alt_rampe+pos_z)</f>
        <v>1.22645006635148</v>
      </c>
      <c r="W980" s="417" t="n">
        <f aca="false">1/2*Rho*Sref*Cx*vit_xz^2</f>
        <v>58.1162319526518</v>
      </c>
      <c r="X980" s="401"/>
      <c r="Y980" s="422" t="str">
        <f aca="false">IF(AND(pos_z&lt;=0,K979&gt;0),"Impact balistique","") &amp; IF(AND(H981&lt;0,vit_z&gt;=0),"Apogée","") &amp; IF(AND(Poussee=0,Q979&gt;0),"Fin de propulsion","") &amp; IF(AND(L981&gt;L_rampe,pos_xz&lt;=L_rampe),"Sortie de rampe","")</f>
        <v/>
      </c>
      <c r="Z980" s="423" t="str">
        <f aca="false">IF(ABS(t-T_para)&lt;pas/2,"Para","")</f>
        <v/>
      </c>
      <c r="AA980" s="424" t="str">
        <f aca="false">IF(ABS(t-T_satellite)&lt;pas/2,"Satellite","")</f>
        <v/>
      </c>
      <c r="AB980" s="412"/>
      <c r="AC980" s="420" t="e">
        <f aca="false">IF(ABS(t-ROUND(t,0))&lt;0.001,t,NA())</f>
        <v>#N/A</v>
      </c>
      <c r="AD980" s="425" t="e">
        <f aca="false">IF(ABS(t-ROUND(t,0))&lt;0.001,pos_x,NA())</f>
        <v>#N/A</v>
      </c>
      <c r="AE980" s="426" t="e">
        <f aca="false">IF(t&lt;T_para, pos_z, NA())</f>
        <v>#N/A</v>
      </c>
      <c r="AF980" s="412"/>
      <c r="AG980" s="418" t="n">
        <f aca="false">IF(AND(L979&lt;L_rampe,Poussee&lt;Poids*SIN(M979)),0,(-W979+Poussee)/m-Poids*SIN(M979)/m)</f>
        <v>1.88355323037133</v>
      </c>
      <c r="AH980" s="417" t="n">
        <f aca="false">IF(AND(L979&lt;L_rampe,Poussee&lt;Poids*SIN(M979)), g*SIN(M979), (-W979+Poussee)/m)</f>
        <v>-7.87692922376656</v>
      </c>
    </row>
    <row r="981" customFormat="false" ht="12" hidden="false" customHeight="false" outlineLevel="0" collapsed="false">
      <c r="A981" s="416" t="n">
        <f aca="false">IF(B980+0.01&lt;=T_ini+ROUNDUP(Temps_fin_propu,0), 0.01, IF(K980&gt;0, 0.1, 0.0001))</f>
        <v>0.0001</v>
      </c>
      <c r="B981" s="417" t="n">
        <f aca="false">B980+pas</f>
        <v>36.325400000001</v>
      </c>
      <c r="C981" s="401"/>
      <c r="D981" s="418" t="n">
        <f aca="false">IF(AND(L980&lt;L_rampe,Poussee&lt;Poids*SIN(M980)),0,(-W980+Poussee)/m*COS(M980)-U980/m*SIN(M980))</f>
        <v>-0.79043597455362</v>
      </c>
      <c r="E981" s="419" t="n">
        <f aca="false">IF(AND(L980&lt;L_rampe,Poussee&lt;Poids*SIN(M980)),0,(-W980+Poussee)/m*SIN(M980)+U980/m*COS(M980)-Poids/m)</f>
        <v>-1.97279674837704</v>
      </c>
      <c r="F981" s="417" t="n">
        <f aca="false">SQRT(acc_x^2+acc_z^2)</f>
        <v>2.12525669985429</v>
      </c>
      <c r="G981" s="418" t="n">
        <f aca="false">G980+acc_x*pas</f>
        <v>12.4569315227077</v>
      </c>
      <c r="H981" s="419" t="n">
        <f aca="false">H980+acc_z*pas</f>
        <v>-123.511938721961</v>
      </c>
      <c r="I981" s="417" t="n">
        <f aca="false">SQRT(vit_x^2+vit_z^2)</f>
        <v>124.138528063688</v>
      </c>
      <c r="J981" s="418" t="n">
        <f aca="false">J980+0.5*(vit_x+G980)*pas*(K980&gt;=0)</f>
        <v>913.614336176273</v>
      </c>
      <c r="K981" s="419" t="n">
        <f aca="false">K980+0.5*(vit_z+H980)*pas</f>
        <v>-11.8426256112599</v>
      </c>
      <c r="L981" s="417" t="n">
        <f aca="false">SQRT(pos_x^2+pos_z^2)</f>
        <v>913.691087320097</v>
      </c>
      <c r="M981" s="418" t="n">
        <f aca="false">IF(AND(L980&gt;L_rampe,G981&gt;0),ATAN2(G981,H981),$M$4)</f>
        <v>-1.47028012996032</v>
      </c>
      <c r="N981" s="417" t="n">
        <f aca="false">DEGREES(Beta)</f>
        <v>-84.2408461486723</v>
      </c>
      <c r="O981" s="401"/>
      <c r="P981" s="420" t="n">
        <f aca="false">MATCH(t-pas/2-T_ini,CdP_t)</f>
        <v>23</v>
      </c>
      <c r="Q981" s="417" t="n">
        <f aca="false">(INDEX(CdP,2,i_P+1)-INDEX(CdP,2,i_P+0))/(INDEX(CdP,1,i_P+1)-INDEX(CdP,1,i_P+0))*(t-pas/2-T_ini-INDEX(CdP,1,i_P+0))+INDEX(CdP,2,i_P+0)</f>
        <v>0</v>
      </c>
      <c r="R981" s="418" t="n">
        <f aca="false">Poussee/(g*ISP)</f>
        <v>0</v>
      </c>
      <c r="S981" s="419" t="n">
        <f aca="false">S980-Débit*pas</f>
        <v>7.37799999999998</v>
      </c>
      <c r="T981" s="417" t="n">
        <f aca="false">m*g</f>
        <v>72.3781799999998</v>
      </c>
      <c r="U981" s="421" t="n">
        <f aca="false">IF(pos_xz&lt;L_rampe,Poids*COS(Beta),0)</f>
        <v>0</v>
      </c>
      <c r="V981" s="418" t="n">
        <f aca="false">Rho_moyen*(20000-Alt_rampe-pos_z)/(20000+Alt_rampe+pos_z)</f>
        <v>1.22645158116399</v>
      </c>
      <c r="W981" s="417" t="n">
        <f aca="false">1/2*Rho*Sref*Cx*vit_xz^2</f>
        <v>58.1164800901846</v>
      </c>
      <c r="X981" s="401"/>
      <c r="Y981" s="422" t="str">
        <f aca="false">IF(AND(pos_z&lt;=0,K980&gt;0),"Impact balistique","") &amp; IF(AND(H982&lt;0,vit_z&gt;=0),"Apogée","") &amp; IF(AND(Poussee=0,Q980&gt;0),"Fin de propulsion","") &amp; IF(AND(L982&gt;L_rampe,pos_xz&lt;=L_rampe),"Sortie de rampe","")</f>
        <v/>
      </c>
      <c r="Z981" s="423" t="str">
        <f aca="false">IF(ABS(t-T_para)&lt;pas/2,"Para","")</f>
        <v/>
      </c>
      <c r="AA981" s="424" t="str">
        <f aca="false">IF(ABS(t-T_satellite)&lt;pas/2,"Satellite","")</f>
        <v/>
      </c>
      <c r="AB981" s="412"/>
      <c r="AC981" s="420" t="e">
        <f aca="false">IF(ABS(t-ROUND(t,0))&lt;0.001,t,NA())</f>
        <v>#N/A</v>
      </c>
      <c r="AD981" s="425" t="e">
        <f aca="false">IF(ABS(t-ROUND(t,0))&lt;0.001,pos_x,NA())</f>
        <v>#N/A</v>
      </c>
      <c r="AE981" s="426" t="e">
        <f aca="false">IF(t&lt;T_para, pos_z, NA())</f>
        <v>#N/A</v>
      </c>
      <c r="AF981" s="412"/>
      <c r="AG981" s="418" t="n">
        <f aca="false">IF(AND(L980&lt;L_rampe,Poussee&lt;Poids*SIN(M980)),0,(-W980+Poussee)/m-Poids*SIN(M980)/m)</f>
        <v>1.88352037863494</v>
      </c>
      <c r="AH981" s="417" t="n">
        <f aca="false">IF(AND(L980&lt;L_rampe,Poussee&lt;Poids*SIN(M980)), g*SIN(M980), (-W980+Poussee)/m)</f>
        <v>-7.87696285614691</v>
      </c>
    </row>
    <row r="982" customFormat="false" ht="12" hidden="false" customHeight="false" outlineLevel="0" collapsed="false">
      <c r="A982" s="416" t="n">
        <f aca="false">IF(B981+0.01&lt;=T_ini+ROUNDUP(Temps_fin_propu,0), 0.01, IF(K981&gt;0, 0.1, 0.0001))</f>
        <v>0.0001</v>
      </c>
      <c r="B982" s="417" t="n">
        <f aca="false">B981+pas</f>
        <v>36.3255000000011</v>
      </c>
      <c r="C982" s="401"/>
      <c r="D982" s="418" t="n">
        <f aca="false">IF(AND(L981&lt;L_rampe,Poussee&lt;Poids*SIN(M981)),0,(-W981+Poussee)/m*COS(M981)-U981/m*SIN(M981))</f>
        <v>-0.790433134571964</v>
      </c>
      <c r="E982" s="419" t="n">
        <f aca="false">IF(AND(L981&lt;L_rampe,Poussee&lt;Poids*SIN(M981)),0,(-W981+Poussee)/m*SIN(M981)+U981/m*COS(M981)-Poids/m)</f>
        <v>-1.9727626592396</v>
      </c>
      <c r="F982" s="417" t="n">
        <f aca="false">SQRT(acc_x^2+acc_z^2)</f>
        <v>2.12522399993962</v>
      </c>
      <c r="G982" s="418" t="n">
        <f aca="false">G981+acc_x*pas</f>
        <v>12.4568524793943</v>
      </c>
      <c r="H982" s="419" t="n">
        <f aca="false">H981+acc_z*pas</f>
        <v>-123.512135998227</v>
      </c>
      <c r="I982" s="417" t="n">
        <f aca="false">SQRT(vit_x^2+vit_z^2)</f>
        <v>124.13871641248</v>
      </c>
      <c r="J982" s="418" t="n">
        <f aca="false">J981+0.5*(vit_x+G981)*pas*(K981&gt;=0)</f>
        <v>913.614336176273</v>
      </c>
      <c r="K982" s="419" t="n">
        <f aca="false">K981+0.5*(vit_z+H981)*pas</f>
        <v>-11.8549768149959</v>
      </c>
      <c r="L982" s="417" t="n">
        <f aca="false">SQRT(pos_x^2+pos_z^2)</f>
        <v>913.691247491239</v>
      </c>
      <c r="M982" s="418" t="n">
        <f aca="false">IF(AND(L981&gt;L_rampe,G982&gt;0),ATAN2(G982,H982),$M$4)</f>
        <v>-1.47028092294763</v>
      </c>
      <c r="N982" s="417" t="n">
        <f aca="false">DEGREES(Beta)</f>
        <v>-84.2408915834989</v>
      </c>
      <c r="O982" s="401"/>
      <c r="P982" s="420" t="n">
        <f aca="false">MATCH(t-pas/2-T_ini,CdP_t)</f>
        <v>23</v>
      </c>
      <c r="Q982" s="417" t="n">
        <f aca="false">(INDEX(CdP,2,i_P+1)-INDEX(CdP,2,i_P+0))/(INDEX(CdP,1,i_P+1)-INDEX(CdP,1,i_P+0))*(t-pas/2-T_ini-INDEX(CdP,1,i_P+0))+INDEX(CdP,2,i_P+0)</f>
        <v>0</v>
      </c>
      <c r="R982" s="418" t="n">
        <f aca="false">Poussee/(g*ISP)</f>
        <v>0</v>
      </c>
      <c r="S982" s="419" t="n">
        <f aca="false">S981-Débit*pas</f>
        <v>7.37799999999998</v>
      </c>
      <c r="T982" s="417" t="n">
        <f aca="false">m*g</f>
        <v>72.3781799999998</v>
      </c>
      <c r="U982" s="421" t="n">
        <f aca="false">IF(pos_xz&lt;L_rampe,Poids*COS(Beta),0)</f>
        <v>0</v>
      </c>
      <c r="V982" s="418" t="n">
        <f aca="false">Rho_moyen*(20000-Alt_rampe-pos_z)/(20000+Alt_rampe+pos_z)</f>
        <v>1.2264530959808</v>
      </c>
      <c r="W982" s="417" t="n">
        <f aca="false">1/2*Rho*Sref*Cx*vit_xz^2</f>
        <v>58.116728225548</v>
      </c>
      <c r="X982" s="401"/>
      <c r="Y982" s="422" t="str">
        <f aca="false">IF(AND(pos_z&lt;=0,K981&gt;0),"Impact balistique","") &amp; IF(AND(H983&lt;0,vit_z&gt;=0),"Apogée","") &amp; IF(AND(Poussee=0,Q981&gt;0),"Fin de propulsion","") &amp; IF(AND(L983&gt;L_rampe,pos_xz&lt;=L_rampe),"Sortie de rampe","")</f>
        <v/>
      </c>
      <c r="Z982" s="423" t="str">
        <f aca="false">IF(ABS(t-T_para)&lt;pas/2,"Para","")</f>
        <v/>
      </c>
      <c r="AA982" s="424" t="str">
        <f aca="false">IF(ABS(t-T_satellite)&lt;pas/2,"Satellite","")</f>
        <v/>
      </c>
      <c r="AB982" s="412"/>
      <c r="AC982" s="420" t="e">
        <f aca="false">IF(ABS(t-ROUND(t,0))&lt;0.001,t,NA())</f>
        <v>#N/A</v>
      </c>
      <c r="AD982" s="425" t="e">
        <f aca="false">IF(ABS(t-ROUND(t,0))&lt;0.001,pos_x,NA())</f>
        <v>#N/A</v>
      </c>
      <c r="AE982" s="426" t="e">
        <f aca="false">IF(t&lt;T_para, pos_z, NA())</f>
        <v>#N/A</v>
      </c>
      <c r="AF982" s="412"/>
      <c r="AG982" s="418" t="n">
        <f aca="false">IF(AND(L981&lt;L_rampe,Poussee&lt;Poids*SIN(M981)),0,(-W981+Poussee)/m-Poids*SIN(M981)/m)</f>
        <v>1.88348752717913</v>
      </c>
      <c r="AH982" s="417" t="n">
        <f aca="false">IF(AND(L981&lt;L_rampe,Poussee&lt;Poids*SIN(M981)), g*SIN(M981), (-W981+Poussee)/m)</f>
        <v>-7.87699648823322</v>
      </c>
    </row>
    <row r="983" customFormat="false" ht="12" hidden="false" customHeight="false" outlineLevel="0" collapsed="false">
      <c r="A983" s="416" t="n">
        <f aca="false">IF(B982+0.01&lt;=T_ini+ROUNDUP(Temps_fin_propu,0), 0.01, IF(K982&gt;0, 0.1, 0.0001))</f>
        <v>0.0001</v>
      </c>
      <c r="B983" s="417" t="n">
        <f aca="false">B982+pas</f>
        <v>36.3256000000011</v>
      </c>
      <c r="C983" s="401"/>
      <c r="D983" s="418" t="n">
        <f aca="false">IF(AND(L982&lt;L_rampe,Poussee&lt;Poids*SIN(M982)),0,(-W982+Poussee)/m*COS(M982)-U982/m*SIN(M982))</f>
        <v>-0.790430294565531</v>
      </c>
      <c r="E983" s="419" t="n">
        <f aca="false">IF(AND(L982&lt;L_rampe,Poussee&lt;Poids*SIN(M982)),0,(-W982+Poussee)/m*SIN(M982)+U982/m*COS(M982)-Poids/m)</f>
        <v>-1.97272857040016</v>
      </c>
      <c r="F983" s="417" t="n">
        <f aca="false">SQRT(acc_x^2+acc_z^2)</f>
        <v>2.12519130033981</v>
      </c>
      <c r="G983" s="418" t="n">
        <f aca="false">G982+acc_x*pas</f>
        <v>12.4567734363648</v>
      </c>
      <c r="H983" s="419" t="n">
        <f aca="false">H982+acc_z*pas</f>
        <v>-123.512333271084</v>
      </c>
      <c r="I983" s="417" t="n">
        <f aca="false">SQRT(vit_x^2+vit_z^2)</f>
        <v>124.138904757986</v>
      </c>
      <c r="J983" s="418" t="n">
        <f aca="false">J982+0.5*(vit_x+G982)*pas*(K982&gt;=0)</f>
        <v>913.614336176273</v>
      </c>
      <c r="K983" s="419" t="n">
        <f aca="false">K982+0.5*(vit_z+H982)*pas</f>
        <v>-11.8673280384594</v>
      </c>
      <c r="L983" s="417" t="n">
        <f aca="false">SQRT(pos_x^2+pos_z^2)</f>
        <v>913.691407829572</v>
      </c>
      <c r="M983" s="418" t="n">
        <f aca="false">IF(AND(L982&gt;L_rampe,G983&gt;0),ATAN2(G983,H983),$M$4)</f>
        <v>-1.47028171592752</v>
      </c>
      <c r="N983" s="417" t="n">
        <f aca="false">DEGREES(Beta)</f>
        <v>-84.2409370178993</v>
      </c>
      <c r="O983" s="401"/>
      <c r="P983" s="420" t="n">
        <f aca="false">MATCH(t-pas/2-T_ini,CdP_t)</f>
        <v>23</v>
      </c>
      <c r="Q983" s="417" t="n">
        <f aca="false">(INDEX(CdP,2,i_P+1)-INDEX(CdP,2,i_P+0))/(INDEX(CdP,1,i_P+1)-INDEX(CdP,1,i_P+0))*(t-pas/2-T_ini-INDEX(CdP,1,i_P+0))+INDEX(CdP,2,i_P+0)</f>
        <v>0</v>
      </c>
      <c r="R983" s="418" t="n">
        <f aca="false">Poussee/(g*ISP)</f>
        <v>0</v>
      </c>
      <c r="S983" s="419" t="n">
        <f aca="false">S982-Débit*pas</f>
        <v>7.37799999999998</v>
      </c>
      <c r="T983" s="417" t="n">
        <f aca="false">m*g</f>
        <v>72.3781799999998</v>
      </c>
      <c r="U983" s="421" t="n">
        <f aca="false">IF(pos_xz&lt;L_rampe,Poids*COS(Beta),0)</f>
        <v>0</v>
      </c>
      <c r="V983" s="418" t="n">
        <f aca="false">Rho_moyen*(20000-Alt_rampe-pos_z)/(20000+Alt_rampe+pos_z)</f>
        <v>1.22645461080189</v>
      </c>
      <c r="W983" s="417" t="n">
        <f aca="false">1/2*Rho*Sref*Cx*vit_xz^2</f>
        <v>58.1169763587421</v>
      </c>
      <c r="X983" s="401"/>
      <c r="Y983" s="422" t="str">
        <f aca="false">IF(AND(pos_z&lt;=0,K982&gt;0),"Impact balistique","") &amp; IF(AND(H984&lt;0,vit_z&gt;=0),"Apogée","") &amp; IF(AND(Poussee=0,Q982&gt;0),"Fin de propulsion","") &amp; IF(AND(L984&gt;L_rampe,pos_xz&lt;=L_rampe),"Sortie de rampe","")</f>
        <v/>
      </c>
      <c r="Z983" s="423" t="str">
        <f aca="false">IF(ABS(t-T_para)&lt;pas/2,"Para","")</f>
        <v/>
      </c>
      <c r="AA983" s="424" t="str">
        <f aca="false">IF(ABS(t-T_satellite)&lt;pas/2,"Satellite","")</f>
        <v/>
      </c>
      <c r="AB983" s="412"/>
      <c r="AC983" s="420" t="e">
        <f aca="false">IF(ABS(t-ROUND(t,0))&lt;0.001,t,NA())</f>
        <v>#N/A</v>
      </c>
      <c r="AD983" s="425" t="e">
        <f aca="false">IF(ABS(t-ROUND(t,0))&lt;0.001,pos_x,NA())</f>
        <v>#N/A</v>
      </c>
      <c r="AE983" s="426" t="e">
        <f aca="false">IF(t&lt;T_para, pos_z, NA())</f>
        <v>#N/A</v>
      </c>
      <c r="AF983" s="412"/>
      <c r="AG983" s="418" t="n">
        <f aca="false">IF(AND(L982&lt;L_rampe,Poussee&lt;Poids*SIN(M982)),0,(-W982+Poussee)/m-Poids*SIN(M982)/m)</f>
        <v>1.8834546760039</v>
      </c>
      <c r="AH983" s="417" t="n">
        <f aca="false">IF(AND(L982&lt;L_rampe,Poussee&lt;Poids*SIN(M982)), g*SIN(M982), (-W982+Poussee)/m)</f>
        <v>-7.8770301200255</v>
      </c>
    </row>
    <row r="984" customFormat="false" ht="12" hidden="false" customHeight="false" outlineLevel="0" collapsed="false">
      <c r="A984" s="416" t="n">
        <f aca="false">IF(B983+0.01&lt;=T_ini+ROUNDUP(Temps_fin_propu,0), 0.01, IF(K983&gt;0, 0.1, 0.0001))</f>
        <v>0.0001</v>
      </c>
      <c r="B984" s="417" t="n">
        <f aca="false">B983+pas</f>
        <v>36.3257000000011</v>
      </c>
      <c r="C984" s="401"/>
      <c r="D984" s="418" t="n">
        <f aca="false">IF(AND(L983&lt;L_rampe,Poussee&lt;Poids*SIN(M983)),0,(-W983+Poussee)/m*COS(M983)-U983/m*SIN(M983))</f>
        <v>-0.790427454534319</v>
      </c>
      <c r="E984" s="419" t="n">
        <f aca="false">IF(AND(L983&lt;L_rampe,Poussee&lt;Poids*SIN(M983)),0,(-W983+Poussee)/m*SIN(M983)+U983/m*COS(M983)-Poids/m)</f>
        <v>-1.97269448185872</v>
      </c>
      <c r="F984" s="417" t="n">
        <f aca="false">SQRT(acc_x^2+acc_z^2)</f>
        <v>2.12515860105486</v>
      </c>
      <c r="G984" s="418" t="n">
        <f aca="false">G983+acc_x*pas</f>
        <v>12.4566943936194</v>
      </c>
      <c r="H984" s="419" t="n">
        <f aca="false">H983+acc_z*pas</f>
        <v>-123.512530540533</v>
      </c>
      <c r="I984" s="417" t="n">
        <f aca="false">SQRT(vit_x^2+vit_z^2)</f>
        <v>124.139093100208</v>
      </c>
      <c r="J984" s="418" t="n">
        <f aca="false">J983+0.5*(vit_x+G983)*pas*(K983&gt;=0)</f>
        <v>913.614336176273</v>
      </c>
      <c r="K984" s="419" t="n">
        <f aca="false">K983+0.5*(vit_z+H983)*pas</f>
        <v>-11.87967928165</v>
      </c>
      <c r="L984" s="417" t="n">
        <f aca="false">SQRT(pos_x^2+pos_z^2)</f>
        <v>913.691568335096</v>
      </c>
      <c r="M984" s="418" t="n">
        <f aca="false">IF(AND(L983&gt;L_rampe,G984&gt;0),ATAN2(G984,H984),$M$4)</f>
        <v>-1.47028250889996</v>
      </c>
      <c r="N984" s="417" t="n">
        <f aca="false">DEGREES(Beta)</f>
        <v>-84.2409824518735</v>
      </c>
      <c r="O984" s="401"/>
      <c r="P984" s="420" t="n">
        <f aca="false">MATCH(t-pas/2-T_ini,CdP_t)</f>
        <v>23</v>
      </c>
      <c r="Q984" s="417" t="n">
        <f aca="false">(INDEX(CdP,2,i_P+1)-INDEX(CdP,2,i_P+0))/(INDEX(CdP,1,i_P+1)-INDEX(CdP,1,i_P+0))*(t-pas/2-T_ini-INDEX(CdP,1,i_P+0))+INDEX(CdP,2,i_P+0)</f>
        <v>0</v>
      </c>
      <c r="R984" s="418" t="n">
        <f aca="false">Poussee/(g*ISP)</f>
        <v>0</v>
      </c>
      <c r="S984" s="419" t="n">
        <f aca="false">S983-Débit*pas</f>
        <v>7.37799999999998</v>
      </c>
      <c r="T984" s="417" t="n">
        <f aca="false">m*g</f>
        <v>72.3781799999998</v>
      </c>
      <c r="U984" s="421" t="n">
        <f aca="false">IF(pos_xz&lt;L_rampe,Poids*COS(Beta),0)</f>
        <v>0</v>
      </c>
      <c r="V984" s="418" t="n">
        <f aca="false">Rho_moyen*(20000-Alt_rampe-pos_z)/(20000+Alt_rampe+pos_z)</f>
        <v>1.22645612562727</v>
      </c>
      <c r="W984" s="417" t="n">
        <f aca="false">1/2*Rho*Sref*Cx*vit_xz^2</f>
        <v>58.1172244897668</v>
      </c>
      <c r="X984" s="401"/>
      <c r="Y984" s="422" t="str">
        <f aca="false">IF(AND(pos_z&lt;=0,K983&gt;0),"Impact balistique","") &amp; IF(AND(H985&lt;0,vit_z&gt;=0),"Apogée","") &amp; IF(AND(Poussee=0,Q983&gt;0),"Fin de propulsion","") &amp; IF(AND(L985&gt;L_rampe,pos_xz&lt;=L_rampe),"Sortie de rampe","")</f>
        <v/>
      </c>
      <c r="Z984" s="423" t="str">
        <f aca="false">IF(ABS(t-T_para)&lt;pas/2,"Para","")</f>
        <v/>
      </c>
      <c r="AA984" s="424" t="str">
        <f aca="false">IF(ABS(t-T_satellite)&lt;pas/2,"Satellite","")</f>
        <v/>
      </c>
      <c r="AB984" s="412"/>
      <c r="AC984" s="420" t="e">
        <f aca="false">IF(ABS(t-ROUND(t,0))&lt;0.001,t,NA())</f>
        <v>#N/A</v>
      </c>
      <c r="AD984" s="425" t="e">
        <f aca="false">IF(ABS(t-ROUND(t,0))&lt;0.001,pos_x,NA())</f>
        <v>#N/A</v>
      </c>
      <c r="AE984" s="426" t="e">
        <f aca="false">IF(t&lt;T_para, pos_z, NA())</f>
        <v>#N/A</v>
      </c>
      <c r="AF984" s="412"/>
      <c r="AG984" s="418" t="n">
        <f aca="false">IF(AND(L983&lt;L_rampe,Poussee&lt;Poids*SIN(M983)),0,(-W983+Poussee)/m-Poids*SIN(M983)/m)</f>
        <v>1.88342182510923</v>
      </c>
      <c r="AH984" s="417" t="n">
        <f aca="false">IF(AND(L983&lt;L_rampe,Poussee&lt;Poids*SIN(M983)), g*SIN(M983), (-W983+Poussee)/m)</f>
        <v>-7.87706375152375</v>
      </c>
    </row>
    <row r="985" customFormat="false" ht="12" hidden="false" customHeight="false" outlineLevel="0" collapsed="false">
      <c r="A985" s="416" t="n">
        <f aca="false">IF(B984+0.01&lt;=T_ini+ROUNDUP(Temps_fin_propu,0), 0.01, IF(K984&gt;0, 0.1, 0.0001))</f>
        <v>0.0001</v>
      </c>
      <c r="B985" s="417" t="n">
        <f aca="false">B984+pas</f>
        <v>36.3258000000011</v>
      </c>
      <c r="C985" s="401"/>
      <c r="D985" s="418" t="n">
        <f aca="false">IF(AND(L984&lt;L_rampe,Poussee&lt;Poids*SIN(M984)),0,(-W984+Poussee)/m*COS(M984)-U984/m*SIN(M984))</f>
        <v>-0.790424614478331</v>
      </c>
      <c r="E985" s="419" t="n">
        <f aca="false">IF(AND(L984&lt;L_rampe,Poussee&lt;Poids*SIN(M984)),0,(-W984+Poussee)/m*SIN(M984)+U984/m*COS(M984)-Poids/m)</f>
        <v>-1.97266039361528</v>
      </c>
      <c r="F985" s="417" t="n">
        <f aca="false">SQRT(acc_x^2+acc_z^2)</f>
        <v>2.12512590208477</v>
      </c>
      <c r="G985" s="418" t="n">
        <f aca="false">G984+acc_x*pas</f>
        <v>12.4566153511579</v>
      </c>
      <c r="H985" s="419" t="n">
        <f aca="false">H984+acc_z*pas</f>
        <v>-123.512727806572</v>
      </c>
      <c r="I985" s="417" t="n">
        <f aca="false">SQRT(vit_x^2+vit_z^2)</f>
        <v>124.139281439144</v>
      </c>
      <c r="J985" s="418" t="n">
        <f aca="false">J984+0.5*(vit_x+G984)*pas*(K984&gt;=0)</f>
        <v>913.614336176273</v>
      </c>
      <c r="K985" s="419" t="n">
        <f aca="false">K984+0.5*(vit_z+H984)*pas</f>
        <v>-11.8920305445673</v>
      </c>
      <c r="L985" s="417" t="n">
        <f aca="false">SQRT(pos_x^2+pos_z^2)</f>
        <v>913.691729007812</v>
      </c>
      <c r="M985" s="418" t="n">
        <f aca="false">IF(AND(L984&gt;L_rampe,G985&gt;0),ATAN2(G985,H985),$M$4)</f>
        <v>-1.47028330186496</v>
      </c>
      <c r="N985" s="417" t="n">
        <f aca="false">DEGREES(Beta)</f>
        <v>-84.2410278854216</v>
      </c>
      <c r="O985" s="401"/>
      <c r="P985" s="420" t="n">
        <f aca="false">MATCH(t-pas/2-T_ini,CdP_t)</f>
        <v>23</v>
      </c>
      <c r="Q985" s="417" t="n">
        <f aca="false">(INDEX(CdP,2,i_P+1)-INDEX(CdP,2,i_P+0))/(INDEX(CdP,1,i_P+1)-INDEX(CdP,1,i_P+0))*(t-pas/2-T_ini-INDEX(CdP,1,i_P+0))+INDEX(CdP,2,i_P+0)</f>
        <v>0</v>
      </c>
      <c r="R985" s="418" t="n">
        <f aca="false">Poussee/(g*ISP)</f>
        <v>0</v>
      </c>
      <c r="S985" s="419" t="n">
        <f aca="false">S984-Débit*pas</f>
        <v>7.37799999999998</v>
      </c>
      <c r="T985" s="417" t="n">
        <f aca="false">m*g</f>
        <v>72.3781799999998</v>
      </c>
      <c r="U985" s="421" t="n">
        <f aca="false">IF(pos_xz&lt;L_rampe,Poids*COS(Beta),0)</f>
        <v>0</v>
      </c>
      <c r="V985" s="418" t="n">
        <f aca="false">Rho_moyen*(20000-Alt_rampe-pos_z)/(20000+Alt_rampe+pos_z)</f>
        <v>1.22645764045695</v>
      </c>
      <c r="W985" s="417" t="n">
        <f aca="false">1/2*Rho*Sref*Cx*vit_xz^2</f>
        <v>58.1174726186222</v>
      </c>
      <c r="X985" s="401"/>
      <c r="Y985" s="422" t="str">
        <f aca="false">IF(AND(pos_z&lt;=0,K984&gt;0),"Impact balistique","") &amp; IF(AND(H986&lt;0,vit_z&gt;=0),"Apogée","") &amp; IF(AND(Poussee=0,Q984&gt;0),"Fin de propulsion","") &amp; IF(AND(L986&gt;L_rampe,pos_xz&lt;=L_rampe),"Sortie de rampe","")</f>
        <v/>
      </c>
      <c r="Z985" s="423" t="str">
        <f aca="false">IF(ABS(t-T_para)&lt;pas/2,"Para","")</f>
        <v/>
      </c>
      <c r="AA985" s="424" t="str">
        <f aca="false">IF(ABS(t-T_satellite)&lt;pas/2,"Satellite","")</f>
        <v/>
      </c>
      <c r="AB985" s="412"/>
      <c r="AC985" s="420" t="e">
        <f aca="false">IF(ABS(t-ROUND(t,0))&lt;0.001,t,NA())</f>
        <v>#N/A</v>
      </c>
      <c r="AD985" s="425" t="e">
        <f aca="false">IF(ABS(t-ROUND(t,0))&lt;0.001,pos_x,NA())</f>
        <v>#N/A</v>
      </c>
      <c r="AE985" s="426" t="e">
        <f aca="false">IF(t&lt;T_para, pos_z, NA())</f>
        <v>#N/A</v>
      </c>
      <c r="AF985" s="412"/>
      <c r="AG985" s="418" t="n">
        <f aca="false">IF(AND(L984&lt;L_rampe,Poussee&lt;Poids*SIN(M984)),0,(-W984+Poussee)/m-Poids*SIN(M984)/m)</f>
        <v>1.88338897449513</v>
      </c>
      <c r="AH985" s="417" t="n">
        <f aca="false">IF(AND(L984&lt;L_rampe,Poussee&lt;Poids*SIN(M984)), g*SIN(M984), (-W984+Poussee)/m)</f>
        <v>-7.87709738272797</v>
      </c>
    </row>
    <row r="986" customFormat="false" ht="12" hidden="false" customHeight="false" outlineLevel="0" collapsed="false">
      <c r="A986" s="416" t="n">
        <f aca="false">IF(B985+0.01&lt;=T_ini+ROUNDUP(Temps_fin_propu,0), 0.01, IF(K985&gt;0, 0.1, 0.0001))</f>
        <v>0.0001</v>
      </c>
      <c r="B986" s="417" t="n">
        <f aca="false">B985+pas</f>
        <v>36.3259000000011</v>
      </c>
      <c r="C986" s="401"/>
      <c r="D986" s="418" t="n">
        <f aca="false">IF(AND(L985&lt;L_rampe,Poussee&lt;Poids*SIN(M985)),0,(-W985+Poussee)/m*COS(M985)-U985/m*SIN(M985))</f>
        <v>-0.790421774397567</v>
      </c>
      <c r="E986" s="419" t="n">
        <f aca="false">IF(AND(L985&lt;L_rampe,Poussee&lt;Poids*SIN(M985)),0,(-W985+Poussee)/m*SIN(M985)+U985/m*COS(M985)-Poids/m)</f>
        <v>-1.97262630566984</v>
      </c>
      <c r="F986" s="417" t="n">
        <f aca="false">SQRT(acc_x^2+acc_z^2)</f>
        <v>2.12509320342955</v>
      </c>
      <c r="G986" s="418" t="n">
        <f aca="false">G985+acc_x*pas</f>
        <v>12.4565363089805</v>
      </c>
      <c r="H986" s="419" t="n">
        <f aca="false">H985+acc_z*pas</f>
        <v>-123.512925069203</v>
      </c>
      <c r="I986" s="417" t="n">
        <f aca="false">SQRT(vit_x^2+vit_z^2)</f>
        <v>124.139469774796</v>
      </c>
      <c r="J986" s="418" t="n">
        <f aca="false">J985+0.5*(vit_x+G985)*pas*(K985&gt;=0)</f>
        <v>913.614336176273</v>
      </c>
      <c r="K986" s="419" t="n">
        <f aca="false">K985+0.5*(vit_z+H985)*pas</f>
        <v>-11.9043818272111</v>
      </c>
      <c r="L986" s="417" t="n">
        <f aca="false">SQRT(pos_x^2+pos_z^2)</f>
        <v>913.691889847721</v>
      </c>
      <c r="M986" s="418" t="n">
        <f aca="false">IF(AND(L985&gt;L_rampe,G986&gt;0),ATAN2(G986,H986),$M$4)</f>
        <v>-1.47028409482253</v>
      </c>
      <c r="N986" s="417" t="n">
        <f aca="false">DEGREES(Beta)</f>
        <v>-84.2410733185436</v>
      </c>
      <c r="O986" s="401"/>
      <c r="P986" s="420" t="n">
        <f aca="false">MATCH(t-pas/2-T_ini,CdP_t)</f>
        <v>23</v>
      </c>
      <c r="Q986" s="417" t="n">
        <f aca="false">(INDEX(CdP,2,i_P+1)-INDEX(CdP,2,i_P+0))/(INDEX(CdP,1,i_P+1)-INDEX(CdP,1,i_P+0))*(t-pas/2-T_ini-INDEX(CdP,1,i_P+0))+INDEX(CdP,2,i_P+0)</f>
        <v>0</v>
      </c>
      <c r="R986" s="418" t="n">
        <f aca="false">Poussee/(g*ISP)</f>
        <v>0</v>
      </c>
      <c r="S986" s="419" t="n">
        <f aca="false">S985-Débit*pas</f>
        <v>7.37799999999998</v>
      </c>
      <c r="T986" s="417" t="n">
        <f aca="false">m*g</f>
        <v>72.3781799999998</v>
      </c>
      <c r="U986" s="421" t="n">
        <f aca="false">IF(pos_xz&lt;L_rampe,Poids*COS(Beta),0)</f>
        <v>0</v>
      </c>
      <c r="V986" s="418" t="n">
        <f aca="false">Rho_moyen*(20000-Alt_rampe-pos_z)/(20000+Alt_rampe+pos_z)</f>
        <v>1.22645915529092</v>
      </c>
      <c r="W986" s="417" t="n">
        <f aca="false">1/2*Rho*Sref*Cx*vit_xz^2</f>
        <v>58.1177207453082</v>
      </c>
      <c r="X986" s="401"/>
      <c r="Y986" s="422" t="str">
        <f aca="false">IF(AND(pos_z&lt;=0,K985&gt;0),"Impact balistique","") &amp; IF(AND(H987&lt;0,vit_z&gt;=0),"Apogée","") &amp; IF(AND(Poussee=0,Q985&gt;0),"Fin de propulsion","") &amp; IF(AND(L987&gt;L_rampe,pos_xz&lt;=L_rampe),"Sortie de rampe","")</f>
        <v/>
      </c>
      <c r="Z986" s="423" t="str">
        <f aca="false">IF(ABS(t-T_para)&lt;pas/2,"Para","")</f>
        <v/>
      </c>
      <c r="AA986" s="424" t="str">
        <f aca="false">IF(ABS(t-T_satellite)&lt;pas/2,"Satellite","")</f>
        <v/>
      </c>
      <c r="AB986" s="412"/>
      <c r="AC986" s="420" t="e">
        <f aca="false">IF(ABS(t-ROUND(t,0))&lt;0.001,t,NA())</f>
        <v>#N/A</v>
      </c>
      <c r="AD986" s="425" t="e">
        <f aca="false">IF(ABS(t-ROUND(t,0))&lt;0.001,pos_x,NA())</f>
        <v>#N/A</v>
      </c>
      <c r="AE986" s="426" t="e">
        <f aca="false">IF(t&lt;T_para, pos_z, NA())</f>
        <v>#N/A</v>
      </c>
      <c r="AF986" s="412"/>
      <c r="AG986" s="418" t="n">
        <f aca="false">IF(AND(L985&lt;L_rampe,Poussee&lt;Poids*SIN(M985)),0,(-W985+Poussee)/m-Poids*SIN(M985)/m)</f>
        <v>1.8833561241616</v>
      </c>
      <c r="AH986" s="417" t="n">
        <f aca="false">IF(AND(L985&lt;L_rampe,Poussee&lt;Poids*SIN(M985)), g*SIN(M985), (-W985+Poussee)/m)</f>
        <v>-7.87713101363816</v>
      </c>
    </row>
    <row r="987" customFormat="false" ht="12" hidden="false" customHeight="false" outlineLevel="0" collapsed="false">
      <c r="A987" s="416" t="n">
        <f aca="false">IF(B986+0.01&lt;=T_ini+ROUNDUP(Temps_fin_propu,0), 0.01, IF(K986&gt;0, 0.1, 0.0001))</f>
        <v>0.0001</v>
      </c>
      <c r="B987" s="417" t="n">
        <f aca="false">B986+pas</f>
        <v>36.3260000000011</v>
      </c>
      <c r="C987" s="401"/>
      <c r="D987" s="418" t="n">
        <f aca="false">IF(AND(L986&lt;L_rampe,Poussee&lt;Poids*SIN(M986)),0,(-W986+Poussee)/m*COS(M986)-U986/m*SIN(M986))</f>
        <v>-0.790418934292026</v>
      </c>
      <c r="E987" s="419" t="n">
        <f aca="false">IF(AND(L986&lt;L_rampe,Poussee&lt;Poids*SIN(M986)),0,(-W986+Poussee)/m*SIN(M986)+U986/m*COS(M986)-Poids/m)</f>
        <v>-1.97259221802241</v>
      </c>
      <c r="F987" s="417" t="n">
        <f aca="false">SQRT(acc_x^2+acc_z^2)</f>
        <v>2.12506050508919</v>
      </c>
      <c r="G987" s="418" t="n">
        <f aca="false">G986+acc_x*pas</f>
        <v>12.456457267087</v>
      </c>
      <c r="H987" s="419" t="n">
        <f aca="false">H986+acc_z*pas</f>
        <v>-123.513122328424</v>
      </c>
      <c r="I987" s="417" t="n">
        <f aca="false">SQRT(vit_x^2+vit_z^2)</f>
        <v>124.139658107162</v>
      </c>
      <c r="J987" s="418" t="n">
        <f aca="false">J986+0.5*(vit_x+G986)*pas*(K986&gt;=0)</f>
        <v>913.614336176273</v>
      </c>
      <c r="K987" s="419" t="n">
        <f aca="false">K986+0.5*(vit_z+H986)*pas</f>
        <v>-11.916733129581</v>
      </c>
      <c r="L987" s="417" t="n">
        <f aca="false">SQRT(pos_x^2+pos_z^2)</f>
        <v>913.692050854824</v>
      </c>
      <c r="M987" s="418" t="n">
        <f aca="false">IF(AND(L986&gt;L_rampe,G987&gt;0),ATAN2(G987,H987),$M$4)</f>
        <v>-1.47028488777266</v>
      </c>
      <c r="N987" s="417" t="n">
        <f aca="false">DEGREES(Beta)</f>
        <v>-84.2411187512394</v>
      </c>
      <c r="O987" s="401"/>
      <c r="P987" s="420" t="n">
        <f aca="false">MATCH(t-pas/2-T_ini,CdP_t)</f>
        <v>23</v>
      </c>
      <c r="Q987" s="417" t="n">
        <f aca="false">(INDEX(CdP,2,i_P+1)-INDEX(CdP,2,i_P+0))/(INDEX(CdP,1,i_P+1)-INDEX(CdP,1,i_P+0))*(t-pas/2-T_ini-INDEX(CdP,1,i_P+0))+INDEX(CdP,2,i_P+0)</f>
        <v>0</v>
      </c>
      <c r="R987" s="418" t="n">
        <f aca="false">Poussee/(g*ISP)</f>
        <v>0</v>
      </c>
      <c r="S987" s="419" t="n">
        <f aca="false">S986-Débit*pas</f>
        <v>7.37799999999998</v>
      </c>
      <c r="T987" s="417" t="n">
        <f aca="false">m*g</f>
        <v>72.3781799999998</v>
      </c>
      <c r="U987" s="421" t="n">
        <f aca="false">IF(pos_xz&lt;L_rampe,Poids*COS(Beta),0)</f>
        <v>0</v>
      </c>
      <c r="V987" s="418" t="n">
        <f aca="false">Rho_moyen*(20000-Alt_rampe-pos_z)/(20000+Alt_rampe+pos_z)</f>
        <v>1.22646067012918</v>
      </c>
      <c r="W987" s="417" t="n">
        <f aca="false">1/2*Rho*Sref*Cx*vit_xz^2</f>
        <v>58.1179688698249</v>
      </c>
      <c r="X987" s="401"/>
      <c r="Y987" s="422" t="str">
        <f aca="false">IF(AND(pos_z&lt;=0,K986&gt;0),"Impact balistique","") &amp; IF(AND(H988&lt;0,vit_z&gt;=0),"Apogée","") &amp; IF(AND(Poussee=0,Q986&gt;0),"Fin de propulsion","") &amp; IF(AND(L988&gt;L_rampe,pos_xz&lt;=L_rampe),"Sortie de rampe","")</f>
        <v/>
      </c>
      <c r="Z987" s="423" t="str">
        <f aca="false">IF(ABS(t-T_para)&lt;pas/2,"Para","")</f>
        <v/>
      </c>
      <c r="AA987" s="424" t="str">
        <f aca="false">IF(ABS(t-T_satellite)&lt;pas/2,"Satellite","")</f>
        <v/>
      </c>
      <c r="AB987" s="412"/>
      <c r="AC987" s="420" t="e">
        <f aca="false">IF(ABS(t-ROUND(t,0))&lt;0.001,t,NA())</f>
        <v>#N/A</v>
      </c>
      <c r="AD987" s="425" t="e">
        <f aca="false">IF(ABS(t-ROUND(t,0))&lt;0.001,pos_x,NA())</f>
        <v>#N/A</v>
      </c>
      <c r="AE987" s="426" t="e">
        <f aca="false">IF(t&lt;T_para, pos_z, NA())</f>
        <v>#N/A</v>
      </c>
      <c r="AF987" s="412"/>
      <c r="AG987" s="418" t="n">
        <f aca="false">IF(AND(L986&lt;L_rampe,Poussee&lt;Poids*SIN(M986)),0,(-W986+Poussee)/m-Poids*SIN(M986)/m)</f>
        <v>1.88332327410865</v>
      </c>
      <c r="AH987" s="417" t="n">
        <f aca="false">IF(AND(L986&lt;L_rampe,Poussee&lt;Poids*SIN(M986)), g*SIN(M986), (-W986+Poussee)/m)</f>
        <v>-7.87716464425432</v>
      </c>
    </row>
    <row r="988" customFormat="false" ht="12" hidden="false" customHeight="false" outlineLevel="0" collapsed="false">
      <c r="A988" s="416" t="n">
        <f aca="false">IF(B987+0.01&lt;=T_ini+ROUNDUP(Temps_fin_propu,0), 0.01, IF(K987&gt;0, 0.1, 0.0001))</f>
        <v>0.0001</v>
      </c>
      <c r="B988" s="417" t="n">
        <f aca="false">B987+pas</f>
        <v>36.3261000000011</v>
      </c>
      <c r="C988" s="401"/>
      <c r="D988" s="418" t="n">
        <f aca="false">IF(AND(L987&lt;L_rampe,Poussee&lt;Poids*SIN(M987)),0,(-W987+Poussee)/m*COS(M987)-U987/m*SIN(M987))</f>
        <v>-0.790416094161713</v>
      </c>
      <c r="E988" s="419" t="n">
        <f aca="false">IF(AND(L987&lt;L_rampe,Poussee&lt;Poids*SIN(M987)),0,(-W987+Poussee)/m*SIN(M987)+U987/m*COS(M987)-Poids/m)</f>
        <v>-1.97255813067298</v>
      </c>
      <c r="F988" s="417" t="n">
        <f aca="false">SQRT(acc_x^2+acc_z^2)</f>
        <v>2.12502780706369</v>
      </c>
      <c r="G988" s="418" t="n">
        <f aca="false">G987+acc_x*pas</f>
        <v>12.4563782254776</v>
      </c>
      <c r="H988" s="419" t="n">
        <f aca="false">H987+acc_z*pas</f>
        <v>-123.513319584237</v>
      </c>
      <c r="I988" s="417" t="n">
        <f aca="false">SQRT(vit_x^2+vit_z^2)</f>
        <v>124.139846436243</v>
      </c>
      <c r="J988" s="418" t="n">
        <f aca="false">J987+0.5*(vit_x+G987)*pas*(K987&gt;=0)</f>
        <v>913.614336176273</v>
      </c>
      <c r="K988" s="419" t="n">
        <f aca="false">K987+0.5*(vit_z+H987)*pas</f>
        <v>-11.9290844516766</v>
      </c>
      <c r="L988" s="417" t="n">
        <f aca="false">SQRT(pos_x^2+pos_z^2)</f>
        <v>913.692212029121</v>
      </c>
      <c r="M988" s="418" t="n">
        <f aca="false">IF(AND(L987&gt;L_rampe,G988&gt;0),ATAN2(G988,H988),$M$4)</f>
        <v>-1.47028568071535</v>
      </c>
      <c r="N988" s="417" t="n">
        <f aca="false">DEGREES(Beta)</f>
        <v>-84.2411641835091</v>
      </c>
      <c r="O988" s="401"/>
      <c r="P988" s="420" t="n">
        <f aca="false">MATCH(t-pas/2-T_ini,CdP_t)</f>
        <v>23</v>
      </c>
      <c r="Q988" s="417" t="n">
        <f aca="false">(INDEX(CdP,2,i_P+1)-INDEX(CdP,2,i_P+0))/(INDEX(CdP,1,i_P+1)-INDEX(CdP,1,i_P+0))*(t-pas/2-T_ini-INDEX(CdP,1,i_P+0))+INDEX(CdP,2,i_P+0)</f>
        <v>0</v>
      </c>
      <c r="R988" s="418" t="n">
        <f aca="false">Poussee/(g*ISP)</f>
        <v>0</v>
      </c>
      <c r="S988" s="419" t="n">
        <f aca="false">S987-Débit*pas</f>
        <v>7.37799999999998</v>
      </c>
      <c r="T988" s="417" t="n">
        <f aca="false">m*g</f>
        <v>72.3781799999998</v>
      </c>
      <c r="U988" s="421" t="n">
        <f aca="false">IF(pos_xz&lt;L_rampe,Poids*COS(Beta),0)</f>
        <v>0</v>
      </c>
      <c r="V988" s="418" t="n">
        <f aca="false">Rho_moyen*(20000-Alt_rampe-pos_z)/(20000+Alt_rampe+pos_z)</f>
        <v>1.22646218497173</v>
      </c>
      <c r="W988" s="417" t="n">
        <f aca="false">1/2*Rho*Sref*Cx*vit_xz^2</f>
        <v>58.1182169921723</v>
      </c>
      <c r="X988" s="401"/>
      <c r="Y988" s="422" t="str">
        <f aca="false">IF(AND(pos_z&lt;=0,K987&gt;0),"Impact balistique","") &amp; IF(AND(H989&lt;0,vit_z&gt;=0),"Apogée","") &amp; IF(AND(Poussee=0,Q987&gt;0),"Fin de propulsion","") &amp; IF(AND(L989&gt;L_rampe,pos_xz&lt;=L_rampe),"Sortie de rampe","")</f>
        <v/>
      </c>
      <c r="Z988" s="423" t="str">
        <f aca="false">IF(ABS(t-T_para)&lt;pas/2,"Para","")</f>
        <v/>
      </c>
      <c r="AA988" s="424" t="str">
        <f aca="false">IF(ABS(t-T_satellite)&lt;pas/2,"Satellite","")</f>
        <v/>
      </c>
      <c r="AB988" s="412"/>
      <c r="AC988" s="420" t="e">
        <f aca="false">IF(ABS(t-ROUND(t,0))&lt;0.001,t,NA())</f>
        <v>#N/A</v>
      </c>
      <c r="AD988" s="425" t="e">
        <f aca="false">IF(ABS(t-ROUND(t,0))&lt;0.001,pos_x,NA())</f>
        <v>#N/A</v>
      </c>
      <c r="AE988" s="426" t="e">
        <f aca="false">IF(t&lt;T_para, pos_z, NA())</f>
        <v>#N/A</v>
      </c>
      <c r="AF988" s="412"/>
      <c r="AG988" s="418" t="n">
        <f aca="false">IF(AND(L987&lt;L_rampe,Poussee&lt;Poids*SIN(M987)),0,(-W987+Poussee)/m-Poids*SIN(M987)/m)</f>
        <v>1.88329042433626</v>
      </c>
      <c r="AH988" s="417" t="n">
        <f aca="false">IF(AND(L987&lt;L_rampe,Poussee&lt;Poids*SIN(M987)), g*SIN(M987), (-W987+Poussee)/m)</f>
        <v>-7.87719827457645</v>
      </c>
    </row>
    <row r="989" customFormat="false" ht="12" hidden="false" customHeight="false" outlineLevel="0" collapsed="false">
      <c r="A989" s="416" t="n">
        <f aca="false">IF(B988+0.01&lt;=T_ini+ROUNDUP(Temps_fin_propu,0), 0.01, IF(K988&gt;0, 0.1, 0.0001))</f>
        <v>0.0001</v>
      </c>
      <c r="B989" s="417" t="n">
        <f aca="false">B988+pas</f>
        <v>36.3262000000011</v>
      </c>
      <c r="C989" s="401"/>
      <c r="D989" s="418" t="n">
        <f aca="false">IF(AND(L988&lt;L_rampe,Poussee&lt;Poids*SIN(M988)),0,(-W988+Poussee)/m*COS(M988)-U988/m*SIN(M988))</f>
        <v>-0.790413254006624</v>
      </c>
      <c r="E989" s="419" t="n">
        <f aca="false">IF(AND(L988&lt;L_rampe,Poussee&lt;Poids*SIN(M988)),0,(-W988+Poussee)/m*SIN(M988)+U988/m*COS(M988)-Poids/m)</f>
        <v>-1.97252404362154</v>
      </c>
      <c r="F989" s="417" t="n">
        <f aca="false">SQRT(acc_x^2+acc_z^2)</f>
        <v>2.12499510935306</v>
      </c>
      <c r="G989" s="418" t="n">
        <f aca="false">G988+acc_x*pas</f>
        <v>12.4562991841522</v>
      </c>
      <c r="H989" s="419" t="n">
        <f aca="false">H988+acc_z*pas</f>
        <v>-123.513516836642</v>
      </c>
      <c r="I989" s="417" t="n">
        <f aca="false">SQRT(vit_x^2+vit_z^2)</f>
        <v>124.14003476204</v>
      </c>
      <c r="J989" s="418" t="n">
        <f aca="false">J988+0.5*(vit_x+G988)*pas*(K988&gt;=0)</f>
        <v>913.614336176273</v>
      </c>
      <c r="K989" s="419" t="n">
        <f aca="false">K988+0.5*(vit_z+H988)*pas</f>
        <v>-11.9414357934977</v>
      </c>
      <c r="L989" s="417" t="n">
        <f aca="false">SQRT(pos_x^2+pos_z^2)</f>
        <v>913.692373370612</v>
      </c>
      <c r="M989" s="418" t="n">
        <f aca="false">IF(AND(L988&gt;L_rampe,G989&gt;0),ATAN2(G989,H989),$M$4)</f>
        <v>-1.47028647365061</v>
      </c>
      <c r="N989" s="417" t="n">
        <f aca="false">DEGREES(Beta)</f>
        <v>-84.2412096153526</v>
      </c>
      <c r="O989" s="401"/>
      <c r="P989" s="420" t="n">
        <f aca="false">MATCH(t-pas/2-T_ini,CdP_t)</f>
        <v>23</v>
      </c>
      <c r="Q989" s="417" t="n">
        <f aca="false">(INDEX(CdP,2,i_P+1)-INDEX(CdP,2,i_P+0))/(INDEX(CdP,1,i_P+1)-INDEX(CdP,1,i_P+0))*(t-pas/2-T_ini-INDEX(CdP,1,i_P+0))+INDEX(CdP,2,i_P+0)</f>
        <v>0</v>
      </c>
      <c r="R989" s="418" t="n">
        <f aca="false">Poussee/(g*ISP)</f>
        <v>0</v>
      </c>
      <c r="S989" s="419" t="n">
        <f aca="false">S988-Débit*pas</f>
        <v>7.37799999999998</v>
      </c>
      <c r="T989" s="417" t="n">
        <f aca="false">m*g</f>
        <v>72.3781799999998</v>
      </c>
      <c r="U989" s="421" t="n">
        <f aca="false">IF(pos_xz&lt;L_rampe,Poids*COS(Beta),0)</f>
        <v>0</v>
      </c>
      <c r="V989" s="418" t="n">
        <f aca="false">Rho_moyen*(20000-Alt_rampe-pos_z)/(20000+Alt_rampe+pos_z)</f>
        <v>1.22646369981857</v>
      </c>
      <c r="W989" s="417" t="n">
        <f aca="false">1/2*Rho*Sref*Cx*vit_xz^2</f>
        <v>58.1184651123503</v>
      </c>
      <c r="X989" s="401"/>
      <c r="Y989" s="422" t="str">
        <f aca="false">IF(AND(pos_z&lt;=0,K988&gt;0),"Impact balistique","") &amp; IF(AND(H990&lt;0,vit_z&gt;=0),"Apogée","") &amp; IF(AND(Poussee=0,Q988&gt;0),"Fin de propulsion","") &amp; IF(AND(L990&gt;L_rampe,pos_xz&lt;=L_rampe),"Sortie de rampe","")</f>
        <v/>
      </c>
      <c r="Z989" s="423" t="str">
        <f aca="false">IF(ABS(t-T_para)&lt;pas/2,"Para","")</f>
        <v/>
      </c>
      <c r="AA989" s="424" t="str">
        <f aca="false">IF(ABS(t-T_satellite)&lt;pas/2,"Satellite","")</f>
        <v/>
      </c>
      <c r="AB989" s="412"/>
      <c r="AC989" s="420" t="e">
        <f aca="false">IF(ABS(t-ROUND(t,0))&lt;0.001,t,NA())</f>
        <v>#N/A</v>
      </c>
      <c r="AD989" s="425" t="e">
        <f aca="false">IF(ABS(t-ROUND(t,0))&lt;0.001,pos_x,NA())</f>
        <v>#N/A</v>
      </c>
      <c r="AE989" s="426" t="e">
        <f aca="false">IF(t&lt;T_para, pos_z, NA())</f>
        <v>#N/A</v>
      </c>
      <c r="AF989" s="412"/>
      <c r="AG989" s="418" t="n">
        <f aca="false">IF(AND(L988&lt;L_rampe,Poussee&lt;Poids*SIN(M988)),0,(-W988+Poussee)/m-Poids*SIN(M988)/m)</f>
        <v>1.88325757484445</v>
      </c>
      <c r="AH989" s="417" t="n">
        <f aca="false">IF(AND(L988&lt;L_rampe,Poussee&lt;Poids*SIN(M988)), g*SIN(M988), (-W988+Poussee)/m)</f>
        <v>-7.87723190460455</v>
      </c>
    </row>
    <row r="990" customFormat="false" ht="12" hidden="false" customHeight="false" outlineLevel="0" collapsed="false">
      <c r="A990" s="416" t="n">
        <f aca="false">IF(B989+0.01&lt;=T_ini+ROUNDUP(Temps_fin_propu,0), 0.01, IF(K989&gt;0, 0.1, 0.0001))</f>
        <v>0.0001</v>
      </c>
      <c r="B990" s="417" t="n">
        <f aca="false">B989+pas</f>
        <v>36.3263000000011</v>
      </c>
      <c r="C990" s="401"/>
      <c r="D990" s="418" t="n">
        <f aca="false">IF(AND(L989&lt;L_rampe,Poussee&lt;Poids*SIN(M989)),0,(-W989+Poussee)/m*COS(M989)-U989/m*SIN(M989))</f>
        <v>-0.790410413826762</v>
      </c>
      <c r="E990" s="419" t="n">
        <f aca="false">IF(AND(L989&lt;L_rampe,Poussee&lt;Poids*SIN(M989)),0,(-W989+Poussee)/m*SIN(M989)+U989/m*COS(M989)-Poids/m)</f>
        <v>-1.9724899568681</v>
      </c>
      <c r="F990" s="417" t="n">
        <f aca="false">SQRT(acc_x^2+acc_z^2)</f>
        <v>2.12496241195728</v>
      </c>
      <c r="G990" s="418" t="n">
        <f aca="false">G989+acc_x*pas</f>
        <v>12.4562201431108</v>
      </c>
      <c r="H990" s="419" t="n">
        <f aca="false">H989+acc_z*pas</f>
        <v>-123.513714085637</v>
      </c>
      <c r="I990" s="417" t="n">
        <f aca="false">SQRT(vit_x^2+vit_z^2)</f>
        <v>124.140223084552</v>
      </c>
      <c r="J990" s="418" t="n">
        <f aca="false">J989+0.5*(vit_x+G989)*pas*(K989&gt;=0)</f>
        <v>913.614336176273</v>
      </c>
      <c r="K990" s="419" t="n">
        <f aca="false">K989+0.5*(vit_z+H989)*pas</f>
        <v>-11.9537871550438</v>
      </c>
      <c r="L990" s="417" t="n">
        <f aca="false">SQRT(pos_x^2+pos_z^2)</f>
        <v>913.6925348793</v>
      </c>
      <c r="M990" s="418" t="n">
        <f aca="false">IF(AND(L989&gt;L_rampe,G990&gt;0),ATAN2(G990,H990),$M$4)</f>
        <v>-1.47028726657843</v>
      </c>
      <c r="N990" s="417" t="n">
        <f aca="false">DEGREES(Beta)</f>
        <v>-84.24125504677</v>
      </c>
      <c r="O990" s="401"/>
      <c r="P990" s="420" t="n">
        <f aca="false">MATCH(t-pas/2-T_ini,CdP_t)</f>
        <v>23</v>
      </c>
      <c r="Q990" s="417" t="n">
        <f aca="false">(INDEX(CdP,2,i_P+1)-INDEX(CdP,2,i_P+0))/(INDEX(CdP,1,i_P+1)-INDEX(CdP,1,i_P+0))*(t-pas/2-T_ini-INDEX(CdP,1,i_P+0))+INDEX(CdP,2,i_P+0)</f>
        <v>0</v>
      </c>
      <c r="R990" s="418" t="n">
        <f aca="false">Poussee/(g*ISP)</f>
        <v>0</v>
      </c>
      <c r="S990" s="419" t="n">
        <f aca="false">S989-Débit*pas</f>
        <v>7.37799999999998</v>
      </c>
      <c r="T990" s="417" t="n">
        <f aca="false">m*g</f>
        <v>72.3781799999998</v>
      </c>
      <c r="U990" s="421" t="n">
        <f aca="false">IF(pos_xz&lt;L_rampe,Poids*COS(Beta),0)</f>
        <v>0</v>
      </c>
      <c r="V990" s="418" t="n">
        <f aca="false">Rho_moyen*(20000-Alt_rampe-pos_z)/(20000+Alt_rampe+pos_z)</f>
        <v>1.22646521466971</v>
      </c>
      <c r="W990" s="417" t="n">
        <f aca="false">1/2*Rho*Sref*Cx*vit_xz^2</f>
        <v>58.118713230359</v>
      </c>
      <c r="X990" s="401"/>
      <c r="Y990" s="422" t="str">
        <f aca="false">IF(AND(pos_z&lt;=0,K989&gt;0),"Impact balistique","") &amp; IF(AND(H991&lt;0,vit_z&gt;=0),"Apogée","") &amp; IF(AND(Poussee=0,Q989&gt;0),"Fin de propulsion","") &amp; IF(AND(L991&gt;L_rampe,pos_xz&lt;=L_rampe),"Sortie de rampe","")</f>
        <v/>
      </c>
      <c r="Z990" s="423" t="str">
        <f aca="false">IF(ABS(t-T_para)&lt;pas/2,"Para","")</f>
        <v/>
      </c>
      <c r="AA990" s="424" t="str">
        <f aca="false">IF(ABS(t-T_satellite)&lt;pas/2,"Satellite","")</f>
        <v/>
      </c>
      <c r="AB990" s="412"/>
      <c r="AC990" s="420" t="e">
        <f aca="false">IF(ABS(t-ROUND(t,0))&lt;0.001,t,NA())</f>
        <v>#N/A</v>
      </c>
      <c r="AD990" s="425" t="e">
        <f aca="false">IF(ABS(t-ROUND(t,0))&lt;0.001,pos_x,NA())</f>
        <v>#N/A</v>
      </c>
      <c r="AE990" s="426" t="e">
        <f aca="false">IF(t&lt;T_para, pos_z, NA())</f>
        <v>#N/A</v>
      </c>
      <c r="AF990" s="412"/>
      <c r="AG990" s="418" t="n">
        <f aca="false">IF(AND(L989&lt;L_rampe,Poussee&lt;Poids*SIN(M989)),0,(-W989+Poussee)/m-Poids*SIN(M989)/m)</f>
        <v>1.8832247256332</v>
      </c>
      <c r="AH990" s="417" t="n">
        <f aca="false">IF(AND(L989&lt;L_rampe,Poussee&lt;Poids*SIN(M989)), g*SIN(M989), (-W989+Poussee)/m)</f>
        <v>-7.87726553433863</v>
      </c>
    </row>
    <row r="991" customFormat="false" ht="12" hidden="false" customHeight="false" outlineLevel="0" collapsed="false">
      <c r="A991" s="416" t="n">
        <f aca="false">IF(B990+0.01&lt;=T_ini+ROUNDUP(Temps_fin_propu,0), 0.01, IF(K990&gt;0, 0.1, 0.0001))</f>
        <v>0.0001</v>
      </c>
      <c r="B991" s="417" t="n">
        <f aca="false">B990+pas</f>
        <v>36.3264000000011</v>
      </c>
      <c r="C991" s="401"/>
      <c r="D991" s="418" t="n">
        <f aca="false">IF(AND(L990&lt;L_rampe,Poussee&lt;Poids*SIN(M990)),0,(-W990+Poussee)/m*COS(M990)-U990/m*SIN(M990))</f>
        <v>-0.790407573622128</v>
      </c>
      <c r="E991" s="419" t="n">
        <f aca="false">IF(AND(L990&lt;L_rampe,Poussee&lt;Poids*SIN(M990)),0,(-W990+Poussee)/m*SIN(M990)+U990/m*COS(M990)-Poids/m)</f>
        <v>-1.97245587041266</v>
      </c>
      <c r="F991" s="417" t="n">
        <f aca="false">SQRT(acc_x^2+acc_z^2)</f>
        <v>2.12492971487637</v>
      </c>
      <c r="G991" s="418" t="n">
        <f aca="false">G990+acc_x*pas</f>
        <v>12.4561411023535</v>
      </c>
      <c r="H991" s="419" t="n">
        <f aca="false">H990+acc_z*pas</f>
        <v>-123.513911331224</v>
      </c>
      <c r="I991" s="417" t="n">
        <f aca="false">SQRT(vit_x^2+vit_z^2)</f>
        <v>124.140411403778</v>
      </c>
      <c r="J991" s="418" t="n">
        <f aca="false">J990+0.5*(vit_x+G990)*pas*(K990&gt;=0)</f>
        <v>913.614336176273</v>
      </c>
      <c r="K991" s="419" t="n">
        <f aca="false">K990+0.5*(vit_z+H990)*pas</f>
        <v>-11.9661385363146</v>
      </c>
      <c r="L991" s="417" t="n">
        <f aca="false">SQRT(pos_x^2+pos_z^2)</f>
        <v>913.692696555183</v>
      </c>
      <c r="M991" s="418" t="n">
        <f aca="false">IF(AND(L990&gt;L_rampe,G991&gt;0),ATAN2(G991,H991),$M$4)</f>
        <v>-1.47028805949881</v>
      </c>
      <c r="N991" s="417" t="n">
        <f aca="false">DEGREES(Beta)</f>
        <v>-84.2413004777613</v>
      </c>
      <c r="O991" s="401"/>
      <c r="P991" s="420" t="n">
        <f aca="false">MATCH(t-pas/2-T_ini,CdP_t)</f>
        <v>23</v>
      </c>
      <c r="Q991" s="417" t="n">
        <f aca="false">(INDEX(CdP,2,i_P+1)-INDEX(CdP,2,i_P+0))/(INDEX(CdP,1,i_P+1)-INDEX(CdP,1,i_P+0))*(t-pas/2-T_ini-INDEX(CdP,1,i_P+0))+INDEX(CdP,2,i_P+0)</f>
        <v>0</v>
      </c>
      <c r="R991" s="418" t="n">
        <f aca="false">Poussee/(g*ISP)</f>
        <v>0</v>
      </c>
      <c r="S991" s="419" t="n">
        <f aca="false">S990-Débit*pas</f>
        <v>7.37799999999998</v>
      </c>
      <c r="T991" s="417" t="n">
        <f aca="false">m*g</f>
        <v>72.3781799999998</v>
      </c>
      <c r="U991" s="421" t="n">
        <f aca="false">IF(pos_xz&lt;L_rampe,Poids*COS(Beta),0)</f>
        <v>0</v>
      </c>
      <c r="V991" s="418" t="n">
        <f aca="false">Rho_moyen*(20000-Alt_rampe-pos_z)/(20000+Alt_rampe+pos_z)</f>
        <v>1.22646672952513</v>
      </c>
      <c r="W991" s="417" t="n">
        <f aca="false">1/2*Rho*Sref*Cx*vit_xz^2</f>
        <v>58.1189613461983</v>
      </c>
      <c r="X991" s="401"/>
      <c r="Y991" s="422" t="str">
        <f aca="false">IF(AND(pos_z&lt;=0,K990&gt;0),"Impact balistique","") &amp; IF(AND(H992&lt;0,vit_z&gt;=0),"Apogée","") &amp; IF(AND(Poussee=0,Q990&gt;0),"Fin de propulsion","") &amp; IF(AND(L992&gt;L_rampe,pos_xz&lt;=L_rampe),"Sortie de rampe","")</f>
        <v/>
      </c>
      <c r="Z991" s="423" t="str">
        <f aca="false">IF(ABS(t-T_para)&lt;pas/2,"Para","")</f>
        <v/>
      </c>
      <c r="AA991" s="424" t="str">
        <f aca="false">IF(ABS(t-T_satellite)&lt;pas/2,"Satellite","")</f>
        <v/>
      </c>
      <c r="AB991" s="412"/>
      <c r="AC991" s="420" t="e">
        <f aca="false">IF(ABS(t-ROUND(t,0))&lt;0.001,t,NA())</f>
        <v>#N/A</v>
      </c>
      <c r="AD991" s="425" t="e">
        <f aca="false">IF(ABS(t-ROUND(t,0))&lt;0.001,pos_x,NA())</f>
        <v>#N/A</v>
      </c>
      <c r="AE991" s="426" t="e">
        <f aca="false">IF(t&lt;T_para, pos_z, NA())</f>
        <v>#N/A</v>
      </c>
      <c r="AF991" s="412"/>
      <c r="AG991" s="418" t="n">
        <f aca="false">IF(AND(L990&lt;L_rampe,Poussee&lt;Poids*SIN(M990)),0,(-W990+Poussee)/m-Poids*SIN(M990)/m)</f>
        <v>1.88319187670252</v>
      </c>
      <c r="AH991" s="417" t="n">
        <f aca="false">IF(AND(L990&lt;L_rampe,Poussee&lt;Poids*SIN(M990)), g*SIN(M990), (-W990+Poussee)/m)</f>
        <v>-7.87729916377868</v>
      </c>
    </row>
    <row r="992" customFormat="false" ht="12" hidden="false" customHeight="false" outlineLevel="0" collapsed="false">
      <c r="A992" s="416" t="n">
        <f aca="false">IF(B991+0.01&lt;=T_ini+ROUNDUP(Temps_fin_propu,0), 0.01, IF(K991&gt;0, 0.1, 0.0001))</f>
        <v>0.0001</v>
      </c>
      <c r="B992" s="417" t="n">
        <f aca="false">B991+pas</f>
        <v>36.3265000000011</v>
      </c>
      <c r="C992" s="401"/>
      <c r="D992" s="418" t="n">
        <f aca="false">IF(AND(L991&lt;L_rampe,Poussee&lt;Poids*SIN(M991)),0,(-W991+Poussee)/m*COS(M991)-U991/m*SIN(M991))</f>
        <v>-0.790404733392723</v>
      </c>
      <c r="E992" s="419" t="n">
        <f aca="false">IF(AND(L991&lt;L_rampe,Poussee&lt;Poids*SIN(M991)),0,(-W991+Poussee)/m*SIN(M991)+U991/m*COS(M991)-Poids/m)</f>
        <v>-1.97242178425522</v>
      </c>
      <c r="F992" s="417" t="n">
        <f aca="false">SQRT(acc_x^2+acc_z^2)</f>
        <v>2.12489701811033</v>
      </c>
      <c r="G992" s="418" t="n">
        <f aca="false">G991+acc_x*pas</f>
        <v>12.4560620618801</v>
      </c>
      <c r="H992" s="419" t="n">
        <f aca="false">H991+acc_z*pas</f>
        <v>-123.514108573403</v>
      </c>
      <c r="I992" s="417" t="n">
        <f aca="false">SQRT(vit_x^2+vit_z^2)</f>
        <v>124.14059971972</v>
      </c>
      <c r="J992" s="418" t="n">
        <f aca="false">J991+0.5*(vit_x+G991)*pas*(K991&gt;=0)</f>
        <v>913.614336176273</v>
      </c>
      <c r="K992" s="419" t="n">
        <f aca="false">K991+0.5*(vit_z+H991)*pas</f>
        <v>-11.9784899373099</v>
      </c>
      <c r="L992" s="417" t="n">
        <f aca="false">SQRT(pos_x^2+pos_z^2)</f>
        <v>913.692858398264</v>
      </c>
      <c r="M992" s="418" t="n">
        <f aca="false">IF(AND(L991&gt;L_rampe,G992&gt;0),ATAN2(G992,H992),$M$4)</f>
        <v>-1.47028885241175</v>
      </c>
      <c r="N992" s="417" t="n">
        <f aca="false">DEGREES(Beta)</f>
        <v>-84.2413459083265</v>
      </c>
      <c r="O992" s="401"/>
      <c r="P992" s="420" t="n">
        <f aca="false">MATCH(t-pas/2-T_ini,CdP_t)</f>
        <v>23</v>
      </c>
      <c r="Q992" s="417" t="n">
        <f aca="false">(INDEX(CdP,2,i_P+1)-INDEX(CdP,2,i_P+0))/(INDEX(CdP,1,i_P+1)-INDEX(CdP,1,i_P+0))*(t-pas/2-T_ini-INDEX(CdP,1,i_P+0))+INDEX(CdP,2,i_P+0)</f>
        <v>0</v>
      </c>
      <c r="R992" s="418" t="n">
        <f aca="false">Poussee/(g*ISP)</f>
        <v>0</v>
      </c>
      <c r="S992" s="419" t="n">
        <f aca="false">S991-Débit*pas</f>
        <v>7.37799999999998</v>
      </c>
      <c r="T992" s="417" t="n">
        <f aca="false">m*g</f>
        <v>72.3781799999998</v>
      </c>
      <c r="U992" s="421" t="n">
        <f aca="false">IF(pos_xz&lt;L_rampe,Poids*COS(Beta),0)</f>
        <v>0</v>
      </c>
      <c r="V992" s="418" t="n">
        <f aca="false">Rho_moyen*(20000-Alt_rampe-pos_z)/(20000+Alt_rampe+pos_z)</f>
        <v>1.22646824438485</v>
      </c>
      <c r="W992" s="417" t="n">
        <f aca="false">1/2*Rho*Sref*Cx*vit_xz^2</f>
        <v>58.1192094598683</v>
      </c>
      <c r="X992" s="401"/>
      <c r="Y992" s="422" t="str">
        <f aca="false">IF(AND(pos_z&lt;=0,K991&gt;0),"Impact balistique","") &amp; IF(AND(H993&lt;0,vit_z&gt;=0),"Apogée","") &amp; IF(AND(Poussee=0,Q991&gt;0),"Fin de propulsion","") &amp; IF(AND(L993&gt;L_rampe,pos_xz&lt;=L_rampe),"Sortie de rampe","")</f>
        <v/>
      </c>
      <c r="Z992" s="423" t="str">
        <f aca="false">IF(ABS(t-T_para)&lt;pas/2,"Para","")</f>
        <v/>
      </c>
      <c r="AA992" s="424" t="str">
        <f aca="false">IF(ABS(t-T_satellite)&lt;pas/2,"Satellite","")</f>
        <v/>
      </c>
      <c r="AB992" s="412"/>
      <c r="AC992" s="420" t="e">
        <f aca="false">IF(ABS(t-ROUND(t,0))&lt;0.001,t,NA())</f>
        <v>#N/A</v>
      </c>
      <c r="AD992" s="425" t="e">
        <f aca="false">IF(ABS(t-ROUND(t,0))&lt;0.001,pos_x,NA())</f>
        <v>#N/A</v>
      </c>
      <c r="AE992" s="426" t="e">
        <f aca="false">IF(t&lt;T_para, pos_z, NA())</f>
        <v>#N/A</v>
      </c>
      <c r="AF992" s="412"/>
      <c r="AG992" s="418" t="n">
        <f aca="false">IF(AND(L991&lt;L_rampe,Poussee&lt;Poids*SIN(M991)),0,(-W991+Poussee)/m-Poids*SIN(M991)/m)</f>
        <v>1.88315902805242</v>
      </c>
      <c r="AH992" s="417" t="n">
        <f aca="false">IF(AND(L991&lt;L_rampe,Poussee&lt;Poids*SIN(M991)), g*SIN(M991), (-W991+Poussee)/m)</f>
        <v>-7.87733279292469</v>
      </c>
    </row>
    <row r="993" customFormat="false" ht="12" hidden="false" customHeight="false" outlineLevel="0" collapsed="false">
      <c r="A993" s="416" t="n">
        <f aca="false">IF(B992+0.01&lt;=T_ini+ROUNDUP(Temps_fin_propu,0), 0.01, IF(K992&gt;0, 0.1, 0.0001))</f>
        <v>0.0001</v>
      </c>
      <c r="B993" s="417" t="n">
        <f aca="false">B992+pas</f>
        <v>36.3266000000011</v>
      </c>
      <c r="C993" s="401"/>
      <c r="D993" s="418" t="n">
        <f aca="false">IF(AND(L992&lt;L_rampe,Poussee&lt;Poids*SIN(M992)),0,(-W992+Poussee)/m*COS(M992)-U992/m*SIN(M992))</f>
        <v>-0.790401893138546</v>
      </c>
      <c r="E993" s="419" t="n">
        <f aca="false">IF(AND(L992&lt;L_rampe,Poussee&lt;Poids*SIN(M992)),0,(-W992+Poussee)/m*SIN(M992)+U992/m*COS(M992)-Poids/m)</f>
        <v>-1.97238769839577</v>
      </c>
      <c r="F993" s="417" t="n">
        <f aca="false">SQRT(acc_x^2+acc_z^2)</f>
        <v>2.12486432165914</v>
      </c>
      <c r="G993" s="418" t="n">
        <f aca="false">G992+acc_x*pas</f>
        <v>12.4559830216908</v>
      </c>
      <c r="H993" s="419" t="n">
        <f aca="false">H992+acc_z*pas</f>
        <v>-123.514305812173</v>
      </c>
      <c r="I993" s="417" t="n">
        <f aca="false">SQRT(vit_x^2+vit_z^2)</f>
        <v>124.140788032377</v>
      </c>
      <c r="J993" s="418" t="n">
        <f aca="false">J992+0.5*(vit_x+G992)*pas*(K992&gt;=0)</f>
        <v>913.614336176273</v>
      </c>
      <c r="K993" s="419" t="n">
        <f aca="false">K992+0.5*(vit_z+H992)*pas</f>
        <v>-11.9908413580292</v>
      </c>
      <c r="L993" s="417" t="n">
        <f aca="false">SQRT(pos_x^2+pos_z^2)</f>
        <v>913.693020408543</v>
      </c>
      <c r="M993" s="418" t="n">
        <f aca="false">IF(AND(L992&gt;L_rampe,G993&gt;0),ATAN2(G993,H993),$M$4)</f>
        <v>-1.47028964531726</v>
      </c>
      <c r="N993" s="417" t="n">
        <f aca="false">DEGREES(Beta)</f>
        <v>-84.2413913384655</v>
      </c>
      <c r="O993" s="401"/>
      <c r="P993" s="420" t="n">
        <f aca="false">MATCH(t-pas/2-T_ini,CdP_t)</f>
        <v>23</v>
      </c>
      <c r="Q993" s="417" t="n">
        <f aca="false">(INDEX(CdP,2,i_P+1)-INDEX(CdP,2,i_P+0))/(INDEX(CdP,1,i_P+1)-INDEX(CdP,1,i_P+0))*(t-pas/2-T_ini-INDEX(CdP,1,i_P+0))+INDEX(CdP,2,i_P+0)</f>
        <v>0</v>
      </c>
      <c r="R993" s="418" t="n">
        <f aca="false">Poussee/(g*ISP)</f>
        <v>0</v>
      </c>
      <c r="S993" s="419" t="n">
        <f aca="false">S992-Débit*pas</f>
        <v>7.37799999999998</v>
      </c>
      <c r="T993" s="417" t="n">
        <f aca="false">m*g</f>
        <v>72.3781799999998</v>
      </c>
      <c r="U993" s="421" t="n">
        <f aca="false">IF(pos_xz&lt;L_rampe,Poids*COS(Beta),0)</f>
        <v>0</v>
      </c>
      <c r="V993" s="418" t="n">
        <f aca="false">Rho_moyen*(20000-Alt_rampe-pos_z)/(20000+Alt_rampe+pos_z)</f>
        <v>1.22646975924886</v>
      </c>
      <c r="W993" s="417" t="n">
        <f aca="false">1/2*Rho*Sref*Cx*vit_xz^2</f>
        <v>58.119457571369</v>
      </c>
      <c r="X993" s="401"/>
      <c r="Y993" s="422" t="str">
        <f aca="false">IF(AND(pos_z&lt;=0,K992&gt;0),"Impact balistique","") &amp; IF(AND(H994&lt;0,vit_z&gt;=0),"Apogée","") &amp; IF(AND(Poussee=0,Q992&gt;0),"Fin de propulsion","") &amp; IF(AND(L994&gt;L_rampe,pos_xz&lt;=L_rampe),"Sortie de rampe","")</f>
        <v/>
      </c>
      <c r="Z993" s="423" t="str">
        <f aca="false">IF(ABS(t-T_para)&lt;pas/2,"Para","")</f>
        <v/>
      </c>
      <c r="AA993" s="424" t="str">
        <f aca="false">IF(ABS(t-T_satellite)&lt;pas/2,"Satellite","")</f>
        <v/>
      </c>
      <c r="AB993" s="412"/>
      <c r="AC993" s="420" t="e">
        <f aca="false">IF(ABS(t-ROUND(t,0))&lt;0.001,t,NA())</f>
        <v>#N/A</v>
      </c>
      <c r="AD993" s="425" t="e">
        <f aca="false">IF(ABS(t-ROUND(t,0))&lt;0.001,pos_x,NA())</f>
        <v>#N/A</v>
      </c>
      <c r="AE993" s="426" t="e">
        <f aca="false">IF(t&lt;T_para, pos_z, NA())</f>
        <v>#N/A</v>
      </c>
      <c r="AF993" s="412"/>
      <c r="AG993" s="418" t="n">
        <f aca="false">IF(AND(L992&lt;L_rampe,Poussee&lt;Poids*SIN(M992)),0,(-W992+Poussee)/m-Poids*SIN(M992)/m)</f>
        <v>1.88312617968288</v>
      </c>
      <c r="AH993" s="417" t="n">
        <f aca="false">IF(AND(L992&lt;L_rampe,Poussee&lt;Poids*SIN(M992)), g*SIN(M992), (-W992+Poussee)/m)</f>
        <v>-7.87736642177669</v>
      </c>
    </row>
    <row r="994" customFormat="false" ht="12" hidden="false" customHeight="false" outlineLevel="0" collapsed="false">
      <c r="A994" s="416" t="n">
        <f aca="false">IF(B993+0.01&lt;=T_ini+ROUNDUP(Temps_fin_propu,0), 0.01, IF(K993&gt;0, 0.1, 0.0001))</f>
        <v>0.0001</v>
      </c>
      <c r="B994" s="417" t="n">
        <f aca="false">B993+pas</f>
        <v>36.3267000000011</v>
      </c>
      <c r="C994" s="401"/>
      <c r="D994" s="418" t="n">
        <f aca="false">IF(AND(L993&lt;L_rampe,Poussee&lt;Poids*SIN(M993)),0,(-W993+Poussee)/m*COS(M993)-U993/m*SIN(M993))</f>
        <v>-0.790399052859597</v>
      </c>
      <c r="E994" s="419" t="n">
        <f aca="false">IF(AND(L993&lt;L_rampe,Poussee&lt;Poids*SIN(M993)),0,(-W993+Poussee)/m*SIN(M993)+U993/m*COS(M993)-Poids/m)</f>
        <v>-1.97235361283433</v>
      </c>
      <c r="F994" s="417" t="n">
        <f aca="false">SQRT(acc_x^2+acc_z^2)</f>
        <v>2.12483162552283</v>
      </c>
      <c r="G994" s="418" t="n">
        <f aca="false">G993+acc_x*pas</f>
        <v>12.4559039817855</v>
      </c>
      <c r="H994" s="419" t="n">
        <f aca="false">H993+acc_z*pas</f>
        <v>-123.514503047534</v>
      </c>
      <c r="I994" s="417" t="n">
        <f aca="false">SQRT(vit_x^2+vit_z^2)</f>
        <v>124.140976341749</v>
      </c>
      <c r="J994" s="418" t="n">
        <f aca="false">J993+0.5*(vit_x+G993)*pas*(K993&gt;=0)</f>
        <v>913.614336176273</v>
      </c>
      <c r="K994" s="419" t="n">
        <f aca="false">K993+0.5*(vit_z+H993)*pas</f>
        <v>-12.0031927984721</v>
      </c>
      <c r="L994" s="417" t="n">
        <f aca="false">SQRT(pos_x^2+pos_z^2)</f>
        <v>913.69318258602</v>
      </c>
      <c r="M994" s="418" t="n">
        <f aca="false">IF(AND(L993&gt;L_rampe,G994&gt;0),ATAN2(G994,H994),$M$4)</f>
        <v>-1.47029043821533</v>
      </c>
      <c r="N994" s="417" t="n">
        <f aca="false">DEGREES(Beta)</f>
        <v>-84.2414367681785</v>
      </c>
      <c r="O994" s="401"/>
      <c r="P994" s="420" t="n">
        <f aca="false">MATCH(t-pas/2-T_ini,CdP_t)</f>
        <v>23</v>
      </c>
      <c r="Q994" s="417" t="n">
        <f aca="false">(INDEX(CdP,2,i_P+1)-INDEX(CdP,2,i_P+0))/(INDEX(CdP,1,i_P+1)-INDEX(CdP,1,i_P+0))*(t-pas/2-T_ini-INDEX(CdP,1,i_P+0))+INDEX(CdP,2,i_P+0)</f>
        <v>0</v>
      </c>
      <c r="R994" s="418" t="n">
        <f aca="false">Poussee/(g*ISP)</f>
        <v>0</v>
      </c>
      <c r="S994" s="419" t="n">
        <f aca="false">S993-Débit*pas</f>
        <v>7.37799999999998</v>
      </c>
      <c r="T994" s="417" t="n">
        <f aca="false">m*g</f>
        <v>72.3781799999998</v>
      </c>
      <c r="U994" s="421" t="n">
        <f aca="false">IF(pos_xz&lt;L_rampe,Poids*COS(Beta),0)</f>
        <v>0</v>
      </c>
      <c r="V994" s="418" t="n">
        <f aca="false">Rho_moyen*(20000-Alt_rampe-pos_z)/(20000+Alt_rampe+pos_z)</f>
        <v>1.22647127411716</v>
      </c>
      <c r="W994" s="417" t="n">
        <f aca="false">1/2*Rho*Sref*Cx*vit_xz^2</f>
        <v>58.1197056807003</v>
      </c>
      <c r="X994" s="401"/>
      <c r="Y994" s="422" t="str">
        <f aca="false">IF(AND(pos_z&lt;=0,K993&gt;0),"Impact balistique","") &amp; IF(AND(H995&lt;0,vit_z&gt;=0),"Apogée","") &amp; IF(AND(Poussee=0,Q993&gt;0),"Fin de propulsion","") &amp; IF(AND(L995&gt;L_rampe,pos_xz&lt;=L_rampe),"Sortie de rampe","")</f>
        <v/>
      </c>
      <c r="Z994" s="423" t="str">
        <f aca="false">IF(ABS(t-T_para)&lt;pas/2,"Para","")</f>
        <v/>
      </c>
      <c r="AA994" s="424" t="str">
        <f aca="false">IF(ABS(t-T_satellite)&lt;pas/2,"Satellite","")</f>
        <v/>
      </c>
      <c r="AB994" s="412"/>
      <c r="AC994" s="420" t="e">
        <f aca="false">IF(ABS(t-ROUND(t,0))&lt;0.001,t,NA())</f>
        <v>#N/A</v>
      </c>
      <c r="AD994" s="425" t="e">
        <f aca="false">IF(ABS(t-ROUND(t,0))&lt;0.001,pos_x,NA())</f>
        <v>#N/A</v>
      </c>
      <c r="AE994" s="426" t="e">
        <f aca="false">IF(t&lt;T_para, pos_z, NA())</f>
        <v>#N/A</v>
      </c>
      <c r="AF994" s="412"/>
      <c r="AG994" s="418" t="n">
        <f aca="false">IF(AND(L993&lt;L_rampe,Poussee&lt;Poids*SIN(M993)),0,(-W993+Poussee)/m-Poids*SIN(M993)/m)</f>
        <v>1.88309333159392</v>
      </c>
      <c r="AH994" s="417" t="n">
        <f aca="false">IF(AND(L993&lt;L_rampe,Poussee&lt;Poids*SIN(M993)), g*SIN(M993), (-W993+Poussee)/m)</f>
        <v>-7.87740005033465</v>
      </c>
    </row>
    <row r="995" customFormat="false" ht="12" hidden="false" customHeight="false" outlineLevel="0" collapsed="false">
      <c r="A995" s="416" t="n">
        <f aca="false">IF(B994+0.01&lt;=T_ini+ROUNDUP(Temps_fin_propu,0), 0.01, IF(K994&gt;0, 0.1, 0.0001))</f>
        <v>0.0001</v>
      </c>
      <c r="B995" s="417" t="n">
        <f aca="false">B994+pas</f>
        <v>36.3268000000011</v>
      </c>
      <c r="C995" s="401"/>
      <c r="D995" s="418" t="n">
        <f aca="false">IF(AND(L994&lt;L_rampe,Poussee&lt;Poids*SIN(M994)),0,(-W994+Poussee)/m*COS(M994)-U994/m*SIN(M994))</f>
        <v>-0.79039621255588</v>
      </c>
      <c r="E995" s="419" t="n">
        <f aca="false">IF(AND(L994&lt;L_rampe,Poussee&lt;Poids*SIN(M994)),0,(-W994+Poussee)/m*SIN(M994)+U994/m*COS(M994)-Poids/m)</f>
        <v>-1.97231952757089</v>
      </c>
      <c r="F995" s="417" t="n">
        <f aca="false">SQRT(acc_x^2+acc_z^2)</f>
        <v>2.12479892970138</v>
      </c>
      <c r="G995" s="418" t="n">
        <f aca="false">G994+acc_x*pas</f>
        <v>12.4558249421643</v>
      </c>
      <c r="H995" s="419" t="n">
        <f aca="false">H994+acc_z*pas</f>
        <v>-123.514700279487</v>
      </c>
      <c r="I995" s="417" t="n">
        <f aca="false">SQRT(vit_x^2+vit_z^2)</f>
        <v>124.141164647837</v>
      </c>
      <c r="J995" s="418" t="n">
        <f aca="false">J994+0.5*(vit_x+G994)*pas*(K994&gt;=0)</f>
        <v>913.614336176273</v>
      </c>
      <c r="K995" s="419" t="n">
        <f aca="false">K994+0.5*(vit_z+H994)*pas</f>
        <v>-12.0155442586385</v>
      </c>
      <c r="L995" s="417" t="n">
        <f aca="false">SQRT(pos_x^2+pos_z^2)</f>
        <v>913.693344930696</v>
      </c>
      <c r="M995" s="418" t="n">
        <f aca="false">IF(AND(L994&gt;L_rampe,G995&gt;0),ATAN2(G995,H995),$M$4)</f>
        <v>-1.47029123110596</v>
      </c>
      <c r="N995" s="417" t="n">
        <f aca="false">DEGREES(Beta)</f>
        <v>-84.2414821974653</v>
      </c>
      <c r="O995" s="401"/>
      <c r="P995" s="420" t="n">
        <f aca="false">MATCH(t-pas/2-T_ini,CdP_t)</f>
        <v>23</v>
      </c>
      <c r="Q995" s="417" t="n">
        <f aca="false">(INDEX(CdP,2,i_P+1)-INDEX(CdP,2,i_P+0))/(INDEX(CdP,1,i_P+1)-INDEX(CdP,1,i_P+0))*(t-pas/2-T_ini-INDEX(CdP,1,i_P+0))+INDEX(CdP,2,i_P+0)</f>
        <v>0</v>
      </c>
      <c r="R995" s="418" t="n">
        <f aca="false">Poussee/(g*ISP)</f>
        <v>0</v>
      </c>
      <c r="S995" s="419" t="n">
        <f aca="false">S994-Débit*pas</f>
        <v>7.37799999999998</v>
      </c>
      <c r="T995" s="417" t="n">
        <f aca="false">m*g</f>
        <v>72.3781799999998</v>
      </c>
      <c r="U995" s="421" t="n">
        <f aca="false">IF(pos_xz&lt;L_rampe,Poids*COS(Beta),0)</f>
        <v>0</v>
      </c>
      <c r="V995" s="418" t="n">
        <f aca="false">Rho_moyen*(20000-Alt_rampe-pos_z)/(20000+Alt_rampe+pos_z)</f>
        <v>1.22647278898975</v>
      </c>
      <c r="W995" s="417" t="n">
        <f aca="false">1/2*Rho*Sref*Cx*vit_xz^2</f>
        <v>58.1199537878623</v>
      </c>
      <c r="X995" s="401"/>
      <c r="Y995" s="422" t="str">
        <f aca="false">IF(AND(pos_z&lt;=0,K994&gt;0),"Impact balistique","") &amp; IF(AND(H996&lt;0,vit_z&gt;=0),"Apogée","") &amp; IF(AND(Poussee=0,Q994&gt;0),"Fin de propulsion","") &amp; IF(AND(L996&gt;L_rampe,pos_xz&lt;=L_rampe),"Sortie de rampe","")</f>
        <v/>
      </c>
      <c r="Z995" s="423" t="str">
        <f aca="false">IF(ABS(t-T_para)&lt;pas/2,"Para","")</f>
        <v/>
      </c>
      <c r="AA995" s="424" t="str">
        <f aca="false">IF(ABS(t-T_satellite)&lt;pas/2,"Satellite","")</f>
        <v/>
      </c>
      <c r="AB995" s="412"/>
      <c r="AC995" s="420" t="e">
        <f aca="false">IF(ABS(t-ROUND(t,0))&lt;0.001,t,NA())</f>
        <v>#N/A</v>
      </c>
      <c r="AD995" s="425" t="e">
        <f aca="false">IF(ABS(t-ROUND(t,0))&lt;0.001,pos_x,NA())</f>
        <v>#N/A</v>
      </c>
      <c r="AE995" s="426" t="e">
        <f aca="false">IF(t&lt;T_para, pos_z, NA())</f>
        <v>#N/A</v>
      </c>
      <c r="AF995" s="412"/>
      <c r="AG995" s="418" t="n">
        <f aca="false">IF(AND(L994&lt;L_rampe,Poussee&lt;Poids*SIN(M994)),0,(-W994+Poussee)/m-Poids*SIN(M994)/m)</f>
        <v>1.88306048378553</v>
      </c>
      <c r="AH995" s="417" t="n">
        <f aca="false">IF(AND(L994&lt;L_rampe,Poussee&lt;Poids*SIN(M994)), g*SIN(M994), (-W994+Poussee)/m)</f>
        <v>-7.87743367859859</v>
      </c>
    </row>
    <row r="996" customFormat="false" ht="12" hidden="false" customHeight="false" outlineLevel="0" collapsed="false">
      <c r="A996" s="416" t="n">
        <f aca="false">IF(B995+0.01&lt;=T_ini+ROUNDUP(Temps_fin_propu,0), 0.01, IF(K995&gt;0, 0.1, 0.0001))</f>
        <v>0.0001</v>
      </c>
      <c r="B996" s="417" t="n">
        <f aca="false">B995+pas</f>
        <v>36.3269000000011</v>
      </c>
      <c r="C996" s="401"/>
      <c r="D996" s="418" t="n">
        <f aca="false">IF(AND(L995&lt;L_rampe,Poussee&lt;Poids*SIN(M995)),0,(-W995+Poussee)/m*COS(M995)-U995/m*SIN(M995))</f>
        <v>-0.790393372227394</v>
      </c>
      <c r="E996" s="419" t="n">
        <f aca="false">IF(AND(L995&lt;L_rampe,Poussee&lt;Poids*SIN(M995)),0,(-W995+Poussee)/m*SIN(M995)+U995/m*COS(M995)-Poids/m)</f>
        <v>-1.97228544260544</v>
      </c>
      <c r="F996" s="417" t="n">
        <f aca="false">SQRT(acc_x^2+acc_z^2)</f>
        <v>2.12476623419479</v>
      </c>
      <c r="G996" s="418" t="n">
        <f aca="false">G995+acc_x*pas</f>
        <v>12.4557459028271</v>
      </c>
      <c r="H996" s="419" t="n">
        <f aca="false">H995+acc_z*pas</f>
        <v>-123.514897508031</v>
      </c>
      <c r="I996" s="417" t="n">
        <f aca="false">SQRT(vit_x^2+vit_z^2)</f>
        <v>124.141352950639</v>
      </c>
      <c r="J996" s="418" t="n">
        <f aca="false">J995+0.5*(vit_x+G995)*pas*(K995&gt;=0)</f>
        <v>913.614336176273</v>
      </c>
      <c r="K996" s="419" t="n">
        <f aca="false">K995+0.5*(vit_z+H995)*pas</f>
        <v>-12.0278957385279</v>
      </c>
      <c r="L996" s="417" t="n">
        <f aca="false">SQRT(pos_x^2+pos_z^2)</f>
        <v>913.693507442572</v>
      </c>
      <c r="M996" s="418" t="n">
        <f aca="false">IF(AND(L995&gt;L_rampe,G996&gt;0),ATAN2(G996,H996),$M$4)</f>
        <v>-1.47029202398915</v>
      </c>
      <c r="N996" s="417" t="n">
        <f aca="false">DEGREES(Beta)</f>
        <v>-84.2415276263261</v>
      </c>
      <c r="O996" s="401"/>
      <c r="P996" s="420" t="n">
        <f aca="false">MATCH(t-pas/2-T_ini,CdP_t)</f>
        <v>23</v>
      </c>
      <c r="Q996" s="417" t="n">
        <f aca="false">(INDEX(CdP,2,i_P+1)-INDEX(CdP,2,i_P+0))/(INDEX(CdP,1,i_P+1)-INDEX(CdP,1,i_P+0))*(t-pas/2-T_ini-INDEX(CdP,1,i_P+0))+INDEX(CdP,2,i_P+0)</f>
        <v>0</v>
      </c>
      <c r="R996" s="418" t="n">
        <f aca="false">Poussee/(g*ISP)</f>
        <v>0</v>
      </c>
      <c r="S996" s="419" t="n">
        <f aca="false">S995-Débit*pas</f>
        <v>7.37799999999998</v>
      </c>
      <c r="T996" s="417" t="n">
        <f aca="false">m*g</f>
        <v>72.3781799999998</v>
      </c>
      <c r="U996" s="421" t="n">
        <f aca="false">IF(pos_xz&lt;L_rampe,Poids*COS(Beta),0)</f>
        <v>0</v>
      </c>
      <c r="V996" s="418" t="n">
        <f aca="false">Rho_moyen*(20000-Alt_rampe-pos_z)/(20000+Alt_rampe+pos_z)</f>
        <v>1.22647430386663</v>
      </c>
      <c r="W996" s="417" t="n">
        <f aca="false">1/2*Rho*Sref*Cx*vit_xz^2</f>
        <v>58.120201892855</v>
      </c>
      <c r="X996" s="401"/>
      <c r="Y996" s="422" t="str">
        <f aca="false">IF(AND(pos_z&lt;=0,K995&gt;0),"Impact balistique","") &amp; IF(AND(H997&lt;0,vit_z&gt;=0),"Apogée","") &amp; IF(AND(Poussee=0,Q995&gt;0),"Fin de propulsion","") &amp; IF(AND(L997&gt;L_rampe,pos_xz&lt;=L_rampe),"Sortie de rampe","")</f>
        <v/>
      </c>
      <c r="Z996" s="423" t="str">
        <f aca="false">IF(ABS(t-T_para)&lt;pas/2,"Para","")</f>
        <v/>
      </c>
      <c r="AA996" s="424" t="str">
        <f aca="false">IF(ABS(t-T_satellite)&lt;pas/2,"Satellite","")</f>
        <v/>
      </c>
      <c r="AB996" s="412"/>
      <c r="AC996" s="420" t="e">
        <f aca="false">IF(ABS(t-ROUND(t,0))&lt;0.001,t,NA())</f>
        <v>#N/A</v>
      </c>
      <c r="AD996" s="425" t="e">
        <f aca="false">IF(ABS(t-ROUND(t,0))&lt;0.001,pos_x,NA())</f>
        <v>#N/A</v>
      </c>
      <c r="AE996" s="426" t="e">
        <f aca="false">IF(t&lt;T_para, pos_z, NA())</f>
        <v>#N/A</v>
      </c>
      <c r="AF996" s="412"/>
      <c r="AG996" s="418" t="n">
        <f aca="false">IF(AND(L995&lt;L_rampe,Poussee&lt;Poids*SIN(M995)),0,(-W995+Poussee)/m-Poids*SIN(M995)/m)</f>
        <v>1.88302763625771</v>
      </c>
      <c r="AH996" s="417" t="n">
        <f aca="false">IF(AND(L995&lt;L_rampe,Poussee&lt;Poids*SIN(M995)), g*SIN(M995), (-W995+Poussee)/m)</f>
        <v>-7.8774673065685</v>
      </c>
    </row>
    <row r="997" customFormat="false" ht="12" hidden="false" customHeight="false" outlineLevel="0" collapsed="false">
      <c r="A997" s="416" t="n">
        <f aca="false">IF(B996+0.01&lt;=T_ini+ROUNDUP(Temps_fin_propu,0), 0.01, IF(K996&gt;0, 0.1, 0.0001))</f>
        <v>0.0001</v>
      </c>
      <c r="B997" s="417" t="n">
        <f aca="false">B996+pas</f>
        <v>36.3270000000011</v>
      </c>
      <c r="C997" s="401"/>
      <c r="D997" s="418" t="n">
        <f aca="false">IF(AND(L996&lt;L_rampe,Poussee&lt;Poids*SIN(M996)),0,(-W996+Poussee)/m*COS(M996)-U996/m*SIN(M996))</f>
        <v>-0.790390531874139</v>
      </c>
      <c r="E997" s="419" t="n">
        <f aca="false">IF(AND(L996&lt;L_rampe,Poussee&lt;Poids*SIN(M996)),0,(-W996+Poussee)/m*SIN(M996)+U996/m*COS(M996)-Poids/m)</f>
        <v>-1.97225135793799</v>
      </c>
      <c r="F997" s="417" t="n">
        <f aca="false">SQRT(acc_x^2+acc_z^2)</f>
        <v>2.12473353900307</v>
      </c>
      <c r="G997" s="418" t="n">
        <f aca="false">G996+acc_x*pas</f>
        <v>12.4556668637739</v>
      </c>
      <c r="H997" s="419" t="n">
        <f aca="false">H996+acc_z*pas</f>
        <v>-123.515094733167</v>
      </c>
      <c r="I997" s="417" t="n">
        <f aca="false">SQRT(vit_x^2+vit_z^2)</f>
        <v>124.141541250157</v>
      </c>
      <c r="J997" s="418" t="n">
        <f aca="false">J996+0.5*(vit_x+G996)*pas*(K996&gt;=0)</f>
        <v>913.614336176273</v>
      </c>
      <c r="K997" s="419" t="n">
        <f aca="false">K996+0.5*(vit_z+H996)*pas</f>
        <v>-12.0402472381399</v>
      </c>
      <c r="L997" s="417" t="n">
        <f aca="false">SQRT(pos_x^2+pos_z^2)</f>
        <v>913.693670121648</v>
      </c>
      <c r="M997" s="418" t="n">
        <f aca="false">IF(AND(L996&gt;L_rampe,G997&gt;0),ATAN2(G997,H997),$M$4)</f>
        <v>-1.47029281686491</v>
      </c>
      <c r="N997" s="417" t="n">
        <f aca="false">DEGREES(Beta)</f>
        <v>-84.2415730547608</v>
      </c>
      <c r="O997" s="401"/>
      <c r="P997" s="420" t="n">
        <f aca="false">MATCH(t-pas/2-T_ini,CdP_t)</f>
        <v>23</v>
      </c>
      <c r="Q997" s="417" t="n">
        <f aca="false">(INDEX(CdP,2,i_P+1)-INDEX(CdP,2,i_P+0))/(INDEX(CdP,1,i_P+1)-INDEX(CdP,1,i_P+0))*(t-pas/2-T_ini-INDEX(CdP,1,i_P+0))+INDEX(CdP,2,i_P+0)</f>
        <v>0</v>
      </c>
      <c r="R997" s="418" t="n">
        <f aca="false">Poussee/(g*ISP)</f>
        <v>0</v>
      </c>
      <c r="S997" s="419" t="n">
        <f aca="false">S996-Débit*pas</f>
        <v>7.37799999999998</v>
      </c>
      <c r="T997" s="417" t="n">
        <f aca="false">m*g</f>
        <v>72.3781799999998</v>
      </c>
      <c r="U997" s="421" t="n">
        <f aca="false">IF(pos_xz&lt;L_rampe,Poids*COS(Beta),0)</f>
        <v>0</v>
      </c>
      <c r="V997" s="418" t="n">
        <f aca="false">Rho_moyen*(20000-Alt_rampe-pos_z)/(20000+Alt_rampe+pos_z)</f>
        <v>1.2264758187478</v>
      </c>
      <c r="W997" s="417" t="n">
        <f aca="false">1/2*Rho*Sref*Cx*vit_xz^2</f>
        <v>58.1204499956783</v>
      </c>
      <c r="X997" s="401"/>
      <c r="Y997" s="422" t="str">
        <f aca="false">IF(AND(pos_z&lt;=0,K996&gt;0),"Impact balistique","") &amp; IF(AND(H998&lt;0,vit_z&gt;=0),"Apogée","") &amp; IF(AND(Poussee=0,Q996&gt;0),"Fin de propulsion","") &amp; IF(AND(L998&gt;L_rampe,pos_xz&lt;=L_rampe),"Sortie de rampe","")</f>
        <v/>
      </c>
      <c r="Z997" s="423" t="str">
        <f aca="false">IF(ABS(t-T_para)&lt;pas/2,"Para","")</f>
        <v/>
      </c>
      <c r="AA997" s="424" t="str">
        <f aca="false">IF(ABS(t-T_satellite)&lt;pas/2,"Satellite","")</f>
        <v/>
      </c>
      <c r="AB997" s="412"/>
      <c r="AC997" s="420" t="e">
        <f aca="false">IF(ABS(t-ROUND(t,0))&lt;0.001,t,NA())</f>
        <v>#N/A</v>
      </c>
      <c r="AD997" s="425" t="e">
        <f aca="false">IF(ABS(t-ROUND(t,0))&lt;0.001,pos_x,NA())</f>
        <v>#N/A</v>
      </c>
      <c r="AE997" s="426" t="e">
        <f aca="false">IF(t&lt;T_para, pos_z, NA())</f>
        <v>#N/A</v>
      </c>
      <c r="AF997" s="412"/>
      <c r="AG997" s="418" t="n">
        <f aca="false">IF(AND(L996&lt;L_rampe,Poussee&lt;Poids*SIN(M996)),0,(-W996+Poussee)/m-Poids*SIN(M996)/m)</f>
        <v>1.88299478901045</v>
      </c>
      <c r="AH997" s="417" t="n">
        <f aca="false">IF(AND(L996&lt;L_rampe,Poussee&lt;Poids*SIN(M996)), g*SIN(M996), (-W996+Poussee)/m)</f>
        <v>-7.87750093424439</v>
      </c>
    </row>
    <row r="998" customFormat="false" ht="12" hidden="false" customHeight="false" outlineLevel="0" collapsed="false">
      <c r="A998" s="416" t="n">
        <f aca="false">IF(B997+0.01&lt;=T_ini+ROUNDUP(Temps_fin_propu,0), 0.01, IF(K997&gt;0, 0.1, 0.0001))</f>
        <v>0.0001</v>
      </c>
      <c r="B998" s="417" t="n">
        <f aca="false">B997+pas</f>
        <v>36.3271000000011</v>
      </c>
      <c r="C998" s="401"/>
      <c r="D998" s="418" t="n">
        <f aca="false">IF(AND(L997&lt;L_rampe,Poussee&lt;Poids*SIN(M997)),0,(-W997+Poussee)/m*COS(M997)-U997/m*SIN(M997))</f>
        <v>-0.790387691496115</v>
      </c>
      <c r="E998" s="419" t="n">
        <f aca="false">IF(AND(L997&lt;L_rampe,Poussee&lt;Poids*SIN(M997)),0,(-W997+Poussee)/m*SIN(M997)+U997/m*COS(M997)-Poids/m)</f>
        <v>-1.97221727356854</v>
      </c>
      <c r="F998" s="417" t="n">
        <f aca="false">SQRT(acc_x^2+acc_z^2)</f>
        <v>2.12470084412622</v>
      </c>
      <c r="G998" s="418" t="n">
        <f aca="false">G997+acc_x*pas</f>
        <v>12.4555878250047</v>
      </c>
      <c r="H998" s="419" t="n">
        <f aca="false">H997+acc_z*pas</f>
        <v>-123.515291954894</v>
      </c>
      <c r="I998" s="417" t="n">
        <f aca="false">SQRT(vit_x^2+vit_z^2)</f>
        <v>124.141729546391</v>
      </c>
      <c r="J998" s="418" t="n">
        <f aca="false">J997+0.5*(vit_x+G997)*pas*(K997&gt;=0)</f>
        <v>913.614336176273</v>
      </c>
      <c r="K998" s="419" t="n">
        <f aca="false">K997+0.5*(vit_z+H997)*pas</f>
        <v>-12.0525987574743</v>
      </c>
      <c r="L998" s="417" t="n">
        <f aca="false">SQRT(pos_x^2+pos_z^2)</f>
        <v>913.693832967926</v>
      </c>
      <c r="M998" s="418" t="n">
        <f aca="false">IF(AND(L997&gt;L_rampe,G998&gt;0),ATAN2(G998,H998),$M$4)</f>
        <v>-1.47029360973324</v>
      </c>
      <c r="N998" s="417" t="n">
        <f aca="false">DEGREES(Beta)</f>
        <v>-84.2416184827694</v>
      </c>
      <c r="O998" s="401"/>
      <c r="P998" s="420" t="n">
        <f aca="false">MATCH(t-pas/2-T_ini,CdP_t)</f>
        <v>23</v>
      </c>
      <c r="Q998" s="417" t="n">
        <f aca="false">(INDEX(CdP,2,i_P+1)-INDEX(CdP,2,i_P+0))/(INDEX(CdP,1,i_P+1)-INDEX(CdP,1,i_P+0))*(t-pas/2-T_ini-INDEX(CdP,1,i_P+0))+INDEX(CdP,2,i_P+0)</f>
        <v>0</v>
      </c>
      <c r="R998" s="418" t="n">
        <f aca="false">Poussee/(g*ISP)</f>
        <v>0</v>
      </c>
      <c r="S998" s="419" t="n">
        <f aca="false">S997-Débit*pas</f>
        <v>7.37799999999998</v>
      </c>
      <c r="T998" s="417" t="n">
        <f aca="false">m*g</f>
        <v>72.3781799999998</v>
      </c>
      <c r="U998" s="421" t="n">
        <f aca="false">IF(pos_xz&lt;L_rampe,Poids*COS(Beta),0)</f>
        <v>0</v>
      </c>
      <c r="V998" s="418" t="n">
        <f aca="false">Rho_moyen*(20000-Alt_rampe-pos_z)/(20000+Alt_rampe+pos_z)</f>
        <v>1.22647733363327</v>
      </c>
      <c r="W998" s="417" t="n">
        <f aca="false">1/2*Rho*Sref*Cx*vit_xz^2</f>
        <v>58.1206980963324</v>
      </c>
      <c r="X998" s="401"/>
      <c r="Y998" s="422" t="str">
        <f aca="false">IF(AND(pos_z&lt;=0,K997&gt;0),"Impact balistique","") &amp; IF(AND(H999&lt;0,vit_z&gt;=0),"Apogée","") &amp; IF(AND(Poussee=0,Q997&gt;0),"Fin de propulsion","") &amp; IF(AND(L999&gt;L_rampe,pos_xz&lt;=L_rampe),"Sortie de rampe","")</f>
        <v/>
      </c>
      <c r="Z998" s="423" t="str">
        <f aca="false">IF(ABS(t-T_para)&lt;pas/2,"Para","")</f>
        <v/>
      </c>
      <c r="AA998" s="424" t="str">
        <f aca="false">IF(ABS(t-T_satellite)&lt;pas/2,"Satellite","")</f>
        <v/>
      </c>
      <c r="AB998" s="412"/>
      <c r="AC998" s="420" t="e">
        <f aca="false">IF(ABS(t-ROUND(t,0))&lt;0.001,t,NA())</f>
        <v>#N/A</v>
      </c>
      <c r="AD998" s="425" t="e">
        <f aca="false">IF(ABS(t-ROUND(t,0))&lt;0.001,pos_x,NA())</f>
        <v>#N/A</v>
      </c>
      <c r="AE998" s="426" t="e">
        <f aca="false">IF(t&lt;T_para, pos_z, NA())</f>
        <v>#N/A</v>
      </c>
      <c r="AF998" s="412"/>
      <c r="AG998" s="418" t="n">
        <f aca="false">IF(AND(L997&lt;L_rampe,Poussee&lt;Poids*SIN(M997)),0,(-W997+Poussee)/m-Poids*SIN(M997)/m)</f>
        <v>1.88296194204377</v>
      </c>
      <c r="AH998" s="417" t="n">
        <f aca="false">IF(AND(L997&lt;L_rampe,Poussee&lt;Poids*SIN(M997)), g*SIN(M997), (-W997+Poussee)/m)</f>
        <v>-7.87753456162625</v>
      </c>
    </row>
    <row r="999" customFormat="false" ht="12" hidden="false" customHeight="false" outlineLevel="0" collapsed="false">
      <c r="A999" s="416" t="n">
        <f aca="false">IF(B998+0.01&lt;=T_ini+ROUNDUP(Temps_fin_propu,0), 0.01, IF(K998&gt;0, 0.1, 0.0001))</f>
        <v>0.0001</v>
      </c>
      <c r="B999" s="417" t="n">
        <f aca="false">B998+pas</f>
        <v>36.3272000000011</v>
      </c>
      <c r="C999" s="401"/>
      <c r="D999" s="418" t="n">
        <f aca="false">IF(AND(L998&lt;L_rampe,Poussee&lt;Poids*SIN(M998)),0,(-W998+Poussee)/m*COS(M998)-U998/m*SIN(M998))</f>
        <v>-0.790384851093326</v>
      </c>
      <c r="E999" s="419" t="n">
        <f aca="false">IF(AND(L998&lt;L_rampe,Poussee&lt;Poids*SIN(M998)),0,(-W998+Poussee)/m*SIN(M998)+U998/m*COS(M998)-Poids/m)</f>
        <v>-1.97218318949707</v>
      </c>
      <c r="F999" s="417" t="n">
        <f aca="false">SQRT(acc_x^2+acc_z^2)</f>
        <v>2.12466814956423</v>
      </c>
      <c r="G999" s="418" t="n">
        <f aca="false">G998+acc_x*pas</f>
        <v>12.4555087865196</v>
      </c>
      <c r="H999" s="419" t="n">
        <f aca="false">H998+acc_z*pas</f>
        <v>-123.515489173213</v>
      </c>
      <c r="I999" s="417" t="n">
        <f aca="false">SQRT(vit_x^2+vit_z^2)</f>
        <v>124.141917839339</v>
      </c>
      <c r="J999" s="418" t="n">
        <f aca="false">J998+0.5*(vit_x+G998)*pas*(K998&gt;=0)</f>
        <v>913.614336176273</v>
      </c>
      <c r="K999" s="419" t="n">
        <f aca="false">K998+0.5*(vit_z+H998)*pas</f>
        <v>-12.0649502965307</v>
      </c>
      <c r="L999" s="417" t="n">
        <f aca="false">SQRT(pos_x^2+pos_z^2)</f>
        <v>913.693995981406</v>
      </c>
      <c r="M999" s="418" t="n">
        <f aca="false">IF(AND(L998&gt;L_rampe,G999&gt;0),ATAN2(G999,H999),$M$4)</f>
        <v>-1.47029440259412</v>
      </c>
      <c r="N999" s="417" t="n">
        <f aca="false">DEGREES(Beta)</f>
        <v>-84.2416639103519</v>
      </c>
      <c r="O999" s="401"/>
      <c r="P999" s="420" t="n">
        <f aca="false">MATCH(t-pas/2-T_ini,CdP_t)</f>
        <v>23</v>
      </c>
      <c r="Q999" s="417" t="n">
        <f aca="false">(INDEX(CdP,2,i_P+1)-INDEX(CdP,2,i_P+0))/(INDEX(CdP,1,i_P+1)-INDEX(CdP,1,i_P+0))*(t-pas/2-T_ini-INDEX(CdP,1,i_P+0))+INDEX(CdP,2,i_P+0)</f>
        <v>0</v>
      </c>
      <c r="R999" s="418" t="n">
        <f aca="false">Poussee/(g*ISP)</f>
        <v>0</v>
      </c>
      <c r="S999" s="419" t="n">
        <f aca="false">S998-Débit*pas</f>
        <v>7.37799999999998</v>
      </c>
      <c r="T999" s="417" t="n">
        <f aca="false">m*g</f>
        <v>72.3781799999998</v>
      </c>
      <c r="U999" s="421" t="n">
        <f aca="false">IF(pos_xz&lt;L_rampe,Poids*COS(Beta),0)</f>
        <v>0</v>
      </c>
      <c r="V999" s="418" t="n">
        <f aca="false">Rho_moyen*(20000-Alt_rampe-pos_z)/(20000+Alt_rampe+pos_z)</f>
        <v>1.22647884852302</v>
      </c>
      <c r="W999" s="417" t="n">
        <f aca="false">1/2*Rho*Sref*Cx*vit_xz^2</f>
        <v>58.1209461948171</v>
      </c>
      <c r="X999" s="401"/>
      <c r="Y999" s="422" t="str">
        <f aca="false">IF(AND(pos_z&lt;=0,K998&gt;0),"Impact balistique","") &amp; IF(AND(H1000&lt;0,vit_z&gt;=0),"Apogée","") &amp; IF(AND(Poussee=0,Q998&gt;0),"Fin de propulsion","") &amp; IF(AND(L1000&gt;L_rampe,pos_xz&lt;=L_rampe),"Sortie de rampe","")</f>
        <v/>
      </c>
      <c r="Z999" s="423" t="str">
        <f aca="false">IF(ABS(t-T_para)&lt;pas/2,"Para","")</f>
        <v/>
      </c>
      <c r="AA999" s="424" t="str">
        <f aca="false">IF(ABS(t-T_satellite)&lt;pas/2,"Satellite","")</f>
        <v/>
      </c>
      <c r="AB999" s="412"/>
      <c r="AC999" s="420" t="e">
        <f aca="false">IF(ABS(t-ROUND(t,0))&lt;0.001,t,NA())</f>
        <v>#N/A</v>
      </c>
      <c r="AD999" s="425" t="e">
        <f aca="false">IF(ABS(t-ROUND(t,0))&lt;0.001,pos_x,NA())</f>
        <v>#N/A</v>
      </c>
      <c r="AE999" s="426" t="e">
        <f aca="false">IF(t&lt;T_para, pos_z, NA())</f>
        <v>#N/A</v>
      </c>
      <c r="AF999" s="412"/>
      <c r="AG999" s="418" t="n">
        <f aca="false">IF(AND(L998&lt;L_rampe,Poussee&lt;Poids*SIN(M998)),0,(-W998+Poussee)/m-Poids*SIN(M998)/m)</f>
        <v>1.88292909535765</v>
      </c>
      <c r="AH999" s="417" t="n">
        <f aca="false">IF(AND(L998&lt;L_rampe,Poussee&lt;Poids*SIN(M998)), g*SIN(M998), (-W998+Poussee)/m)</f>
        <v>-7.87756818871408</v>
      </c>
    </row>
    <row r="1000" customFormat="false" ht="12" hidden="false" customHeight="false" outlineLevel="0" collapsed="false">
      <c r="A1000" s="416" t="n">
        <f aca="false">IF(B999+0.01&lt;=T_ini+ROUNDUP(Temps_fin_propu,0), 0.01, IF(K999&gt;0, 0.1, 0.0001))</f>
        <v>0.0001</v>
      </c>
      <c r="B1000" s="417" t="n">
        <f aca="false">B999+pas</f>
        <v>36.3273000000011</v>
      </c>
      <c r="C1000" s="401"/>
      <c r="D1000" s="418" t="n">
        <f aca="false">IF(AND(L999&lt;L_rampe,Poussee&lt;Poids*SIN(M999)),0,(-W999+Poussee)/m*COS(M999)-U999/m*SIN(M999))</f>
        <v>-0.790382010665769</v>
      </c>
      <c r="E1000" s="419" t="n">
        <f aca="false">IF(AND(L999&lt;L_rampe,Poussee&lt;Poids*SIN(M999)),0,(-W999+Poussee)/m*SIN(M999)+U999/m*COS(M999)-Poids/m)</f>
        <v>-1.97214910572361</v>
      </c>
      <c r="F1000" s="417" t="n">
        <f aca="false">SQRT(acc_x^2+acc_z^2)</f>
        <v>2.1246354553171</v>
      </c>
      <c r="G1000" s="418" t="n">
        <f aca="false">G999+acc_x*pas</f>
        <v>12.4554297483186</v>
      </c>
      <c r="H1000" s="419" t="n">
        <f aca="false">H999+acc_z*pas</f>
        <v>-123.515686388124</v>
      </c>
      <c r="I1000" s="417" t="n">
        <f aca="false">SQRT(vit_x^2+vit_z^2)</f>
        <v>124.142106129003</v>
      </c>
      <c r="J1000" s="418" t="n">
        <f aca="false">J999+0.5*(vit_x+G999)*pas*(K999&gt;=0)</f>
        <v>913.614336176273</v>
      </c>
      <c r="K1000" s="419" t="n">
        <f aca="false">K999+0.5*(vit_z+H999)*pas</f>
        <v>-12.0773018553088</v>
      </c>
      <c r="L1000" s="417" t="n">
        <f aca="false">SQRT(pos_x^2+pos_z^2)</f>
        <v>913.694159162089</v>
      </c>
      <c r="M1000" s="418" t="n">
        <f aca="false">IF(AND(L999&gt;L_rampe,G1000&gt;0),ATAN2(G1000,H1000),$M$4)</f>
        <v>-1.47029519544757</v>
      </c>
      <c r="N1000" s="417" t="n">
        <f aca="false">DEGREES(Beta)</f>
        <v>-84.2417093375084</v>
      </c>
      <c r="O1000" s="401"/>
      <c r="P1000" s="420" t="n">
        <f aca="false">MATCH(t-pas/2-T_ini,CdP_t)</f>
        <v>23</v>
      </c>
      <c r="Q1000" s="417" t="n">
        <f aca="false">(INDEX(CdP,2,i_P+1)-INDEX(CdP,2,i_P+0))/(INDEX(CdP,1,i_P+1)-INDEX(CdP,1,i_P+0))*(t-pas/2-T_ini-INDEX(CdP,1,i_P+0))+INDEX(CdP,2,i_P+0)</f>
        <v>0</v>
      </c>
      <c r="R1000" s="418" t="n">
        <f aca="false">Poussee/(g*ISP)</f>
        <v>0</v>
      </c>
      <c r="S1000" s="419" t="n">
        <f aca="false">S999-Débit*pas</f>
        <v>7.37799999999998</v>
      </c>
      <c r="T1000" s="417" t="n">
        <f aca="false">m*g</f>
        <v>72.3781799999998</v>
      </c>
      <c r="U1000" s="421" t="n">
        <f aca="false">IF(pos_xz&lt;L_rampe,Poids*COS(Beta),0)</f>
        <v>0</v>
      </c>
      <c r="V1000" s="418" t="n">
        <f aca="false">Rho_moyen*(20000-Alt_rampe-pos_z)/(20000+Alt_rampe+pos_z)</f>
        <v>1.22648036341707</v>
      </c>
      <c r="W1000" s="417" t="n">
        <f aca="false">1/2*Rho*Sref*Cx*vit_xz^2</f>
        <v>58.1211942911325</v>
      </c>
      <c r="X1000" s="401"/>
      <c r="Y1000" s="422" t="str">
        <f aca="false">IF(AND(pos_z&lt;=0,K999&gt;0),"Impact balistique","") &amp; IF(AND(H1001&lt;0,vit_z&gt;=0),"Apogée","") &amp; IF(AND(Poussee=0,Q999&gt;0),"Fin de propulsion","") &amp; IF(AND(L1001&gt;L_rampe,pos_xz&lt;=L_rampe),"Sortie de rampe","")</f>
        <v/>
      </c>
      <c r="Z1000" s="423" t="str">
        <f aca="false">IF(ABS(t-T_para)&lt;pas/2,"Para","")</f>
        <v/>
      </c>
      <c r="AA1000" s="424" t="str">
        <f aca="false">IF(ABS(t-T_satellite)&lt;pas/2,"Satellite","")</f>
        <v/>
      </c>
      <c r="AB1000" s="412"/>
      <c r="AC1000" s="420" t="e">
        <f aca="false">IF(ABS(t-ROUND(t,0))&lt;0.001,t,NA())</f>
        <v>#N/A</v>
      </c>
      <c r="AD1000" s="425" t="e">
        <f aca="false">IF(ABS(t-ROUND(t,0))&lt;0.001,pos_x,NA())</f>
        <v>#N/A</v>
      </c>
      <c r="AE1000" s="426" t="e">
        <f aca="false">IF(t&lt;T_para, pos_z, NA())</f>
        <v>#N/A</v>
      </c>
      <c r="AF1000" s="412"/>
      <c r="AG1000" s="418" t="n">
        <f aca="false">IF(AND(L999&lt;L_rampe,Poussee&lt;Poids*SIN(M999)),0,(-W999+Poussee)/m-Poids*SIN(M999)/m)</f>
        <v>1.88289624895211</v>
      </c>
      <c r="AH1000" s="417" t="n">
        <f aca="false">IF(AND(L999&lt;L_rampe,Poussee&lt;Poids*SIN(M999)), g*SIN(M999), (-W999+Poussee)/m)</f>
        <v>-7.87760181550789</v>
      </c>
    </row>
    <row r="1001" customFormat="false" ht="12" hidden="false" customHeight="false" outlineLevel="0" collapsed="false">
      <c r="A1001" s="416" t="n">
        <f aca="false">IF(B1000+0.01&lt;=T_ini+ROUNDUP(Temps_fin_propu,0), 0.01, IF(K1000&gt;0, 0.1, 0.0001))</f>
        <v>0.0001</v>
      </c>
      <c r="B1001" s="417" t="n">
        <f aca="false">B1000+pas</f>
        <v>36.3274000000011</v>
      </c>
      <c r="C1001" s="401"/>
      <c r="D1001" s="418" t="n">
        <f aca="false">IF(AND(L1000&lt;L_rampe,Poussee&lt;Poids*SIN(M1000)),0,(-W1000+Poussee)/m*COS(M1000)-U1000/m*SIN(M1000))</f>
        <v>-0.790379170213447</v>
      </c>
      <c r="E1001" s="419" t="n">
        <f aca="false">IF(AND(L1000&lt;L_rampe,Poussee&lt;Poids*SIN(M1000)),0,(-W1000+Poussee)/m*SIN(M1000)+U1000/m*COS(M1000)-Poids/m)</f>
        <v>-1.97211502224815</v>
      </c>
      <c r="F1001" s="417" t="n">
        <f aca="false">SQRT(acc_x^2+acc_z^2)</f>
        <v>2.12460276138485</v>
      </c>
      <c r="G1001" s="418" t="n">
        <f aca="false">G1000+acc_x*pas</f>
        <v>12.4553507104015</v>
      </c>
      <c r="H1001" s="419" t="n">
        <f aca="false">H1000+acc_z*pas</f>
        <v>-123.515883599626</v>
      </c>
      <c r="I1001" s="417" t="n">
        <f aca="false">SQRT(vit_x^2+vit_z^2)</f>
        <v>124.142294415382</v>
      </c>
      <c r="J1001" s="418" t="n">
        <f aca="false">J1000+0.5*(vit_x+G1000)*pas*(K1000&gt;=0)</f>
        <v>913.614336176273</v>
      </c>
      <c r="K1001" s="419" t="n">
        <f aca="false">K1000+0.5*(vit_z+H1000)*pas</f>
        <v>-12.0896534338082</v>
      </c>
      <c r="L1001" s="417" t="n">
        <f aca="false">SQRT(pos_x^2+pos_z^2)</f>
        <v>913.694322509975</v>
      </c>
      <c r="M1001" s="418" t="n">
        <f aca="false">IF(AND(L1000&gt;L_rampe,G1001&gt;0),ATAN2(G1001,H1001),$M$4)</f>
        <v>-1.47029598829359</v>
      </c>
      <c r="N1001" s="417" t="n">
        <f aca="false">DEGREES(Beta)</f>
        <v>-84.2417547642388</v>
      </c>
      <c r="O1001" s="401"/>
      <c r="P1001" s="420" t="n">
        <f aca="false">MATCH(t-pas/2-T_ini,CdP_t)</f>
        <v>23</v>
      </c>
      <c r="Q1001" s="417" t="n">
        <f aca="false">(INDEX(CdP,2,i_P+1)-INDEX(CdP,2,i_P+0))/(INDEX(CdP,1,i_P+1)-INDEX(CdP,1,i_P+0))*(t-pas/2-T_ini-INDEX(CdP,1,i_P+0))+INDEX(CdP,2,i_P+0)</f>
        <v>0</v>
      </c>
      <c r="R1001" s="418" t="n">
        <f aca="false">Poussee/(g*ISP)</f>
        <v>0</v>
      </c>
      <c r="S1001" s="419" t="n">
        <f aca="false">S1000-Débit*pas</f>
        <v>7.37799999999998</v>
      </c>
      <c r="T1001" s="417" t="n">
        <f aca="false">m*g</f>
        <v>72.3781799999998</v>
      </c>
      <c r="U1001" s="421" t="n">
        <f aca="false">IF(pos_xz&lt;L_rampe,Poids*COS(Beta),0)</f>
        <v>0</v>
      </c>
      <c r="V1001" s="418" t="n">
        <f aca="false">Rho_moyen*(20000-Alt_rampe-pos_z)/(20000+Alt_rampe+pos_z)</f>
        <v>1.22648187831541</v>
      </c>
      <c r="W1001" s="417" t="n">
        <f aca="false">1/2*Rho*Sref*Cx*vit_xz^2</f>
        <v>58.1214423852786</v>
      </c>
      <c r="X1001" s="401"/>
      <c r="Y1001" s="422" t="str">
        <f aca="false">IF(AND(pos_z&lt;=0,K1000&gt;0),"Impact balistique","") &amp; IF(AND(H1002&lt;0,vit_z&gt;=0),"Apogée","") &amp; IF(AND(Poussee=0,Q1000&gt;0),"Fin de propulsion","") &amp; IF(AND(L1002&gt;L_rampe,pos_xz&lt;=L_rampe),"Sortie de rampe","")</f>
        <v/>
      </c>
      <c r="Z1001" s="423" t="str">
        <f aca="false">IF(ABS(t-T_para)&lt;pas/2,"Para","")</f>
        <v/>
      </c>
      <c r="AA1001" s="424" t="str">
        <f aca="false">IF(ABS(t-T_satellite)&lt;pas/2,"Satellite","")</f>
        <v/>
      </c>
      <c r="AB1001" s="412"/>
      <c r="AC1001" s="420" t="e">
        <f aca="false">IF(ABS(t-ROUND(t,0))&lt;0.001,t,NA())</f>
        <v>#N/A</v>
      </c>
      <c r="AD1001" s="425" t="e">
        <f aca="false">IF(ABS(t-ROUND(t,0))&lt;0.001,pos_x,NA())</f>
        <v>#N/A</v>
      </c>
      <c r="AE1001" s="426" t="e">
        <f aca="false">IF(t&lt;T_para, pos_z, NA())</f>
        <v>#N/A</v>
      </c>
      <c r="AF1001" s="412"/>
      <c r="AG1001" s="418" t="n">
        <f aca="false">IF(AND(L1000&lt;L_rampe,Poussee&lt;Poids*SIN(M1000)),0,(-W1000+Poussee)/m-Poids*SIN(M1000)/m)</f>
        <v>1.88286340282713</v>
      </c>
      <c r="AH1001" s="417" t="n">
        <f aca="false">IF(AND(L1000&lt;L_rampe,Poussee&lt;Poids*SIN(M1000)), g*SIN(M1000), (-W1000+Poussee)/m)</f>
        <v>-7.87763544200768</v>
      </c>
    </row>
    <row r="1002" customFormat="false" ht="12" hidden="false" customHeight="false" outlineLevel="0" collapsed="false">
      <c r="A1002" s="416" t="n">
        <f aca="false">IF(B1001+0.01&lt;=T_ini+ROUNDUP(Temps_fin_propu,0), 0.01, IF(K1001&gt;0, 0.1, 0.0001))</f>
        <v>0.0001</v>
      </c>
      <c r="B1002" s="417" t="n">
        <f aca="false">B1001+pas</f>
        <v>36.3275000000011</v>
      </c>
      <c r="C1002" s="401"/>
      <c r="D1002" s="418" t="n">
        <f aca="false">IF(AND(L1001&lt;L_rampe,Poussee&lt;Poids*SIN(M1001)),0,(-W1001+Poussee)/m*COS(M1001)-U1001/m*SIN(M1001))</f>
        <v>-0.790376329736359</v>
      </c>
      <c r="E1002" s="419" t="n">
        <f aca="false">IF(AND(L1001&lt;L_rampe,Poussee&lt;Poids*SIN(M1001)),0,(-W1001+Poussee)/m*SIN(M1001)+U1001/m*COS(M1001)-Poids/m)</f>
        <v>-1.97208093907068</v>
      </c>
      <c r="F1002" s="417" t="n">
        <f aca="false">SQRT(acc_x^2+acc_z^2)</f>
        <v>2.12457006776745</v>
      </c>
      <c r="G1002" s="418" t="n">
        <f aca="false">G1001+acc_x*pas</f>
        <v>12.4552716727686</v>
      </c>
      <c r="H1002" s="419" t="n">
        <f aca="false">H1001+acc_z*pas</f>
        <v>-123.51608080772</v>
      </c>
      <c r="I1002" s="417" t="n">
        <f aca="false">SQRT(vit_x^2+vit_z^2)</f>
        <v>124.142482698477</v>
      </c>
      <c r="J1002" s="418" t="n">
        <f aca="false">J1001+0.5*(vit_x+G1001)*pas*(K1001&gt;=0)</f>
        <v>913.614336176273</v>
      </c>
      <c r="K1002" s="419" t="n">
        <f aca="false">K1001+0.5*(vit_z+H1001)*pas</f>
        <v>-12.1020050320286</v>
      </c>
      <c r="L1002" s="417" t="n">
        <f aca="false">SQRT(pos_x^2+pos_z^2)</f>
        <v>913.694486025065</v>
      </c>
      <c r="M1002" s="418" t="n">
        <f aca="false">IF(AND(L1001&gt;L_rampe,G1002&gt;0),ATAN2(G1002,H1002),$M$4)</f>
        <v>-1.47029678113216</v>
      </c>
      <c r="N1002" s="417" t="n">
        <f aca="false">DEGREES(Beta)</f>
        <v>-84.2418001905431</v>
      </c>
      <c r="O1002" s="401"/>
      <c r="P1002" s="420" t="n">
        <f aca="false">MATCH(t-pas/2-T_ini,CdP_t)</f>
        <v>23</v>
      </c>
      <c r="Q1002" s="417" t="n">
        <f aca="false">(INDEX(CdP,2,i_P+1)-INDEX(CdP,2,i_P+0))/(INDEX(CdP,1,i_P+1)-INDEX(CdP,1,i_P+0))*(t-pas/2-T_ini-INDEX(CdP,1,i_P+0))+INDEX(CdP,2,i_P+0)</f>
        <v>0</v>
      </c>
      <c r="R1002" s="418" t="n">
        <f aca="false">Poussee/(g*ISP)</f>
        <v>0</v>
      </c>
      <c r="S1002" s="419" t="n">
        <f aca="false">S1001-Débit*pas</f>
        <v>7.37799999999998</v>
      </c>
      <c r="T1002" s="417" t="n">
        <f aca="false">m*g</f>
        <v>72.3781799999998</v>
      </c>
      <c r="U1002" s="421" t="n">
        <f aca="false">IF(pos_xz&lt;L_rampe,Poids*COS(Beta),0)</f>
        <v>0</v>
      </c>
      <c r="V1002" s="418" t="n">
        <f aca="false">Rho_moyen*(20000-Alt_rampe-pos_z)/(20000+Alt_rampe+pos_z)</f>
        <v>1.22648339321803</v>
      </c>
      <c r="W1002" s="417" t="n">
        <f aca="false">1/2*Rho*Sref*Cx*vit_xz^2</f>
        <v>58.1216904772554</v>
      </c>
      <c r="X1002" s="401"/>
      <c r="Y1002" s="422" t="str">
        <f aca="false">IF(AND(pos_z&lt;=0,K1001&gt;0),"Impact balistique","") &amp; IF(AND(H1003&lt;0,vit_z&gt;=0),"Apogée","") &amp; IF(AND(Poussee=0,Q1001&gt;0),"Fin de propulsion","") &amp; IF(AND(L1003&gt;L_rampe,pos_xz&lt;=L_rampe),"Sortie de rampe","")</f>
        <v/>
      </c>
      <c r="Z1002" s="423" t="str">
        <f aca="false">IF(ABS(t-T_para)&lt;pas/2,"Para","")</f>
        <v/>
      </c>
      <c r="AA1002" s="424" t="str">
        <f aca="false">IF(ABS(t-T_satellite)&lt;pas/2,"Satellite","")</f>
        <v/>
      </c>
      <c r="AB1002" s="412"/>
      <c r="AC1002" s="420" t="e">
        <f aca="false">IF(ABS(t-ROUND(t,0))&lt;0.001,t,NA())</f>
        <v>#N/A</v>
      </c>
      <c r="AD1002" s="425" t="e">
        <f aca="false">IF(ABS(t-ROUND(t,0))&lt;0.001,pos_x,NA())</f>
        <v>#N/A</v>
      </c>
      <c r="AE1002" s="426" t="e">
        <f aca="false">IF(t&lt;T_para, pos_z, NA())</f>
        <v>#N/A</v>
      </c>
      <c r="AF1002" s="412"/>
      <c r="AG1002" s="418" t="n">
        <f aca="false">IF(AND(L1001&lt;L_rampe,Poussee&lt;Poids*SIN(M1001)),0,(-W1001+Poussee)/m-Poids*SIN(M1001)/m)</f>
        <v>1.88283055698273</v>
      </c>
      <c r="AH1002" s="417" t="n">
        <f aca="false">IF(AND(L1001&lt;L_rampe,Poussee&lt;Poids*SIN(M1001)), g*SIN(M1001), (-W1001+Poussee)/m)</f>
        <v>-7.87766906821343</v>
      </c>
    </row>
    <row r="1003" customFormat="false" ht="12" hidden="false" customHeight="false" outlineLevel="0" collapsed="false">
      <c r="A1003" s="416" t="n">
        <f aca="false">IF(B1002+0.01&lt;=T_ini+ROUNDUP(Temps_fin_propu,0), 0.01, IF(K1002&gt;0, 0.1, 0.0001))</f>
        <v>0.0001</v>
      </c>
      <c r="B1003" s="417" t="n">
        <f aca="false">B1002+pas</f>
        <v>36.3276000000011</v>
      </c>
      <c r="C1003" s="401"/>
      <c r="D1003" s="418" t="n">
        <f aca="false">IF(AND(L1002&lt;L_rampe,Poussee&lt;Poids*SIN(M1002)),0,(-W1002+Poussee)/m*COS(M1002)-U1002/m*SIN(M1002))</f>
        <v>-0.790373489234508</v>
      </c>
      <c r="E1003" s="419" t="n">
        <f aca="false">IF(AND(L1002&lt;L_rampe,Poussee&lt;Poids*SIN(M1002)),0,(-W1002+Poussee)/m*SIN(M1002)+U1002/m*COS(M1002)-Poids/m)</f>
        <v>-1.9720468561912</v>
      </c>
      <c r="F1003" s="417" t="n">
        <f aca="false">SQRT(acc_x^2+acc_z^2)</f>
        <v>2.12453737446493</v>
      </c>
      <c r="G1003" s="418" t="n">
        <f aca="false">G1002+acc_x*pas</f>
        <v>12.4551926354196</v>
      </c>
      <c r="H1003" s="419" t="n">
        <f aca="false">H1002+acc_z*pas</f>
        <v>-123.516278012406</v>
      </c>
      <c r="I1003" s="417" t="n">
        <f aca="false">SQRT(vit_x^2+vit_z^2)</f>
        <v>124.142670978287</v>
      </c>
      <c r="J1003" s="418" t="n">
        <f aca="false">J1002+0.5*(vit_x+G1002)*pas*(K1002&gt;=0)</f>
        <v>913.614336176273</v>
      </c>
      <c r="K1003" s="419" t="n">
        <f aca="false">K1002+0.5*(vit_z+H1002)*pas</f>
        <v>-12.1143566499696</v>
      </c>
      <c r="L1003" s="417" t="n">
        <f aca="false">SQRT(pos_x^2+pos_z^2)</f>
        <v>913.69464970736</v>
      </c>
      <c r="M1003" s="418" t="n">
        <f aca="false">IF(AND(L1002&gt;L_rampe,G1003&gt;0),ATAN2(G1003,H1003),$M$4)</f>
        <v>-1.4702975739633</v>
      </c>
      <c r="N1003" s="417" t="n">
        <f aca="false">DEGREES(Beta)</f>
        <v>-84.2418456164214</v>
      </c>
      <c r="O1003" s="401"/>
      <c r="P1003" s="420" t="n">
        <f aca="false">MATCH(t-pas/2-T_ini,CdP_t)</f>
        <v>23</v>
      </c>
      <c r="Q1003" s="417" t="n">
        <f aca="false">(INDEX(CdP,2,i_P+1)-INDEX(CdP,2,i_P+0))/(INDEX(CdP,1,i_P+1)-INDEX(CdP,1,i_P+0))*(t-pas/2-T_ini-INDEX(CdP,1,i_P+0))+INDEX(CdP,2,i_P+0)</f>
        <v>0</v>
      </c>
      <c r="R1003" s="418" t="n">
        <f aca="false">Poussee/(g*ISP)</f>
        <v>0</v>
      </c>
      <c r="S1003" s="419" t="n">
        <f aca="false">S1002-Débit*pas</f>
        <v>7.37799999999998</v>
      </c>
      <c r="T1003" s="417" t="n">
        <f aca="false">m*g</f>
        <v>72.3781799999998</v>
      </c>
      <c r="U1003" s="421" t="n">
        <f aca="false">IF(pos_xz&lt;L_rampe,Poids*COS(Beta),0)</f>
        <v>0</v>
      </c>
      <c r="V1003" s="418" t="n">
        <f aca="false">Rho_moyen*(20000-Alt_rampe-pos_z)/(20000+Alt_rampe+pos_z)</f>
        <v>1.22648490812495</v>
      </c>
      <c r="W1003" s="417" t="n">
        <f aca="false">1/2*Rho*Sref*Cx*vit_xz^2</f>
        <v>58.1219385670629</v>
      </c>
      <c r="X1003" s="401"/>
      <c r="Y1003" s="422" t="str">
        <f aca="false">IF(AND(pos_z&lt;=0,K1002&gt;0),"Impact balistique","") &amp; IF(AND(H1004&lt;0,vit_z&gt;=0),"Apogée","") &amp; IF(AND(Poussee=0,Q1002&gt;0),"Fin de propulsion","") &amp; IF(AND(L1004&gt;L_rampe,pos_xz&lt;=L_rampe),"Sortie de rampe","")</f>
        <v/>
      </c>
      <c r="Z1003" s="423" t="str">
        <f aca="false">IF(ABS(t-T_para)&lt;pas/2,"Para","")</f>
        <v/>
      </c>
      <c r="AA1003" s="424" t="str">
        <f aca="false">IF(ABS(t-T_satellite)&lt;pas/2,"Satellite","")</f>
        <v/>
      </c>
      <c r="AB1003" s="412"/>
      <c r="AC1003" s="420" t="e">
        <f aca="false">IF(ABS(t-ROUND(t,0))&lt;0.001,t,NA())</f>
        <v>#N/A</v>
      </c>
      <c r="AD1003" s="425" t="e">
        <f aca="false">IF(ABS(t-ROUND(t,0))&lt;0.001,pos_x,NA())</f>
        <v>#N/A</v>
      </c>
      <c r="AE1003" s="426" t="e">
        <f aca="false">IF(t&lt;T_para, pos_z, NA())</f>
        <v>#N/A</v>
      </c>
      <c r="AF1003" s="412"/>
      <c r="AG1003" s="418" t="n">
        <f aca="false">IF(AND(L1002&lt;L_rampe,Poussee&lt;Poids*SIN(M1002)),0,(-W1002+Poussee)/m-Poids*SIN(M1002)/m)</f>
        <v>1.8827977114189</v>
      </c>
      <c r="AH1003" s="417" t="n">
        <f aca="false">IF(AND(L1002&lt;L_rampe,Poussee&lt;Poids*SIN(M1002)), g*SIN(M1002), (-W1002+Poussee)/m)</f>
        <v>-7.87770269412517</v>
      </c>
    </row>
    <row r="1004" customFormat="false" ht="12" hidden="false" customHeight="false" outlineLevel="0" collapsed="false">
      <c r="A1004" s="427" t="n">
        <f aca="false">IF(B1003+0.01&lt;=T_ini+ROUNDUP(Temps_fin_propu,0), 0.01, IF(K1003&gt;0, 0.1, 0.0001))</f>
        <v>0.0001</v>
      </c>
      <c r="B1004" s="428" t="n">
        <f aca="false">B1003+pas</f>
        <v>36.3277000000011</v>
      </c>
      <c r="C1004" s="401"/>
      <c r="D1004" s="429" t="n">
        <f aca="false">IF(AND(L1003&lt;L_rampe,Poussee&lt;Poids*SIN(M1003)),0,(-W1003+Poussee)/m*COS(M1003)-U1003/m*SIN(M1003))</f>
        <v>-0.790370648707893</v>
      </c>
      <c r="E1004" s="430" t="n">
        <f aca="false">IF(AND(L1003&lt;L_rampe,Poussee&lt;Poids*SIN(M1003)),0,(-W1003+Poussee)/m*SIN(M1003)+U1003/m*COS(M1003)-Poids/m)</f>
        <v>-1.97201277360972</v>
      </c>
      <c r="F1004" s="428" t="n">
        <f aca="false">SQRT(acc_x^2+acc_z^2)</f>
        <v>2.12450468147727</v>
      </c>
      <c r="G1004" s="429" t="n">
        <f aca="false">G1003+acc_x*pas</f>
        <v>12.4551135983548</v>
      </c>
      <c r="H1004" s="430" t="n">
        <f aca="false">H1003+acc_z*pas</f>
        <v>-123.516475213683</v>
      </c>
      <c r="I1004" s="428" t="n">
        <f aca="false">SQRT(vit_x^2+vit_z^2)</f>
        <v>124.142859254813</v>
      </c>
      <c r="J1004" s="429" t="n">
        <f aca="false">J1003+0.5*(vit_x+G1003)*pas*(K1003&gt;=0)</f>
        <v>913.614336176273</v>
      </c>
      <c r="K1004" s="430" t="n">
        <f aca="false">K1003+0.5*(vit_z+H1003)*pas</f>
        <v>-12.1267082876309</v>
      </c>
      <c r="L1004" s="428" t="n">
        <f aca="false">SQRT(pos_x^2+pos_z^2)</f>
        <v>913.69481355686</v>
      </c>
      <c r="M1004" s="429" t="n">
        <f aca="false">IF(AND(L1003&gt;L_rampe,G1004&gt;0),ATAN2(G1004,H1004),$M$4)</f>
        <v>-1.47029836678701</v>
      </c>
      <c r="N1004" s="428" t="n">
        <f aca="false">DEGREES(Beta)</f>
        <v>-84.2418910418736</v>
      </c>
      <c r="O1004" s="401"/>
      <c r="P1004" s="431" t="n">
        <f aca="false">MATCH(t-pas/2-T_ini,CdP_t)</f>
        <v>23</v>
      </c>
      <c r="Q1004" s="428" t="n">
        <f aca="false">(INDEX(CdP,2,i_P+1)-INDEX(CdP,2,i_P+0))/(INDEX(CdP,1,i_P+1)-INDEX(CdP,1,i_P+0))*(t-pas/2-T_ini-INDEX(CdP,1,i_P+0))+INDEX(CdP,2,i_P+0)</f>
        <v>0</v>
      </c>
      <c r="R1004" s="429" t="n">
        <f aca="false">Poussee/(g*ISP)</f>
        <v>0</v>
      </c>
      <c r="S1004" s="430" t="n">
        <f aca="false">S1003-Débit*pas</f>
        <v>7.37799999999998</v>
      </c>
      <c r="T1004" s="428" t="n">
        <f aca="false">m*g</f>
        <v>72.3781799999998</v>
      </c>
      <c r="U1004" s="432" t="n">
        <f aca="false">IF(pos_xz&lt;L_rampe,Poids*COS(Beta),0)</f>
        <v>0</v>
      </c>
      <c r="V1004" s="429" t="n">
        <f aca="false">Rho_moyen*(20000-Alt_rampe-pos_z)/(20000+Alt_rampe+pos_z)</f>
        <v>1.22648642303616</v>
      </c>
      <c r="W1004" s="428" t="n">
        <f aca="false">1/2*Rho*Sref*Cx*vit_xz^2</f>
        <v>58.122186654701</v>
      </c>
      <c r="X1004" s="401"/>
      <c r="Y1004" s="433" t="str">
        <f aca="false">IF(AND(pos_z&lt;=0,K1003&gt;0),"Impact balistique","") &amp; IF(AND(H1005&lt;0,vit_z&gt;=0),"Apogée","") &amp; IF(AND(Poussee=0,Q1003&gt;0),"Fin de propulsion","") &amp; IF(AND(L1005&gt;L_rampe,pos_xz&lt;=L_rampe),"Sortie de rampe","")</f>
        <v/>
      </c>
      <c r="Z1004" s="434" t="str">
        <f aca="false">IF(ABS(t-T_para)&lt;pas/2,"Para","")</f>
        <v/>
      </c>
      <c r="AA1004" s="435" t="str">
        <f aca="false">IF(ABS(t-T_satellite)&lt;pas/2,"Satellite","")</f>
        <v/>
      </c>
      <c r="AB1004" s="412"/>
      <c r="AC1004" s="431" t="e">
        <f aca="false">IF(ABS(t-ROUND(t,0))&lt;0.001,t,NA())</f>
        <v>#N/A</v>
      </c>
      <c r="AD1004" s="436" t="e">
        <f aca="false">IF(ABS(t-ROUND(t,0))&lt;0.001,pos_x,NA())</f>
        <v>#N/A</v>
      </c>
      <c r="AE1004" s="437" t="e">
        <f aca="false">IF(t&lt;T_para, pos_z, NA())</f>
        <v>#N/A</v>
      </c>
      <c r="AF1004" s="412"/>
      <c r="AG1004" s="429" t="n">
        <f aca="false">IF(AND(L1003&lt;L_rampe,Poussee&lt;Poids*SIN(M1003)),0,(-W1003+Poussee)/m-Poids*SIN(M1003)/m)</f>
        <v>1.88276486613563</v>
      </c>
      <c r="AH1004" s="428" t="n">
        <f aca="false">IF(AND(L1003&lt;L_rampe,Poussee&lt;Poids*SIN(M1003)), g*SIN(M1003), (-W1003+Poussee)/m)</f>
        <v>-7.87773631974288</v>
      </c>
    </row>
    <row r="1034" customFormat="false" ht="12" hidden="false" customHeight="false" outlineLevel="0" collapsed="false">
      <c r="E1034" s="438" t="s">
        <v>335</v>
      </c>
      <c r="J1034" s="439" t="s">
        <v>336</v>
      </c>
      <c r="T1034" s="438" t="s">
        <v>337</v>
      </c>
      <c r="Y1034" s="440" t="s">
        <v>338</v>
      </c>
    </row>
    <row r="1035" customFormat="false" ht="12" hidden="false" customHeight="false" outlineLevel="0" collapsed="false">
      <c r="E1035" s="441" t="s">
        <v>339</v>
      </c>
    </row>
    <row r="1036" customFormat="false" ht="12" hidden="false" customHeight="false" outlineLevel="0" collapsed="false">
      <c r="E1036" s="441"/>
      <c r="T1036" s="441" t="s">
        <v>340</v>
      </c>
    </row>
    <row r="1037" customFormat="false" ht="12" hidden="false" customHeight="false" outlineLevel="0" collapsed="false">
      <c r="E1037" s="441"/>
      <c r="T1037" s="441" t="s">
        <v>341</v>
      </c>
    </row>
    <row r="1038" customFormat="false" ht="12" hidden="false" customHeight="false" outlineLevel="0" collapsed="false">
      <c r="E1038" s="441"/>
      <c r="T1038" s="441" t="s">
        <v>342</v>
      </c>
    </row>
    <row r="1039" customFormat="false" ht="12" hidden="false" customHeight="false" outlineLevel="0" collapsed="false">
      <c r="E1039" s="441"/>
      <c r="T1039" s="441" t="s">
        <v>343</v>
      </c>
    </row>
    <row r="1040" customFormat="false" ht="12" hidden="false" customHeight="false" outlineLevel="0" collapsed="false">
      <c r="E1040" s="441" t="s">
        <v>344</v>
      </c>
      <c r="T1040" s="441" t="s">
        <v>345</v>
      </c>
    </row>
    <row r="1041" customFormat="false" ht="12" hidden="false" customHeight="false" outlineLevel="0" collapsed="false">
      <c r="E1041" s="441"/>
      <c r="T1041" s="441" t="s">
        <v>346</v>
      </c>
    </row>
    <row r="1042" customFormat="false" ht="12" hidden="false" customHeight="false" outlineLevel="0" collapsed="false">
      <c r="E1042" s="441"/>
      <c r="T1042" s="441"/>
    </row>
    <row r="1043" customFormat="false" ht="12" hidden="false" customHeight="false" outlineLevel="0" collapsed="false">
      <c r="E1043" s="441"/>
    </row>
    <row r="1044" customFormat="false" ht="12" hidden="false" customHeight="false" outlineLevel="0" collapsed="false">
      <c r="E1044" s="441"/>
    </row>
    <row r="1045" customFormat="false" ht="12" hidden="false" customHeight="false" outlineLevel="0" collapsed="false">
      <c r="E1045" s="441" t="s">
        <v>347</v>
      </c>
      <c r="T1045" s="441"/>
    </row>
    <row r="1046" customFormat="false" ht="12" hidden="false" customHeight="false" outlineLevel="0" collapsed="false">
      <c r="E1046" s="441"/>
    </row>
    <row r="1047" customFormat="false" ht="12" hidden="false" customHeight="false" outlineLevel="0" collapsed="false">
      <c r="E1047" s="441"/>
    </row>
    <row r="1048" customFormat="false" ht="12" hidden="false" customHeight="false" outlineLevel="0" collapsed="false">
      <c r="E1048" s="441"/>
      <c r="T1048" s="442" t="s">
        <v>348</v>
      </c>
    </row>
    <row r="1049" customFormat="false" ht="12" hidden="false" customHeight="false" outlineLevel="0" collapsed="false">
      <c r="E1049" s="441"/>
    </row>
    <row r="1050" customFormat="false" ht="12" hidden="false" customHeight="false" outlineLevel="0" collapsed="false">
      <c r="E1050" s="441" t="s">
        <v>349</v>
      </c>
    </row>
    <row r="1053" customFormat="false" ht="12" hidden="false" customHeight="false" outlineLevel="0" collapsed="false">
      <c r="T1053" s="442" t="s">
        <v>350</v>
      </c>
    </row>
    <row r="1055" customFormat="false" ht="12" hidden="false" customHeight="false" outlineLevel="0" collapsed="false">
      <c r="E1055" s="441" t="s">
        <v>351</v>
      </c>
    </row>
    <row r="1058" customFormat="false" ht="12" hidden="false" customHeight="false" outlineLevel="0" collapsed="false">
      <c r="T1058" s="441" t="s">
        <v>352</v>
      </c>
    </row>
    <row r="1060" customFormat="false" ht="12" hidden="false" customHeight="false" outlineLevel="0" collapsed="false">
      <c r="E1060" s="441" t="s">
        <v>353</v>
      </c>
    </row>
    <row r="1061" customFormat="false" ht="12" hidden="false" customHeight="false" outlineLevel="0" collapsed="false">
      <c r="E1061" s="441"/>
    </row>
    <row r="1062" customFormat="false" ht="12" hidden="false" customHeight="false" outlineLevel="0" collapsed="false">
      <c r="E1062" s="441"/>
    </row>
    <row r="1063" customFormat="false" ht="12" hidden="false" customHeight="false" outlineLevel="0" collapsed="false">
      <c r="E1063" s="441"/>
    </row>
    <row r="1064" customFormat="false" ht="12" hidden="false" customHeight="false" outlineLevel="0" collapsed="false">
      <c r="E1064" s="441"/>
    </row>
    <row r="1065" customFormat="false" ht="12" hidden="false" customHeight="false" outlineLevel="0" collapsed="false">
      <c r="E1065" s="441" t="s">
        <v>354</v>
      </c>
    </row>
    <row r="1066" customFormat="false" ht="12" hidden="false" customHeight="false" outlineLevel="0" collapsed="false">
      <c r="E1066" s="441"/>
    </row>
    <row r="1067" customFormat="false" ht="12" hidden="false" customHeight="false" outlineLevel="0" collapsed="false">
      <c r="E1067" s="441"/>
    </row>
    <row r="1068" customFormat="false" ht="12" hidden="false" customHeight="false" outlineLevel="0" collapsed="false">
      <c r="E1068" s="441"/>
    </row>
    <row r="1069" customFormat="false" ht="12" hidden="false" customHeight="false" outlineLevel="0" collapsed="false">
      <c r="E1069" s="441"/>
    </row>
    <row r="1070" customFormat="false" ht="12" hidden="false" customHeight="false" outlineLevel="0" collapsed="false">
      <c r="E1070" s="441" t="s">
        <v>355</v>
      </c>
    </row>
    <row r="1071" customFormat="false" ht="12" hidden="false" customHeight="false" outlineLevel="0" collapsed="false">
      <c r="E1071" s="441"/>
    </row>
    <row r="1072" customFormat="false" ht="12" hidden="false" customHeight="false" outlineLevel="0" collapsed="false">
      <c r="E1072" s="441"/>
    </row>
    <row r="1073" customFormat="false" ht="12" hidden="false" customHeight="false" outlineLevel="0" collapsed="false">
      <c r="E1073" s="441"/>
    </row>
    <row r="1074" customFormat="false" ht="12" hidden="false" customHeight="false" outlineLevel="0" collapsed="false">
      <c r="E1074" s="441"/>
    </row>
    <row r="1075" customFormat="false" ht="12" hidden="false" customHeight="false" outlineLevel="0" collapsed="false">
      <c r="E1075" s="441" t="s">
        <v>356</v>
      </c>
    </row>
  </sheetData>
  <sheetProtection sheet="true" password="c6ac"/>
  <mergeCells count="5">
    <mergeCell ref="D1:N1"/>
    <mergeCell ref="P1:W1"/>
    <mergeCell ref="AC1:AE1"/>
    <mergeCell ref="AG1:AH1"/>
    <mergeCell ref="Y2:AA2"/>
  </mergeCells>
  <conditionalFormatting sqref="A4:XFD1004">
    <cfRule type="expression" priority="2" aboveAverage="0" equalAverage="0" bottom="0" percent="0" rank="0" text="" dxfId="48">
      <formula>OR($Y4="Sortie de rampe",$Z4="Para")</formula>
    </cfRule>
    <cfRule type="expression" priority="3" aboveAverage="0" equalAverage="0" bottom="0" percent="0" rank="0" text="" dxfId="49">
      <formula>OR($Y4="Fin de propulsion",$Y4="Impact balistique",$AA4="Satellite")</formula>
    </cfRule>
    <cfRule type="expression" priority="4" aboveAverage="0" equalAverage="0" bottom="0" percent="0" rank="0" text="" dxfId="50">
      <formula>$Y4="Apogée"</formula>
    </cfRule>
  </conditionalFormatting>
  <hyperlinks>
    <hyperlink ref="J1034" r:id="rId1" display="Wikipedia"/>
    <hyperlink ref="Y1034" r:id="rId2" display="Le Vol de la Fusée"/>
  </hyperlinks>
  <printOptions headings="false" gridLines="false" gridLinesSet="true" horizontalCentered="false" verticalCentered="false"/>
  <pageMargins left="0.39375" right="0.39375" top="0.39375" bottom="0.39375" header="0.511811023622047" footer="0.511811023622047"/>
  <pageSetup paperSize="9" scale="100" fitToWidth="1" fitToHeight="5" pageOrder="downThenOver" orientation="portrait" blackAndWhite="false" draft="false" cellComments="none" horizontalDpi="300" verticalDpi="300" copies="1"/>
  <headerFooter differentFirst="false" differentOddEven="false">
    <oddHeader/>
    <oddFooter/>
  </headerFooter>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M7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80" activeCellId="0" sqref="B80"/>
    </sheetView>
  </sheetViews>
  <sheetFormatPr defaultColWidth="10.6796875" defaultRowHeight="12" zeroHeight="false" outlineLevelRow="0" outlineLevelCol="0"/>
  <cols>
    <col collapsed="false" customWidth="true" hidden="false" outlineLevel="0" max="1" min="1" style="243" width="2.18"/>
    <col collapsed="false" customWidth="true" hidden="false" outlineLevel="0" max="2" min="2" style="243" width="16.27"/>
    <col collapsed="false" customWidth="true" hidden="false" outlineLevel="0" max="4" min="3" style="243" width="11.36"/>
  </cols>
  <sheetData>
    <row r="1" customFormat="false" ht="12.75" hidden="false" customHeight="false" outlineLevel="0" collapsed="false">
      <c r="A1" s="155"/>
      <c r="B1" s="156"/>
      <c r="C1" s="157"/>
      <c r="D1" s="156"/>
      <c r="E1" s="443"/>
      <c r="F1" s="443"/>
      <c r="G1" s="443"/>
      <c r="H1" s="443"/>
      <c r="I1" s="443"/>
      <c r="J1" s="443"/>
      <c r="K1" s="443"/>
      <c r="L1" s="443"/>
      <c r="M1" s="444"/>
    </row>
    <row r="2" customFormat="false" ht="12.75" hidden="false" customHeight="true" outlineLevel="0" collapsed="false">
      <c r="A2" s="160"/>
      <c r="B2" s="161"/>
      <c r="C2" s="162" t="s">
        <v>357</v>
      </c>
      <c r="D2" s="162"/>
      <c r="E2" s="180"/>
      <c r="F2" s="180"/>
      <c r="G2" s="180"/>
      <c r="H2" s="180"/>
      <c r="I2" s="180"/>
      <c r="J2" s="180"/>
      <c r="K2" s="180"/>
      <c r="L2" s="180"/>
      <c r="M2" s="445"/>
    </row>
    <row r="3" customFormat="false" ht="12.75" hidden="false" customHeight="true" outlineLevel="0" collapsed="false">
      <c r="A3" s="160"/>
      <c r="B3" s="161"/>
      <c r="C3" s="162"/>
      <c r="D3" s="162"/>
      <c r="E3" s="180"/>
      <c r="F3" s="180"/>
      <c r="G3" s="180"/>
      <c r="H3" s="180"/>
      <c r="I3" s="180"/>
      <c r="J3" s="180"/>
      <c r="K3" s="180"/>
      <c r="L3" s="180"/>
      <c r="M3" s="445"/>
    </row>
    <row r="4" customFormat="false" ht="12.75" hidden="false" customHeight="false" outlineLevel="0" collapsed="false">
      <c r="A4" s="160"/>
      <c r="B4" s="161"/>
      <c r="C4" s="169" t="str">
        <f aca="false">IF(Lang="Français","Abaques de performance",IF(Lang="English","Performance charts",""))</f>
        <v>Abaques de performance</v>
      </c>
      <c r="D4" s="169"/>
      <c r="E4" s="180"/>
      <c r="F4" s="180"/>
      <c r="G4" s="180"/>
      <c r="H4" s="180"/>
      <c r="I4" s="180"/>
      <c r="J4" s="180"/>
      <c r="K4" s="180"/>
      <c r="L4" s="180"/>
      <c r="M4" s="445"/>
    </row>
    <row r="5" customFormat="false" ht="12.75" hidden="false" customHeight="false" outlineLevel="0" collapsed="false">
      <c r="A5" s="160"/>
      <c r="B5" s="161"/>
      <c r="C5" s="169" t="str">
        <f aca="false">IF(Lang="Français","Calcul analytique simple",IF(Lang="English","Analytical computation",""))</f>
        <v>Calcul analytique simple</v>
      </c>
      <c r="D5" s="169"/>
      <c r="E5" s="180"/>
      <c r="F5" s="180"/>
      <c r="G5" s="180"/>
      <c r="H5" s="180"/>
      <c r="I5" s="180"/>
      <c r="J5" s="180"/>
      <c r="K5" s="180"/>
      <c r="L5" s="180"/>
      <c r="M5" s="445"/>
    </row>
    <row r="6" customFormat="false" ht="12.75" hidden="false" customHeight="false" outlineLevel="0" collapsed="false">
      <c r="A6" s="160"/>
      <c r="B6" s="19"/>
      <c r="C6" s="163"/>
      <c r="D6" s="163"/>
      <c r="E6" s="180"/>
      <c r="F6" s="180"/>
      <c r="G6" s="180"/>
      <c r="H6" s="180"/>
      <c r="I6" s="180"/>
      <c r="J6" s="180"/>
      <c r="K6" s="180"/>
      <c r="L6" s="180"/>
      <c r="M6" s="445"/>
    </row>
    <row r="7" customFormat="false" ht="12.75" hidden="false" customHeight="false" outlineLevel="0" collapsed="false">
      <c r="A7" s="176"/>
      <c r="B7" s="171"/>
      <c r="C7" s="172" t="str">
        <f aca="false">IF(Lang="Français","Fusée",IF(Lang="English","Rocket",""))</f>
        <v>Fusée</v>
      </c>
      <c r="D7" s="172"/>
      <c r="E7" s="180"/>
      <c r="F7" s="180"/>
      <c r="G7" s="180"/>
      <c r="H7" s="180"/>
      <c r="I7" s="180"/>
      <c r="J7" s="180"/>
      <c r="K7" s="180"/>
      <c r="L7" s="180"/>
      <c r="M7" s="445"/>
    </row>
    <row r="8" customFormat="false" ht="15" hidden="false" customHeight="false" outlineLevel="0" collapsed="false">
      <c r="A8" s="176"/>
      <c r="B8" s="174" t="str">
        <f aca="false">IF(Lang="Français","Nom",IF(Lang="English","Name",""))</f>
        <v>Nom</v>
      </c>
      <c r="C8" s="175" t="str">
        <f aca="false">Nom</f>
        <v>EAGLE</v>
      </c>
      <c r="D8" s="175"/>
      <c r="E8" s="180"/>
      <c r="F8" s="180"/>
      <c r="G8" s="180"/>
      <c r="H8" s="180"/>
      <c r="I8" s="180"/>
      <c r="J8" s="180"/>
      <c r="K8" s="180"/>
      <c r="L8" s="180"/>
      <c r="M8" s="445"/>
    </row>
    <row r="9" customFormat="false" ht="15" hidden="false" customHeight="false" outlineLevel="0" collapsed="false">
      <c r="A9" s="176"/>
      <c r="B9" s="174" t="s">
        <v>6</v>
      </c>
      <c r="C9" s="175" t="str">
        <f aca="false">Club</f>
        <v>Dominus</v>
      </c>
      <c r="D9" s="175"/>
      <c r="E9" s="180"/>
      <c r="F9" s="180"/>
      <c r="G9" s="180"/>
      <c r="H9" s="180"/>
      <c r="I9" s="180"/>
      <c r="J9" s="180"/>
      <c r="K9" s="180"/>
      <c r="L9" s="180"/>
      <c r="M9" s="445"/>
    </row>
    <row r="10" customFormat="false" ht="12.75" hidden="false" customHeight="false" outlineLevel="0" collapsed="false">
      <c r="A10" s="176"/>
      <c r="B10" s="174" t="str">
        <f aca="false">IF(Lang="Français","Masse sans propu",IF(Lang="English","Mass without M",""))</f>
        <v>Masse sans propu</v>
      </c>
      <c r="C10" s="446" t="n">
        <f aca="false">MasseSans</f>
        <v>6.726</v>
      </c>
      <c r="D10" s="446"/>
      <c r="E10" s="180"/>
      <c r="F10" s="180"/>
      <c r="G10" s="180"/>
      <c r="H10" s="180"/>
      <c r="I10" s="180"/>
      <c r="J10" s="180"/>
      <c r="K10" s="180"/>
      <c r="L10" s="180"/>
      <c r="M10" s="445"/>
    </row>
    <row r="11" customFormat="false" ht="12.75" hidden="false" customHeight="false" outlineLevel="0" collapsed="false">
      <c r="A11" s="176"/>
      <c r="B11" s="174" t="str">
        <f aca="false">IF(Lang="Français","Masse totale",IF(Lang="English","Total mass",""))</f>
        <v>Masse totale</v>
      </c>
      <c r="C11" s="447" t="str">
        <f aca="false">MassePlein &amp; " kg ±" &amp; MasseSans &amp; " kg"</f>
        <v>8,411 kg ±6,726 kg</v>
      </c>
      <c r="D11" s="447"/>
      <c r="E11" s="180"/>
      <c r="F11" s="180"/>
      <c r="G11" s="180"/>
      <c r="H11" s="180"/>
      <c r="I11" s="180"/>
      <c r="J11" s="180"/>
      <c r="K11" s="180"/>
      <c r="L11" s="180"/>
      <c r="M11" s="445"/>
    </row>
    <row r="12" customFormat="false" ht="12.75" hidden="false" customHeight="false" outlineLevel="0" collapsed="false">
      <c r="A12" s="176"/>
      <c r="B12" s="178" t="str">
        <f aca="false">IF(Lang="Français","Propulseur",IF(Lang="English","Motor",""))</f>
        <v>Propulseur</v>
      </c>
      <c r="C12" s="179" t="str">
        <f aca="false">Propu</f>
        <v>Barasinga (Pro54-5G C)</v>
      </c>
      <c r="D12" s="179"/>
      <c r="E12" s="180"/>
      <c r="F12" s="180"/>
      <c r="G12" s="180"/>
      <c r="H12" s="180"/>
      <c r="I12" s="180"/>
      <c r="J12" s="180"/>
      <c r="K12" s="180"/>
      <c r="L12" s="180"/>
      <c r="M12" s="445"/>
    </row>
    <row r="13" customFormat="false" ht="12" hidden="false" customHeight="false" outlineLevel="0" collapsed="false">
      <c r="A13" s="176"/>
      <c r="B13" s="163"/>
      <c r="C13" s="163"/>
      <c r="D13" s="163"/>
      <c r="E13" s="180"/>
      <c r="F13" s="180"/>
      <c r="G13" s="180"/>
      <c r="H13" s="180"/>
      <c r="I13" s="180"/>
      <c r="J13" s="180"/>
      <c r="K13" s="180"/>
      <c r="L13" s="180"/>
      <c r="M13" s="445"/>
    </row>
    <row r="14" customFormat="false" ht="12.75" hidden="false" customHeight="false" outlineLevel="0" collapsed="false">
      <c r="A14" s="240"/>
      <c r="B14" s="180"/>
      <c r="C14" s="172" t="str">
        <f aca="false">IF(Lang="Français","Traînée Aérdynamique",IF(Lang="English","Drag",""))</f>
        <v>Traînée Aérdynamique</v>
      </c>
      <c r="D14" s="172"/>
      <c r="E14" s="180"/>
      <c r="F14" s="180"/>
      <c r="G14" s="180"/>
      <c r="H14" s="180"/>
      <c r="I14" s="180"/>
      <c r="J14" s="180"/>
      <c r="K14" s="180"/>
      <c r="L14" s="180"/>
      <c r="M14" s="445"/>
    </row>
    <row r="15" customFormat="false" ht="12.75" hidden="false" customHeight="false" outlineLevel="0" collapsed="false">
      <c r="A15" s="240"/>
      <c r="B15" s="24" t="str">
        <f aca="false">IF(Lang="Français","Diamètre Ø",IF(Lang="English","Diameter Ø",""))</f>
        <v>Diamètre Ø</v>
      </c>
      <c r="C15" s="448" t="n">
        <f aca="false">D_ref</f>
        <v>120</v>
      </c>
      <c r="D15" s="448"/>
      <c r="E15" s="180"/>
      <c r="F15" s="180"/>
      <c r="G15" s="180"/>
      <c r="H15" s="180"/>
      <c r="I15" s="180"/>
      <c r="J15" s="180"/>
      <c r="K15" s="180"/>
      <c r="L15" s="180"/>
      <c r="M15" s="445"/>
    </row>
    <row r="16" customFormat="false" ht="12.75" hidden="false" customHeight="false" outlineLevel="0" collapsed="false">
      <c r="A16" s="240"/>
      <c r="B16" s="174" t="s">
        <v>160</v>
      </c>
      <c r="C16" s="449" t="n">
        <f aca="false">Cx</f>
        <v>0.5</v>
      </c>
      <c r="D16" s="449"/>
      <c r="E16" s="180"/>
      <c r="F16" s="180"/>
      <c r="G16" s="180"/>
      <c r="H16" s="180"/>
      <c r="I16" s="180"/>
      <c r="J16" s="180"/>
      <c r="K16" s="180"/>
      <c r="L16" s="180"/>
      <c r="M16" s="445"/>
    </row>
    <row r="17" customFormat="false" ht="12" hidden="false" customHeight="false" outlineLevel="0" collapsed="false">
      <c r="A17" s="240"/>
      <c r="B17" s="180"/>
      <c r="C17" s="180"/>
      <c r="D17" s="180"/>
      <c r="E17" s="180"/>
      <c r="F17" s="180"/>
      <c r="G17" s="180"/>
      <c r="H17" s="180"/>
      <c r="I17" s="180"/>
      <c r="J17" s="180"/>
      <c r="K17" s="180"/>
      <c r="L17" s="180"/>
      <c r="M17" s="445"/>
    </row>
    <row r="18" customFormat="false" ht="12" hidden="false" customHeight="false" outlineLevel="0" collapsed="false">
      <c r="A18" s="240"/>
      <c r="B18" s="180"/>
      <c r="C18" s="180"/>
      <c r="D18" s="180"/>
      <c r="E18" s="180"/>
      <c r="F18" s="180"/>
      <c r="G18" s="180"/>
      <c r="H18" s="180"/>
      <c r="I18" s="180"/>
      <c r="J18" s="180"/>
      <c r="K18" s="180"/>
      <c r="L18" s="180"/>
      <c r="M18" s="445"/>
    </row>
    <row r="19" customFormat="false" ht="12" hidden="false" customHeight="false" outlineLevel="0" collapsed="false">
      <c r="A19" s="240"/>
      <c r="B19" s="180"/>
      <c r="C19" s="180"/>
      <c r="D19" s="180"/>
      <c r="E19" s="180"/>
      <c r="F19" s="180"/>
      <c r="G19" s="180"/>
      <c r="H19" s="180"/>
      <c r="I19" s="180"/>
      <c r="J19" s="180"/>
      <c r="K19" s="180"/>
      <c r="L19" s="180"/>
      <c r="M19" s="445"/>
    </row>
    <row r="20" customFormat="false" ht="12" hidden="false" customHeight="false" outlineLevel="0" collapsed="false">
      <c r="A20" s="240"/>
      <c r="B20" s="180"/>
      <c r="C20" s="180"/>
      <c r="D20" s="180"/>
      <c r="E20" s="180"/>
      <c r="F20" s="180"/>
      <c r="G20" s="180"/>
      <c r="H20" s="180"/>
      <c r="I20" s="180"/>
      <c r="J20" s="180"/>
      <c r="K20" s="180"/>
      <c r="L20" s="180"/>
      <c r="M20" s="445"/>
    </row>
    <row r="21" customFormat="false" ht="12" hidden="false" customHeight="false" outlineLevel="0" collapsed="false">
      <c r="A21" s="240"/>
      <c r="B21" s="180"/>
      <c r="C21" s="180"/>
      <c r="D21" s="180"/>
      <c r="E21" s="180"/>
      <c r="F21" s="180"/>
      <c r="G21" s="180"/>
      <c r="H21" s="180"/>
      <c r="I21" s="180"/>
      <c r="J21" s="180"/>
      <c r="K21" s="180"/>
      <c r="L21" s="180"/>
      <c r="M21" s="445"/>
    </row>
    <row r="22" customFormat="false" ht="12" hidden="false" customHeight="false" outlineLevel="0" collapsed="false">
      <c r="A22" s="240"/>
      <c r="B22" s="180"/>
      <c r="C22" s="180"/>
      <c r="D22" s="180"/>
      <c r="E22" s="180"/>
      <c r="F22" s="180"/>
      <c r="G22" s="180"/>
      <c r="H22" s="180"/>
      <c r="I22" s="180"/>
      <c r="J22" s="180"/>
      <c r="K22" s="180"/>
      <c r="L22" s="180"/>
      <c r="M22" s="445"/>
    </row>
    <row r="23" customFormat="false" ht="12" hidden="false" customHeight="false" outlineLevel="0" collapsed="false">
      <c r="A23" s="240"/>
      <c r="B23" s="180"/>
      <c r="C23" s="180"/>
      <c r="D23" s="180"/>
      <c r="E23" s="180"/>
      <c r="F23" s="180"/>
      <c r="G23" s="180"/>
      <c r="H23" s="180"/>
      <c r="I23" s="180"/>
      <c r="J23" s="180"/>
      <c r="K23" s="180"/>
      <c r="L23" s="180"/>
      <c r="M23" s="445"/>
    </row>
    <row r="24" customFormat="false" ht="12" hidden="false" customHeight="false" outlineLevel="0" collapsed="false">
      <c r="A24" s="240"/>
      <c r="B24" s="180"/>
      <c r="C24" s="180"/>
      <c r="D24" s="180"/>
      <c r="E24" s="180"/>
      <c r="F24" s="180"/>
      <c r="G24" s="180"/>
      <c r="H24" s="180"/>
      <c r="I24" s="180"/>
      <c r="J24" s="180"/>
      <c r="K24" s="180"/>
      <c r="L24" s="180"/>
      <c r="M24" s="445"/>
    </row>
    <row r="25" customFormat="false" ht="12" hidden="false" customHeight="false" outlineLevel="0" collapsed="false">
      <c r="A25" s="240"/>
      <c r="B25" s="180"/>
      <c r="C25" s="180"/>
      <c r="D25" s="180"/>
      <c r="E25" s="180"/>
      <c r="F25" s="180"/>
      <c r="G25" s="180"/>
      <c r="H25" s="180"/>
      <c r="I25" s="180"/>
      <c r="J25" s="180"/>
      <c r="K25" s="180"/>
      <c r="L25" s="180"/>
      <c r="M25" s="445"/>
    </row>
    <row r="26" customFormat="false" ht="12" hidden="false" customHeight="false" outlineLevel="0" collapsed="false">
      <c r="A26" s="240"/>
      <c r="B26" s="180"/>
      <c r="C26" s="180"/>
      <c r="D26" s="180"/>
      <c r="E26" s="180"/>
      <c r="F26" s="180"/>
      <c r="G26" s="180"/>
      <c r="H26" s="180"/>
      <c r="I26" s="180"/>
      <c r="J26" s="180"/>
      <c r="K26" s="180"/>
      <c r="L26" s="180"/>
      <c r="M26" s="445"/>
    </row>
    <row r="27" customFormat="false" ht="12" hidden="false" customHeight="false" outlineLevel="0" collapsed="false">
      <c r="A27" s="240"/>
      <c r="B27" s="180"/>
      <c r="C27" s="180"/>
      <c r="D27" s="180"/>
      <c r="E27" s="180"/>
      <c r="F27" s="180"/>
      <c r="G27" s="180"/>
      <c r="H27" s="180"/>
      <c r="I27" s="180"/>
      <c r="J27" s="180"/>
      <c r="K27" s="180"/>
      <c r="L27" s="180"/>
      <c r="M27" s="445"/>
    </row>
    <row r="28" customFormat="false" ht="12" hidden="false" customHeight="false" outlineLevel="0" collapsed="false">
      <c r="A28" s="240"/>
      <c r="B28" s="180"/>
      <c r="C28" s="180"/>
      <c r="D28" s="180"/>
      <c r="E28" s="180"/>
      <c r="F28" s="180"/>
      <c r="G28" s="180"/>
      <c r="H28" s="180"/>
      <c r="I28" s="180"/>
      <c r="J28" s="180"/>
      <c r="K28" s="180"/>
      <c r="L28" s="180"/>
      <c r="M28" s="445"/>
    </row>
    <row r="29" customFormat="false" ht="12" hidden="false" customHeight="false" outlineLevel="0" collapsed="false">
      <c r="A29" s="240"/>
      <c r="B29" s="180"/>
      <c r="C29" s="180"/>
      <c r="D29" s="180"/>
      <c r="E29" s="180"/>
      <c r="F29" s="180"/>
      <c r="G29" s="180"/>
      <c r="H29" s="180"/>
      <c r="I29" s="180"/>
      <c r="J29" s="180"/>
      <c r="K29" s="180"/>
      <c r="L29" s="180"/>
      <c r="M29" s="445"/>
    </row>
    <row r="30" customFormat="false" ht="12" hidden="false" customHeight="false" outlineLevel="0" collapsed="false">
      <c r="A30" s="240"/>
      <c r="B30" s="180"/>
      <c r="C30" s="180"/>
      <c r="D30" s="180"/>
      <c r="E30" s="180"/>
      <c r="F30" s="180"/>
      <c r="G30" s="180"/>
      <c r="H30" s="180"/>
      <c r="I30" s="180"/>
      <c r="J30" s="180"/>
      <c r="K30" s="180"/>
      <c r="L30" s="180"/>
      <c r="M30" s="445"/>
    </row>
    <row r="31" customFormat="false" ht="12" hidden="false" customHeight="false" outlineLevel="0" collapsed="false">
      <c r="A31" s="240"/>
      <c r="B31" s="180"/>
      <c r="C31" s="180"/>
      <c r="D31" s="180"/>
      <c r="E31" s="180"/>
      <c r="F31" s="180"/>
      <c r="G31" s="180"/>
      <c r="H31" s="180"/>
      <c r="I31" s="180"/>
      <c r="J31" s="180"/>
      <c r="K31" s="180"/>
      <c r="L31" s="180"/>
      <c r="M31" s="445"/>
    </row>
    <row r="32" customFormat="false" ht="12" hidden="false" customHeight="false" outlineLevel="0" collapsed="false">
      <c r="A32" s="240"/>
      <c r="B32" s="180"/>
      <c r="C32" s="180"/>
      <c r="D32" s="180"/>
      <c r="E32" s="180"/>
      <c r="F32" s="180"/>
      <c r="G32" s="180"/>
      <c r="H32" s="180"/>
      <c r="I32" s="180"/>
      <c r="J32" s="180"/>
      <c r="K32" s="180"/>
      <c r="L32" s="180"/>
      <c r="M32" s="445"/>
    </row>
    <row r="33" customFormat="false" ht="12" hidden="false" customHeight="false" outlineLevel="0" collapsed="false">
      <c r="A33" s="240"/>
      <c r="B33" s="180"/>
      <c r="C33" s="180"/>
      <c r="D33" s="180"/>
      <c r="E33" s="180"/>
      <c r="F33" s="180"/>
      <c r="G33" s="180"/>
      <c r="H33" s="180"/>
      <c r="I33" s="180"/>
      <c r="J33" s="180"/>
      <c r="K33" s="180"/>
      <c r="L33" s="180"/>
      <c r="M33" s="445"/>
    </row>
    <row r="34" customFormat="false" ht="12" hidden="false" customHeight="false" outlineLevel="0" collapsed="false">
      <c r="A34" s="240"/>
      <c r="B34" s="180"/>
      <c r="C34" s="180"/>
      <c r="D34" s="180"/>
      <c r="E34" s="180"/>
      <c r="F34" s="180"/>
      <c r="G34" s="180"/>
      <c r="H34" s="180"/>
      <c r="I34" s="180"/>
      <c r="J34" s="180"/>
      <c r="K34" s="180"/>
      <c r="L34" s="180"/>
      <c r="M34" s="445"/>
    </row>
    <row r="35" customFormat="false" ht="12.75" hidden="false" customHeight="false" outlineLevel="0" collapsed="false">
      <c r="A35" s="450"/>
      <c r="B35" s="451"/>
      <c r="C35" s="451"/>
      <c r="D35" s="451"/>
      <c r="E35" s="451"/>
      <c r="F35" s="451"/>
      <c r="G35" s="451"/>
      <c r="H35" s="451"/>
      <c r="I35" s="451"/>
      <c r="J35" s="451"/>
      <c r="K35" s="451"/>
      <c r="L35" s="451"/>
      <c r="M35" s="452"/>
    </row>
    <row r="39" customFormat="false" ht="12.75" hidden="false" customHeight="false" outlineLevel="0" collapsed="false">
      <c r="B39" s="251" t="s">
        <v>221</v>
      </c>
      <c r="C39" s="250" t="s">
        <v>358</v>
      </c>
      <c r="D39" s="251" t="s">
        <v>359</v>
      </c>
      <c r="E39" s="251" t="s">
        <v>360</v>
      </c>
      <c r="F39" s="251" t="s">
        <v>361</v>
      </c>
      <c r="G39" s="251" t="s">
        <v>163</v>
      </c>
      <c r="H39" s="251" t="s">
        <v>362</v>
      </c>
      <c r="I39" s="251" t="s">
        <v>363</v>
      </c>
      <c r="J39" s="251" t="s">
        <v>364</v>
      </c>
      <c r="K39" s="251" t="s">
        <v>365</v>
      </c>
      <c r="L39" s="251" t="s">
        <v>366</v>
      </c>
      <c r="M39" s="251" t="s">
        <v>367</v>
      </c>
    </row>
    <row r="40" customFormat="false" ht="12.75" hidden="false" customHeight="false" outlineLevel="0" collapsed="false">
      <c r="B40" s="258" t="s">
        <v>368</v>
      </c>
      <c r="C40" s="250" t="s">
        <v>369</v>
      </c>
      <c r="D40" s="251" t="s">
        <v>370</v>
      </c>
      <c r="E40" s="251" t="s">
        <v>371</v>
      </c>
      <c r="F40" s="251" t="s">
        <v>372</v>
      </c>
      <c r="G40" s="251" t="s">
        <v>373</v>
      </c>
      <c r="H40" s="251" t="s">
        <v>374</v>
      </c>
      <c r="I40" s="251" t="s">
        <v>375</v>
      </c>
      <c r="J40" s="251" t="s">
        <v>376</v>
      </c>
      <c r="K40" s="251" t="s">
        <v>377</v>
      </c>
      <c r="L40" s="251"/>
      <c r="M40" s="251"/>
    </row>
    <row r="41" customFormat="false" ht="12" hidden="false" customHeight="false" outlineLevel="0" collapsed="false">
      <c r="B41" s="453" t="n">
        <f aca="false">MAX(D_ref*0.5, Diam_propu)</f>
        <v>60</v>
      </c>
      <c r="C41" s="454" t="n">
        <f aca="false">1/2*Rho_moyen*PI()*D_var^2/4*Cx/10^6</f>
        <v>0.000865901475145687</v>
      </c>
      <c r="D41" s="455" t="n">
        <f aca="false">MpropuPlein+0*MasseSans</f>
        <v>1.685</v>
      </c>
      <c r="E41" s="455" t="n">
        <f aca="false">m_var - 0.5*m_poudre</f>
        <v>1.1685</v>
      </c>
      <c r="F41" s="455" t="n">
        <f aca="false">m_var - m_poudre</f>
        <v>0.652</v>
      </c>
      <c r="G41" s="456" t="n">
        <f aca="false">MAX(0, (I_total/Temps_fin_propu)/m_prop-g)</f>
        <v>480.872171152455</v>
      </c>
      <c r="H41" s="457" t="n">
        <f aca="false">Q_var/m_prop</f>
        <v>0.000741036778045089</v>
      </c>
      <c r="I41" s="454" t="n">
        <f aca="false">Q_var/m_bal</f>
        <v>0.00132806974715596</v>
      </c>
      <c r="J41" s="454" t="n">
        <f aca="false">1/(2*b_prop)*LN(  ((EXP(2*SQRT(a_prop*b_prop)*Temps_fin_propu)+1)^2)  /  (((1+1)^2)*EXP(2*SQRT(a_prop*b_prop)*Temps_fin_propu)))</f>
        <v>1975.00640133565</v>
      </c>
      <c r="K41" s="458" t="n">
        <f aca="false">SQRT(a_prop/b_prop)  *  (EXP(2*SQRT(a_prop*b_prop)*Temps_fin_propu)-1)/(EXP(2*SQRT(a_prop*b_prop)*Temps_fin_propu)+1)</f>
        <v>783.688280102067</v>
      </c>
      <c r="L41" s="459" t="n">
        <f aca="false">alt_prop + 1/(2*b_bal) * LN(1+b_bal/g*V_prop^2)</f>
        <v>3643.79942541672</v>
      </c>
      <c r="M41" s="460" t="n">
        <f aca="false">Temps_fin_propu + ATAN(SQRT(b_bal/g)*V_prop)/SQRT(b_bal*g)</f>
        <v>16.3948083813548</v>
      </c>
    </row>
    <row r="42" customFormat="false" ht="12" hidden="false" customHeight="false" outlineLevel="0" collapsed="false">
      <c r="B42" s="461" t="n">
        <f aca="false">MAX(D_ref*0.5, Diam_propu)</f>
        <v>60</v>
      </c>
      <c r="C42" s="462" t="n">
        <f aca="false">1/2*Rho_moyen*PI()*D_var^2/4*Cx/10^6</f>
        <v>0.000865901475145687</v>
      </c>
      <c r="D42" s="463" t="n">
        <f aca="false">MpropuPlein+0.25*MasseSans</f>
        <v>3.3665</v>
      </c>
      <c r="E42" s="463" t="n">
        <f aca="false">m_var - 0.5*m_poudre</f>
        <v>2.85</v>
      </c>
      <c r="F42" s="463" t="n">
        <f aca="false">m_var - m_poudre</f>
        <v>2.3335</v>
      </c>
      <c r="G42" s="464" t="n">
        <f aca="false">MAX(0, (I_total/Temps_fin_propu)/m_prop-g)</f>
        <v>191.369690172506</v>
      </c>
      <c r="H42" s="462" t="n">
        <f aca="false">Q_var/m_prop</f>
        <v>0.000303825078998487</v>
      </c>
      <c r="I42" s="462" t="n">
        <f aca="false">Q_var/m_bal</f>
        <v>0.000371074126910515</v>
      </c>
      <c r="J42" s="462" t="n">
        <f aca="false">1/(2*b_prop)*LN(  ((EXP(2*SQRT(a_prop*b_prop)*Temps_fin_propu)+1)^2)  /  (((1+1)^2)*EXP(2*SQRT(a_prop*b_prop)*Temps_fin_propu)))</f>
        <v>1104.31404451793</v>
      </c>
      <c r="K42" s="465" t="n">
        <f aca="false">SQRT(a_prop/b_prop)  *  (EXP(2*SQRT(a_prop*b_prop)*Temps_fin_propu)-1)/(EXP(2*SQRT(a_prop*b_prop)*Temps_fin_propu)+1)</f>
        <v>554.881129082295</v>
      </c>
      <c r="L42" s="466" t="n">
        <f aca="false">alt_prop + 1/(2*b_bal) * LN(1+b_bal/g*V_prop^2)</f>
        <v>4523.27017897293</v>
      </c>
      <c r="M42" s="467" t="n">
        <f aca="false">Temps_fin_propu + ATAN(SQRT(b_bal/g)*V_prop)/SQRT(b_bal*g)</f>
        <v>24.9004230576174</v>
      </c>
    </row>
    <row r="43" customFormat="false" ht="12" hidden="false" customHeight="false" outlineLevel="0" collapsed="false">
      <c r="B43" s="461" t="n">
        <f aca="false">MAX(D_ref*0.5, Diam_propu)</f>
        <v>60</v>
      </c>
      <c r="C43" s="462" t="n">
        <f aca="false">1/2*Rho_moyen*PI()*D_var^2/4*Cx/10^6</f>
        <v>0.000865901475145687</v>
      </c>
      <c r="D43" s="463" t="n">
        <f aca="false">MpropuPlein+0.5*MasseSans</f>
        <v>5.048</v>
      </c>
      <c r="E43" s="463" t="n">
        <f aca="false">m_var - 0.5*m_poudre</f>
        <v>4.5315</v>
      </c>
      <c r="F43" s="463" t="n">
        <f aca="false">m_var - m_poudre</f>
        <v>4.015</v>
      </c>
      <c r="G43" s="464" t="n">
        <f aca="false">MAX(0, (I_total/Temps_fin_propu)/m_prop-g)</f>
        <v>116.718107026734</v>
      </c>
      <c r="H43" s="462" t="n">
        <f aca="false">Q_var/m_prop</f>
        <v>0.00019108495534496</v>
      </c>
      <c r="I43" s="462" t="n">
        <f aca="false">Q_var/m_bal</f>
        <v>0.000215666618965302</v>
      </c>
      <c r="J43" s="462" t="n">
        <f aca="false">1/(2*b_prop)*LN(  ((EXP(2*SQRT(a_prop*b_prop)*Temps_fin_propu)+1)^2)  /  (((1+1)^2)*EXP(2*SQRT(a_prop*b_prop)*Temps_fin_propu)))</f>
        <v>718.64584650722</v>
      </c>
      <c r="K43" s="465" t="n">
        <f aca="false">SQRT(a_prop/b_prop)  *  (EXP(2*SQRT(a_prop*b_prop)*Temps_fin_propu)-1)/(EXP(2*SQRT(a_prop*b_prop)*Temps_fin_propu)+1)</f>
        <v>383.004995362228</v>
      </c>
      <c r="L43" s="466" t="n">
        <f aca="false">alt_prop + 1/(2*b_bal) * LN(1+b_bal/g*V_prop^2)</f>
        <v>4059.4667521374</v>
      </c>
      <c r="M43" s="467" t="n">
        <f aca="false">Temps_fin_propu + ATAN(SQRT(b_bal/g)*V_prop)/SQRT(b_bal*g)</f>
        <v>26.6940612531835</v>
      </c>
    </row>
    <row r="44" customFormat="false" ht="12" hidden="false" customHeight="false" outlineLevel="0" collapsed="false">
      <c r="B44" s="461" t="n">
        <f aca="false">MAX(D_ref*0.5, Diam_propu)</f>
        <v>60</v>
      </c>
      <c r="C44" s="462" t="n">
        <f aca="false">1/2*Rho_moyen*PI()*D_var^2/4*Cx/10^6</f>
        <v>0.000865901475145687</v>
      </c>
      <c r="D44" s="463" t="n">
        <f aca="false">MpropuPlein+0.75*MasseSans</f>
        <v>6.7295</v>
      </c>
      <c r="E44" s="463" t="n">
        <f aca="false">m_var - 0.5*m_poudre</f>
        <v>6.213</v>
      </c>
      <c r="F44" s="463" t="n">
        <f aca="false">m_var - m_poudre</f>
        <v>5.6965</v>
      </c>
      <c r="G44" s="464" t="n">
        <f aca="false">MAX(0, (I_total/Temps_fin_propu)/m_prop-g)</f>
        <v>82.4742615470213</v>
      </c>
      <c r="H44" s="462" t="n">
        <f aca="false">Q_var/m_prop</f>
        <v>0.000139369302292884</v>
      </c>
      <c r="I44" s="462" t="n">
        <f aca="false">Q_var/m_bal</f>
        <v>0.000152005876440918</v>
      </c>
      <c r="J44" s="462" t="n">
        <f aca="false">1/(2*b_prop)*LN(  ((EXP(2*SQRT(a_prop*b_prop)*Temps_fin_propu)+1)^2)  /  (((1+1)^2)*EXP(2*SQRT(a_prop*b_prop)*Temps_fin_propu)))</f>
        <v>518.84237857753</v>
      </c>
      <c r="K44" s="465" t="n">
        <f aca="false">SQRT(a_prop/b_prop)  *  (EXP(2*SQRT(a_prop*b_prop)*Temps_fin_propu)-1)/(EXP(2*SQRT(a_prop*b_prop)*Temps_fin_propu)+1)</f>
        <v>282.279326387368</v>
      </c>
      <c r="L44" s="466" t="n">
        <f aca="false">alt_prop + 1/(2*b_bal) * LN(1+b_bal/g*V_prop^2)</f>
        <v>3163.77897116377</v>
      </c>
      <c r="M44" s="467" t="n">
        <f aca="false">Temps_fin_propu + ATAN(SQRT(b_bal/g)*V_prop)/SQRT(b_bal*g)</f>
        <v>25.2910047225965</v>
      </c>
    </row>
    <row r="45" customFormat="false" ht="12" hidden="false" customHeight="false" outlineLevel="0" collapsed="false">
      <c r="B45" s="461" t="n">
        <f aca="false">MAX(D_ref*0.5, Diam_propu)</f>
        <v>60</v>
      </c>
      <c r="C45" s="462" t="n">
        <f aca="false">1/2*Rho_moyen*PI()*D_var^2/4*Cx/10^6</f>
        <v>0.000865901475145687</v>
      </c>
      <c r="D45" s="463" t="n">
        <f aca="false">MpropuPlein+1*MasseSans</f>
        <v>8.411</v>
      </c>
      <c r="E45" s="463" t="n">
        <f aca="false">m_var - 0.5*m_poudre</f>
        <v>7.8945</v>
      </c>
      <c r="F45" s="463" t="n">
        <f aca="false">m_var - m_poudre</f>
        <v>7.378</v>
      </c>
      <c r="G45" s="464" t="n">
        <f aca="false">MAX(0, (I_total/Temps_fin_propu)/m_prop-g)</f>
        <v>62.8180469936846</v>
      </c>
      <c r="H45" s="462" t="n">
        <f aca="false">Q_var/m_prop</f>
        <v>0.000109684144042775</v>
      </c>
      <c r="I45" s="462" t="n">
        <f aca="false">Q_var/m_bal</f>
        <v>0.000117362628780928</v>
      </c>
      <c r="J45" s="462" t="n">
        <f aca="false">1/(2*b_prop)*LN(  ((EXP(2*SQRT(a_prop*b_prop)*Temps_fin_propu)+1)^2)  /  (((1+1)^2)*EXP(2*SQRT(a_prop*b_prop)*Temps_fin_propu)))</f>
        <v>398.949652527721</v>
      </c>
      <c r="K45" s="465" t="n">
        <f aca="false">SQRT(a_prop/b_prop)  *  (EXP(2*SQRT(a_prop*b_prop)*Temps_fin_propu)-1)/(EXP(2*SQRT(a_prop*b_prop)*Temps_fin_propu)+1)</f>
        <v>219.070311660995</v>
      </c>
      <c r="L45" s="466" t="n">
        <f aca="false">alt_prop + 1/(2*b_bal) * LN(1+b_bal/g*V_prop^2)</f>
        <v>2331.92249044332</v>
      </c>
      <c r="M45" s="467" t="n">
        <f aca="false">Temps_fin_propu + ATAN(SQRT(b_bal/g)*V_prop)/SQRT(b_bal*g)</f>
        <v>22.700113377765</v>
      </c>
    </row>
    <row r="46" customFormat="false" ht="12" hidden="false" customHeight="false" outlineLevel="0" collapsed="false">
      <c r="B46" s="461" t="n">
        <f aca="false">MAX(D_ref*0.5, Diam_propu)</f>
        <v>60</v>
      </c>
      <c r="C46" s="462" t="n">
        <f aca="false">1/2*Rho_moyen*PI()*D_var^2/4*Cx/10^6</f>
        <v>0.000865901475145687</v>
      </c>
      <c r="D46" s="463" t="n">
        <f aca="false">MpropuPlein+1.25*MasseSans</f>
        <v>10.0925</v>
      </c>
      <c r="E46" s="463" t="n">
        <f aca="false">m_var - 0.5*m_poudre</f>
        <v>9.576</v>
      </c>
      <c r="F46" s="463" t="n">
        <f aca="false">m_var - m_poudre</f>
        <v>9.0595</v>
      </c>
      <c r="G46" s="464" t="n">
        <f aca="false">MAX(0, (I_total/Temps_fin_propu)/m_prop-g)</f>
        <v>50.0649077894365</v>
      </c>
      <c r="H46" s="462" t="n">
        <f aca="false">Q_var/m_prop</f>
        <v>9.04241306543115E-005</v>
      </c>
      <c r="I46" s="462" t="n">
        <f aca="false">Q_var/m_bal</f>
        <v>9.55793890552113E-005</v>
      </c>
      <c r="J46" s="462" t="n">
        <f aca="false">1/(2*b_prop)*LN(  ((EXP(2*SQRT(a_prop*b_prop)*Temps_fin_propu)+1)^2)  /  (((1+1)^2)*EXP(2*SQRT(a_prop*b_prop)*Temps_fin_propu)))</f>
        <v>319.531492222324</v>
      </c>
      <c r="K46" s="465" t="n">
        <f aca="false">SQRT(a_prop/b_prop)  *  (EXP(2*SQRT(a_prop*b_prop)*Temps_fin_propu)-1)/(EXP(2*SQRT(a_prop*b_prop)*Temps_fin_propu)+1)</f>
        <v>176.31718424051</v>
      </c>
      <c r="L46" s="466" t="n">
        <f aca="false">alt_prop + 1/(2*b_bal) * LN(1+b_bal/g*V_prop^2)</f>
        <v>1703.64085714061</v>
      </c>
      <c r="M46" s="467" t="n">
        <f aca="false">Temps_fin_propu + ATAN(SQRT(b_bal/g)*V_prop)/SQRT(b_bal*g)</f>
        <v>20.0204974480014</v>
      </c>
    </row>
    <row r="47" customFormat="false" ht="12" hidden="false" customHeight="false" outlineLevel="0" collapsed="false">
      <c r="B47" s="461" t="n">
        <f aca="false">MAX(D_ref*0.5, Diam_propu)</f>
        <v>60</v>
      </c>
      <c r="C47" s="462" t="n">
        <f aca="false">1/2*Rho_moyen*PI()*D_var^2/4*Cx/10^6</f>
        <v>0.000865901475145687</v>
      </c>
      <c r="D47" s="463" t="n">
        <f aca="false">MpropuPlein+1.5*MasseSans</f>
        <v>11.774</v>
      </c>
      <c r="E47" s="463" t="n">
        <f aca="false">m_var - 0.5*m_poudre</f>
        <v>11.2575</v>
      </c>
      <c r="F47" s="463" t="n">
        <f aca="false">m_var - m_poudre</f>
        <v>10.741</v>
      </c>
      <c r="G47" s="464" t="n">
        <f aca="false">MAX(0, (I_total/Temps_fin_propu)/m_prop-g)</f>
        <v>41.1215671322801</v>
      </c>
      <c r="H47" s="462" t="n">
        <f aca="false">Q_var/m_prop</f>
        <v>7.69177415186042E-005</v>
      </c>
      <c r="I47" s="462" t="n">
        <f aca="false">Q_var/m_bal</f>
        <v>8.06164672884915E-005</v>
      </c>
      <c r="J47" s="462" t="n">
        <f aca="false">1/(2*b_prop)*LN(  ((EXP(2*SQRT(a_prop*b_prop)*Temps_fin_propu)+1)^2)  /  (((1+1)^2)*EXP(2*SQRT(a_prop*b_prop)*Temps_fin_propu)))</f>
        <v>263.208394220413</v>
      </c>
      <c r="K47" s="465" t="n">
        <f aca="false">SQRT(a_prop/b_prop)  *  (EXP(2*SQRT(a_prop*b_prop)*Temps_fin_propu)-1)/(EXP(2*SQRT(a_prop*b_prop)*Temps_fin_propu)+1)</f>
        <v>145.652618355124</v>
      </c>
      <c r="L47" s="466" t="n">
        <f aca="false">alt_prop + 1/(2*b_bal) * LN(1+b_bal/g*V_prop^2)</f>
        <v>1259.92994979041</v>
      </c>
      <c r="M47" s="467" t="n">
        <f aca="false">Temps_fin_propu + ATAN(SQRT(b_bal/g)*V_prop)/SQRT(b_bal*g)</f>
        <v>17.6548919152997</v>
      </c>
    </row>
    <row r="48" customFormat="false" ht="12" hidden="false" customHeight="false" outlineLevel="0" collapsed="false">
      <c r="B48" s="461" t="n">
        <f aca="false">MAX(D_ref*0.5, Diam_propu)</f>
        <v>60</v>
      </c>
      <c r="C48" s="462" t="n">
        <f aca="false">1/2*Rho_moyen*PI()*D_var^2/4*Cx/10^6</f>
        <v>0.000865901475145687</v>
      </c>
      <c r="D48" s="463" t="n">
        <f aca="false">MpropuPlein+1.75*MasseSans</f>
        <v>13.4555</v>
      </c>
      <c r="E48" s="463" t="n">
        <f aca="false">m_var - 0.5*m_poudre</f>
        <v>12.939</v>
      </c>
      <c r="F48" s="463" t="n">
        <f aca="false">m_var - m_poudre</f>
        <v>12.4225</v>
      </c>
      <c r="G48" s="464" t="n">
        <f aca="false">MAX(0, (I_total/Temps_fin_propu)/m_prop-g)</f>
        <v>34.5027070864552</v>
      </c>
      <c r="H48" s="462" t="n">
        <f aca="false">Q_var/m_prop</f>
        <v>6.69218235679486E-005</v>
      </c>
      <c r="I48" s="462" t="n">
        <f aca="false">Q_var/m_bal</f>
        <v>6.97042845760263E-005</v>
      </c>
      <c r="J48" s="462" t="n">
        <f aca="false">1/(2*b_prop)*LN(  ((EXP(2*SQRT(a_prop*b_prop)*Temps_fin_propu)+1)^2)  /  (((1+1)^2)*EXP(2*SQRT(a_prop*b_prop)*Temps_fin_propu)))</f>
        <v>221.243108405576</v>
      </c>
      <c r="K48" s="465" t="n">
        <f aca="false">SQRT(a_prop/b_prop)  *  (EXP(2*SQRT(a_prop*b_prop)*Temps_fin_propu)-1)/(EXP(2*SQRT(a_prop*b_prop)*Temps_fin_propu)+1)</f>
        <v>122.650497042507</v>
      </c>
      <c r="L48" s="466" t="n">
        <f aca="false">alt_prop + 1/(2*b_bal) * LN(1+b_bal/g*V_prop^2)</f>
        <v>949.695499699405</v>
      </c>
      <c r="M48" s="467" t="n">
        <f aca="false">Temps_fin_propu + ATAN(SQRT(b_bal/g)*V_prop)/SQRT(b_bal*g)</f>
        <v>15.67369385735</v>
      </c>
    </row>
    <row r="49" customFormat="false" ht="12" hidden="false" customHeight="false" outlineLevel="0" collapsed="false">
      <c r="B49" s="468" t="n">
        <f aca="false">MAX(D_ref*0.5, Diam_propu)</f>
        <v>60</v>
      </c>
      <c r="C49" s="469" t="n">
        <f aca="false">1/2*Rho_moyen*PI()*D_var^2/4*Cx/10^6</f>
        <v>0.000865901475145687</v>
      </c>
      <c r="D49" s="470" t="n">
        <f aca="false">MpropuPlein+2*MasseSans</f>
        <v>15.137</v>
      </c>
      <c r="E49" s="470" t="n">
        <f aca="false">m_var - 0.5*m_poudre</f>
        <v>14.6205</v>
      </c>
      <c r="F49" s="470" t="n">
        <f aca="false">m_var - m_poudre</f>
        <v>14.104</v>
      </c>
      <c r="G49" s="471" t="n">
        <f aca="false">MAX(0, (I_total/Temps_fin_propu)/m_prop-g)</f>
        <v>29.4063138737829</v>
      </c>
      <c r="H49" s="469" t="n">
        <f aca="false">Q_var/m_prop</f>
        <v>5.92251615981455E-005</v>
      </c>
      <c r="I49" s="469" t="n">
        <f aca="false">Q_var/m_bal</f>
        <v>6.13940353903635E-005</v>
      </c>
      <c r="J49" s="469" t="n">
        <f aca="false">1/(2*b_prop)*LN(  ((EXP(2*SQRT(a_prop*b_prop)*Temps_fin_propu)+1)^2)  /  (((1+1)^2)*EXP(2*SQRT(a_prop*b_prop)*Temps_fin_propu)))</f>
        <v>188.79107299244</v>
      </c>
      <c r="K49" s="472" t="n">
        <f aca="false">SQRT(a_prop/b_prop)  *  (EXP(2*SQRT(a_prop*b_prop)*Temps_fin_propu)-1)/(EXP(2*SQRT(a_prop*b_prop)*Temps_fin_propu)+1)</f>
        <v>104.785835664117</v>
      </c>
      <c r="L49" s="473" t="n">
        <f aca="false">alt_prop + 1/(2*b_bal) * LN(1+b_bal/g*V_prop^2)</f>
        <v>730.037371747496</v>
      </c>
      <c r="M49" s="474" t="n">
        <f aca="false">Temps_fin_propu + ATAN(SQRT(b_bal/g)*V_prop)/SQRT(b_bal*g)</f>
        <v>14.0364836378841</v>
      </c>
    </row>
    <row r="50" customFormat="false" ht="12" hidden="false" customHeight="false" outlineLevel="0" collapsed="false">
      <c r="B50" s="453" t="n">
        <f aca="false">D_ref</f>
        <v>120</v>
      </c>
      <c r="C50" s="454" t="n">
        <f aca="false">1/2*Rho_moyen*PI()*D_var^2/4*Cx/10^6</f>
        <v>0.00346360590058275</v>
      </c>
      <c r="D50" s="455" t="n">
        <f aca="false">MpropuPlein+0*MasseSans</f>
        <v>1.685</v>
      </c>
      <c r="E50" s="455" t="n">
        <f aca="false">m_var - 0.5*m_poudre</f>
        <v>1.1685</v>
      </c>
      <c r="F50" s="455" t="n">
        <f aca="false">m_var - m_poudre</f>
        <v>0.652</v>
      </c>
      <c r="G50" s="456" t="n">
        <f aca="false">MAX(0, (I_total/Temps_fin_propu)/m_prop-g)</f>
        <v>480.872171152455</v>
      </c>
      <c r="H50" s="454" t="n">
        <f aca="false">Q_var/m_prop</f>
        <v>0.00296414711218036</v>
      </c>
      <c r="I50" s="454" t="n">
        <f aca="false">Q_var/m_bal</f>
        <v>0.00531227898862384</v>
      </c>
      <c r="J50" s="454" t="n">
        <f aca="false">1/(2*b_prop)*LN(  ((EXP(2*SQRT(a_prop*b_prop)*Temps_fin_propu)+1)^2)  /  (((1+1)^2)*EXP(2*SQRT(a_prop*b_prop)*Temps_fin_propu)))</f>
        <v>1212.19051210639</v>
      </c>
      <c r="K50" s="458" t="n">
        <f aca="false">SQRT(a_prop/b_prop)  *  (EXP(2*SQRT(a_prop*b_prop)*Temps_fin_propu)-1)/(EXP(2*SQRT(a_prop*b_prop)*Temps_fin_propu)+1)</f>
        <v>402.624793203658</v>
      </c>
      <c r="L50" s="459" t="n">
        <f aca="false">alt_prop + 1/(2*b_bal) * LN(1+b_bal/g*V_prop^2)</f>
        <v>1634.43874514157</v>
      </c>
      <c r="M50" s="460" t="n">
        <f aca="false">Temps_fin_propu + ATAN(SQRT(b_bal/g)*V_prop)/SQRT(b_bal*g)</f>
        <v>10.0051185704251</v>
      </c>
    </row>
    <row r="51" customFormat="false" ht="12" hidden="false" customHeight="false" outlineLevel="0" collapsed="false">
      <c r="B51" s="461" t="n">
        <f aca="false">D_ref</f>
        <v>120</v>
      </c>
      <c r="C51" s="462" t="n">
        <f aca="false">1/2*Rho_moyen*PI()*D_var^2/4*Cx/10^6</f>
        <v>0.00346360590058275</v>
      </c>
      <c r="D51" s="463" t="n">
        <f aca="false">MpropuPlein+0.25*MasseSans</f>
        <v>3.3665</v>
      </c>
      <c r="E51" s="463" t="n">
        <f aca="false">m_var - 0.5*m_poudre</f>
        <v>2.85</v>
      </c>
      <c r="F51" s="463" t="n">
        <f aca="false">m_var - m_poudre</f>
        <v>2.3335</v>
      </c>
      <c r="G51" s="464" t="n">
        <f aca="false">MAX(0, (I_total/Temps_fin_propu)/m_prop-g)</f>
        <v>191.369690172506</v>
      </c>
      <c r="H51" s="462" t="n">
        <f aca="false">Q_var/m_prop</f>
        <v>0.00121530031599395</v>
      </c>
      <c r="I51" s="462" t="n">
        <f aca="false">Q_var/m_bal</f>
        <v>0.00148429650764206</v>
      </c>
      <c r="J51" s="462" t="n">
        <f aca="false">1/(2*b_prop)*LN(  ((EXP(2*SQRT(a_prop*b_prop)*Temps_fin_propu)+1)^2)  /  (((1+1)^2)*EXP(2*SQRT(a_prop*b_prop)*Temps_fin_propu)))</f>
        <v>879.635687543174</v>
      </c>
      <c r="K51" s="465" t="n">
        <f aca="false">SQRT(a_prop/b_prop)  *  (EXP(2*SQRT(a_prop*b_prop)*Temps_fin_propu)-1)/(EXP(2*SQRT(a_prop*b_prop)*Temps_fin_propu)+1)</f>
        <v>372.698202504338</v>
      </c>
      <c r="L51" s="466" t="n">
        <f aca="false">alt_prop + 1/(2*b_bal) * LN(1+b_bal/g*V_prop^2)</f>
        <v>1921.14088615945</v>
      </c>
      <c r="M51" s="467" t="n">
        <f aca="false">Temps_fin_propu + ATAN(SQRT(b_bal/g)*V_prop)/SQRT(b_bal*g)</f>
        <v>14.8276204578231</v>
      </c>
    </row>
    <row r="52" customFormat="false" ht="12" hidden="false" customHeight="false" outlineLevel="0" collapsed="false">
      <c r="B52" s="461" t="n">
        <f aca="false">D_ref</f>
        <v>120</v>
      </c>
      <c r="C52" s="462" t="n">
        <f aca="false">1/2*Rho_moyen*PI()*D_var^2/4*Cx/10^6</f>
        <v>0.00346360590058275</v>
      </c>
      <c r="D52" s="463" t="n">
        <f aca="false">MpropuPlein+0.5*MasseSans</f>
        <v>5.048</v>
      </c>
      <c r="E52" s="463" t="n">
        <f aca="false">m_var - 0.5*m_poudre</f>
        <v>4.5315</v>
      </c>
      <c r="F52" s="463" t="n">
        <f aca="false">m_var - m_poudre</f>
        <v>4.015</v>
      </c>
      <c r="G52" s="464" t="n">
        <f aca="false">MAX(0, (I_total/Temps_fin_propu)/m_prop-g)</f>
        <v>116.718107026734</v>
      </c>
      <c r="H52" s="462" t="n">
        <f aca="false">Q_var/m_prop</f>
        <v>0.000764339821379841</v>
      </c>
      <c r="I52" s="462" t="n">
        <f aca="false">Q_var/m_bal</f>
        <v>0.000862666475861207</v>
      </c>
      <c r="J52" s="462" t="n">
        <f aca="false">1/(2*b_prop)*LN(  ((EXP(2*SQRT(a_prop*b_prop)*Temps_fin_propu)+1)^2)  /  (((1+1)^2)*EXP(2*SQRT(a_prop*b_prop)*Temps_fin_propu)))</f>
        <v>640.923880985043</v>
      </c>
      <c r="K52" s="465" t="n">
        <f aca="false">SQRT(a_prop/b_prop)  *  (EXP(2*SQRT(a_prop*b_prop)*Temps_fin_propu)-1)/(EXP(2*SQRT(a_prop*b_prop)*Temps_fin_propu)+1)</f>
        <v>308.835633849639</v>
      </c>
      <c r="L52" s="466" t="n">
        <f aca="false">alt_prop + 1/(2*b_bal) * LN(1+b_bal/g*V_prop^2)</f>
        <v>1938.85954830544</v>
      </c>
      <c r="M52" s="467" t="n">
        <f aca="false">Temps_fin_propu + ATAN(SQRT(b_bal/g)*V_prop)/SQRT(b_bal*g)</f>
        <v>17.0510145338675</v>
      </c>
    </row>
    <row r="53" customFormat="false" ht="12" hidden="false" customHeight="false" outlineLevel="0" collapsed="false">
      <c r="B53" s="461" t="n">
        <f aca="false">D_ref</f>
        <v>120</v>
      </c>
      <c r="C53" s="462" t="n">
        <f aca="false">1/2*Rho_moyen*PI()*D_var^2/4*Cx/10^6</f>
        <v>0.00346360590058275</v>
      </c>
      <c r="D53" s="463" t="n">
        <f aca="false">MpropuPlein+0.75*MasseSans</f>
        <v>6.7295</v>
      </c>
      <c r="E53" s="463" t="n">
        <f aca="false">m_var - 0.5*m_poudre</f>
        <v>6.213</v>
      </c>
      <c r="F53" s="463" t="n">
        <f aca="false">m_var - m_poudre</f>
        <v>5.6965</v>
      </c>
      <c r="G53" s="464" t="n">
        <f aca="false">MAX(0, (I_total/Temps_fin_propu)/m_prop-g)</f>
        <v>82.4742615470213</v>
      </c>
      <c r="H53" s="462" t="n">
        <f aca="false">Q_var/m_prop</f>
        <v>0.000557477209171535</v>
      </c>
      <c r="I53" s="462" t="n">
        <f aca="false">Q_var/m_bal</f>
        <v>0.00060802350576367</v>
      </c>
      <c r="J53" s="462" t="n">
        <f aca="false">1/(2*b_prop)*LN(  ((EXP(2*SQRT(a_prop*b_prop)*Temps_fin_propu)+1)^2)  /  (((1+1)^2)*EXP(2*SQRT(a_prop*b_prop)*Temps_fin_propu)))</f>
        <v>486.021239774785</v>
      </c>
      <c r="K53" s="465" t="n">
        <f aca="false">SQRT(a_prop/b_prop)  *  (EXP(2*SQRT(a_prop*b_prop)*Temps_fin_propu)-1)/(EXP(2*SQRT(a_prop*b_prop)*Temps_fin_propu)+1)</f>
        <v>248.780936478598</v>
      </c>
      <c r="L53" s="466" t="n">
        <f aca="false">alt_prop + 1/(2*b_bal) * LN(1+b_bal/g*V_prop^2)</f>
        <v>1782.10653055365</v>
      </c>
      <c r="M53" s="467" t="n">
        <f aca="false">Temps_fin_propu + ATAN(SQRT(b_bal/g)*V_prop)/SQRT(b_bal*g)</f>
        <v>17.8163994343272</v>
      </c>
    </row>
    <row r="54" customFormat="false" ht="12" hidden="false" customHeight="false" outlineLevel="0" collapsed="false">
      <c r="B54" s="461" t="n">
        <f aca="false">D_ref</f>
        <v>120</v>
      </c>
      <c r="C54" s="462" t="n">
        <f aca="false">1/2*Rho_moyen*PI()*D_var^2/4*Cx/10^6</f>
        <v>0.00346360590058275</v>
      </c>
      <c r="D54" s="463" t="n">
        <f aca="false">MpropuPlein+1*MasseSans</f>
        <v>8.411</v>
      </c>
      <c r="E54" s="463" t="n">
        <f aca="false">m_var - 0.5*m_poudre</f>
        <v>7.8945</v>
      </c>
      <c r="F54" s="463" t="n">
        <f aca="false">m_var - m_poudre</f>
        <v>7.378</v>
      </c>
      <c r="G54" s="464" t="n">
        <f aca="false">MAX(0, (I_total/Temps_fin_propu)/m_prop-g)</f>
        <v>62.8180469936846</v>
      </c>
      <c r="H54" s="462" t="n">
        <f aca="false">Q_var/m_prop</f>
        <v>0.0004387365761711</v>
      </c>
      <c r="I54" s="462" t="n">
        <f aca="false">Q_var/m_bal</f>
        <v>0.000469450515123712</v>
      </c>
      <c r="J54" s="462" t="n">
        <f aca="false">1/(2*b_prop)*LN(  ((EXP(2*SQRT(a_prop*b_prop)*Temps_fin_propu)+1)^2)  /  (((1+1)^2)*EXP(2*SQRT(a_prop*b_prop)*Temps_fin_propu)))</f>
        <v>382.888438715487</v>
      </c>
      <c r="K54" s="465" t="n">
        <f aca="false">SQRT(a_prop/b_prop)  *  (EXP(2*SQRT(a_prop*b_prop)*Temps_fin_propu)-1)/(EXP(2*SQRT(a_prop*b_prop)*Temps_fin_propu)+1)</f>
        <v>202.132308538321</v>
      </c>
      <c r="L54" s="466" t="n">
        <f aca="false">alt_prop + 1/(2*b_bal) * LN(1+b_bal/g*V_prop^2)</f>
        <v>1536.96960961876</v>
      </c>
      <c r="M54" s="467" t="n">
        <f aca="false">Temps_fin_propu + ATAN(SQRT(b_bal/g)*V_prop)/SQRT(b_bal*g)</f>
        <v>17.5884295671646</v>
      </c>
    </row>
    <row r="55" customFormat="false" ht="12" hidden="false" customHeight="false" outlineLevel="0" collapsed="false">
      <c r="B55" s="461" t="n">
        <f aca="false">D_ref</f>
        <v>120</v>
      </c>
      <c r="C55" s="462" t="n">
        <f aca="false">1/2*Rho_moyen*PI()*D_var^2/4*Cx/10^6</f>
        <v>0.00346360590058275</v>
      </c>
      <c r="D55" s="463" t="n">
        <f aca="false">MpropuPlein+1.25*MasseSans</f>
        <v>10.0925</v>
      </c>
      <c r="E55" s="463" t="n">
        <f aca="false">m_var - 0.5*m_poudre</f>
        <v>9.576</v>
      </c>
      <c r="F55" s="463" t="n">
        <f aca="false">m_var - m_poudre</f>
        <v>9.0595</v>
      </c>
      <c r="G55" s="464" t="n">
        <f aca="false">MAX(0, (I_total/Temps_fin_propu)/m_prop-g)</f>
        <v>50.0649077894365</v>
      </c>
      <c r="H55" s="462" t="n">
        <f aca="false">Q_var/m_prop</f>
        <v>0.000361696522617246</v>
      </c>
      <c r="I55" s="462" t="n">
        <f aca="false">Q_var/m_bal</f>
        <v>0.000382317556220845</v>
      </c>
      <c r="J55" s="462" t="n">
        <f aca="false">1/(2*b_prop)*LN(  ((EXP(2*SQRT(a_prop*b_prop)*Temps_fin_propu)+1)^2)  /  (((1+1)^2)*EXP(2*SQRT(a_prop*b_prop)*Temps_fin_propu)))</f>
        <v>310.801344879196</v>
      </c>
      <c r="K55" s="465" t="n">
        <f aca="false">SQRT(a_prop/b_prop)  *  (EXP(2*SQRT(a_prop*b_prop)*Temps_fin_propu)-1)/(EXP(2*SQRT(a_prop*b_prop)*Temps_fin_propu)+1)</f>
        <v>166.943512279394</v>
      </c>
      <c r="L55" s="466" t="n">
        <f aca="false">alt_prop + 1/(2*b_bal) * LN(1+b_bal/g*V_prop^2)</f>
        <v>1272.470079266</v>
      </c>
      <c r="M55" s="467" t="n">
        <f aca="false">Temps_fin_propu + ATAN(SQRT(b_bal/g)*V_prop)/SQRT(b_bal*g)</f>
        <v>16.7518792177422</v>
      </c>
    </row>
    <row r="56" customFormat="false" ht="12" hidden="false" customHeight="false" outlineLevel="0" collapsed="false">
      <c r="B56" s="461" t="n">
        <f aca="false">D_ref</f>
        <v>120</v>
      </c>
      <c r="C56" s="462" t="n">
        <f aca="false">1/2*Rho_moyen*PI()*D_var^2/4*Cx/10^6</f>
        <v>0.00346360590058275</v>
      </c>
      <c r="D56" s="463" t="n">
        <f aca="false">MpropuPlein+1.5*MasseSans</f>
        <v>11.774</v>
      </c>
      <c r="E56" s="463" t="n">
        <f aca="false">m_var - 0.5*m_poudre</f>
        <v>11.2575</v>
      </c>
      <c r="F56" s="463" t="n">
        <f aca="false">m_var - m_poudre</f>
        <v>10.741</v>
      </c>
      <c r="G56" s="464" t="n">
        <f aca="false">MAX(0, (I_total/Temps_fin_propu)/m_prop-g)</f>
        <v>41.1215671322801</v>
      </c>
      <c r="H56" s="462" t="n">
        <f aca="false">Q_var/m_prop</f>
        <v>0.000307670966074417</v>
      </c>
      <c r="I56" s="462" t="n">
        <f aca="false">Q_var/m_bal</f>
        <v>0.000322465869153966</v>
      </c>
      <c r="J56" s="462" t="n">
        <f aca="false">1/(2*b_prop)*LN(  ((EXP(2*SQRT(a_prop*b_prop)*Temps_fin_propu)+1)^2)  /  (((1+1)^2)*EXP(2*SQRT(a_prop*b_prop)*Temps_fin_propu)))</f>
        <v>258.086358995442</v>
      </c>
      <c r="K56" s="465" t="n">
        <f aca="false">SQRT(a_prop/b_prop)  *  (EXP(2*SQRT(a_prop*b_prop)*Temps_fin_propu)-1)/(EXP(2*SQRT(a_prop*b_prop)*Temps_fin_propu)+1)</f>
        <v>140.093431985387</v>
      </c>
      <c r="L56" s="466" t="n">
        <f aca="false">alt_prop + 1/(2*b_bal) * LN(1+b_bal/g*V_prop^2)</f>
        <v>1029.98536829461</v>
      </c>
      <c r="M56" s="467" t="n">
        <f aca="false">Temps_fin_propu + ATAN(SQRT(b_bal/g)*V_prop)/SQRT(b_bal*g)</f>
        <v>15.6213360357454</v>
      </c>
    </row>
    <row r="57" customFormat="false" ht="12" hidden="false" customHeight="false" outlineLevel="0" collapsed="false">
      <c r="B57" s="461" t="n">
        <f aca="false">D_ref</f>
        <v>120</v>
      </c>
      <c r="C57" s="462" t="n">
        <f aca="false">1/2*Rho_moyen*PI()*D_var^2/4*Cx/10^6</f>
        <v>0.00346360590058275</v>
      </c>
      <c r="D57" s="463" t="n">
        <f aca="false">MpropuPlein+1.75*MasseSans</f>
        <v>13.4555</v>
      </c>
      <c r="E57" s="463" t="n">
        <f aca="false">m_var - 0.5*m_poudre</f>
        <v>12.939</v>
      </c>
      <c r="F57" s="463" t="n">
        <f aca="false">m_var - m_poudre</f>
        <v>12.4225</v>
      </c>
      <c r="G57" s="464" t="n">
        <f aca="false">MAX(0, (I_total/Temps_fin_propu)/m_prop-g)</f>
        <v>34.5027070864552</v>
      </c>
      <c r="H57" s="462" t="n">
        <f aca="false">Q_var/m_prop</f>
        <v>0.000267687294271794</v>
      </c>
      <c r="I57" s="462" t="n">
        <f aca="false">Q_var/m_bal</f>
        <v>0.000278817138304105</v>
      </c>
      <c r="J57" s="462" t="n">
        <f aca="false">1/(2*b_prop)*LN(  ((EXP(2*SQRT(a_prop*b_prop)*Temps_fin_propu)+1)^2)  /  (((1+1)^2)*EXP(2*SQRT(a_prop*b_prop)*Temps_fin_propu)))</f>
        <v>218.061376256475</v>
      </c>
      <c r="K57" s="465" t="n">
        <f aca="false">SQRT(a_prop/b_prop)  *  (EXP(2*SQRT(a_prop*b_prop)*Temps_fin_propu)-1)/(EXP(2*SQRT(a_prop*b_prop)*Temps_fin_propu)+1)</f>
        <v>119.173277560725</v>
      </c>
      <c r="L57" s="466" t="n">
        <f aca="false">alt_prop + 1/(2*b_bal) * LN(1+b_bal/g*V_prop^2)</f>
        <v>826.126850937693</v>
      </c>
      <c r="M57" s="467" t="n">
        <f aca="false">Temps_fin_propu + ATAN(SQRT(b_bal/g)*V_prop)/SQRT(b_bal*g)</f>
        <v>14.4123294449486</v>
      </c>
    </row>
    <row r="58" customFormat="false" ht="12" hidden="false" customHeight="false" outlineLevel="0" collapsed="false">
      <c r="B58" s="468" t="n">
        <f aca="false">D_ref</f>
        <v>120</v>
      </c>
      <c r="C58" s="469" t="n">
        <f aca="false">1/2*Rho_moyen*PI()*D_var^2/4*Cx/10^6</f>
        <v>0.00346360590058275</v>
      </c>
      <c r="D58" s="470" t="n">
        <f aca="false">MpropuPlein+2*MasseSans</f>
        <v>15.137</v>
      </c>
      <c r="E58" s="470" t="n">
        <f aca="false">m_var - 0.5*m_poudre</f>
        <v>14.6205</v>
      </c>
      <c r="F58" s="470" t="n">
        <f aca="false">m_var - m_poudre</f>
        <v>14.104</v>
      </c>
      <c r="G58" s="471" t="n">
        <f aca="false">MAX(0, (I_total/Temps_fin_propu)/m_prop-g)</f>
        <v>29.4063138737829</v>
      </c>
      <c r="H58" s="469" t="n">
        <f aca="false">Q_var/m_prop</f>
        <v>0.000236900646392582</v>
      </c>
      <c r="I58" s="469" t="n">
        <f aca="false">Q_var/m_bal</f>
        <v>0.000245576141561454</v>
      </c>
      <c r="J58" s="469" t="n">
        <f aca="false">1/(2*b_prop)*LN(  ((EXP(2*SQRT(a_prop*b_prop)*Temps_fin_propu)+1)^2)  /  (((1+1)^2)*EXP(2*SQRT(a_prop*b_prop)*Temps_fin_propu)))</f>
        <v>186.726255713935</v>
      </c>
      <c r="K58" s="472" t="n">
        <f aca="false">SQRT(a_prop/b_prop)  *  (EXP(2*SQRT(a_prop*b_prop)*Temps_fin_propu)-1)/(EXP(2*SQRT(a_prop*b_prop)*Temps_fin_propu)+1)</f>
        <v>102.518718335304</v>
      </c>
      <c r="L58" s="473" t="n">
        <f aca="false">alt_prop + 1/(2*b_bal) * LN(1+b_bal/g*V_prop^2)</f>
        <v>662.281998639353</v>
      </c>
      <c r="M58" s="474" t="n">
        <f aca="false">Temps_fin_propu + ATAN(SQRT(b_bal/g)*V_prop)/SQRT(b_bal*g)</f>
        <v>13.2459962666361</v>
      </c>
    </row>
    <row r="59" customFormat="false" ht="12" hidden="false" customHeight="false" outlineLevel="0" collapsed="false">
      <c r="B59" s="453" t="n">
        <f aca="false">D_ref*1.5</f>
        <v>180</v>
      </c>
      <c r="C59" s="454" t="n">
        <f aca="false">1/2*Rho_moyen*PI()*D_var^2/4*Cx/10^6</f>
        <v>0.00779311327631118</v>
      </c>
      <c r="D59" s="455" t="n">
        <f aca="false">MpropuPlein+0*MasseSans</f>
        <v>1.685</v>
      </c>
      <c r="E59" s="455" t="n">
        <f aca="false">m_var - 0.5*m_poudre</f>
        <v>1.1685</v>
      </c>
      <c r="F59" s="455" t="n">
        <f aca="false">m_var - m_poudre</f>
        <v>0.652</v>
      </c>
      <c r="G59" s="456" t="n">
        <f aca="false">MAX(0, (I_total/Temps_fin_propu)/m_prop-g)</f>
        <v>480.872171152455</v>
      </c>
      <c r="H59" s="454" t="n">
        <f aca="false">Q_var/m_prop</f>
        <v>0.0066693310024058</v>
      </c>
      <c r="I59" s="454" t="n">
        <f aca="false">Q_var/m_bal</f>
        <v>0.0119526277244037</v>
      </c>
      <c r="J59" s="454" t="n">
        <f aca="false">1/(2*b_prop)*LN(  ((EXP(2*SQRT(a_prop*b_prop)*Temps_fin_propu)+1)^2)  /  (((1+1)^2)*EXP(2*SQRT(a_prop*b_prop)*Temps_fin_propu)))</f>
        <v>860.050096071202</v>
      </c>
      <c r="K59" s="458" t="n">
        <f aca="false">SQRT(a_prop/b_prop)  *  (EXP(2*SQRT(a_prop*b_prop)*Temps_fin_propu)-1)/(EXP(2*SQRT(a_prop*b_prop)*Temps_fin_propu)+1)</f>
        <v>268.516775781806</v>
      </c>
      <c r="L59" s="459" t="n">
        <f aca="false">alt_prop + 1/(2*b_bal) * LN(1+b_bal/g*V_prop^2)</f>
        <v>1047.74686614764</v>
      </c>
      <c r="M59" s="460" t="n">
        <f aca="false">Temps_fin_propu + ATAN(SQRT(b_bal/g)*V_prop)/SQRT(b_bal*g)</f>
        <v>7.86686076972487</v>
      </c>
    </row>
    <row r="60" customFormat="false" ht="12" hidden="false" customHeight="false" outlineLevel="0" collapsed="false">
      <c r="B60" s="461" t="n">
        <f aca="false">D_ref*1.5</f>
        <v>180</v>
      </c>
      <c r="C60" s="462" t="n">
        <f aca="false">1/2*Rho_moyen*PI()*D_var^2/4*Cx/10^6</f>
        <v>0.00779311327631118</v>
      </c>
      <c r="D60" s="463" t="n">
        <f aca="false">MpropuPlein+0.25*MasseSans</f>
        <v>3.3665</v>
      </c>
      <c r="E60" s="463" t="n">
        <f aca="false">m_var - 0.5*m_poudre</f>
        <v>2.85</v>
      </c>
      <c r="F60" s="463" t="n">
        <f aca="false">m_var - m_poudre</f>
        <v>2.3335</v>
      </c>
      <c r="G60" s="464" t="n">
        <f aca="false">MAX(0, (I_total/Temps_fin_propu)/m_prop-g)</f>
        <v>191.369690172506</v>
      </c>
      <c r="H60" s="462" t="n">
        <f aca="false">Q_var/m_prop</f>
        <v>0.00273442571098638</v>
      </c>
      <c r="I60" s="462" t="n">
        <f aca="false">Q_var/m_bal</f>
        <v>0.00333966714219464</v>
      </c>
      <c r="J60" s="462" t="n">
        <f aca="false">1/(2*b_prop)*LN(  ((EXP(2*SQRT(a_prop*b_prop)*Temps_fin_propu)+1)^2)  /  (((1+1)^2)*EXP(2*SQRT(a_prop*b_prop)*Temps_fin_propu)))</f>
        <v>698.260242187449</v>
      </c>
      <c r="K60" s="465" t="n">
        <f aca="false">SQRT(a_prop/b_prop)  *  (EXP(2*SQRT(a_prop*b_prop)*Temps_fin_propu)-1)/(EXP(2*SQRT(a_prop*b_prop)*Temps_fin_propu)+1)</f>
        <v>261.62699114153</v>
      </c>
      <c r="L60" s="466" t="n">
        <f aca="false">alt_prop + 1/(2*b_bal) * LN(1+b_bal/g*V_prop^2)</f>
        <v>1175.93839405376</v>
      </c>
      <c r="M60" s="467" t="n">
        <f aca="false">Temps_fin_propu + ATAN(SQRT(b_bal/g)*V_prop)/SQRT(b_bal*g)</f>
        <v>11.1397491435298</v>
      </c>
    </row>
    <row r="61" customFormat="false" ht="12" hidden="false" customHeight="false" outlineLevel="0" collapsed="false">
      <c r="B61" s="461" t="n">
        <f aca="false">D_ref*1.5</f>
        <v>180</v>
      </c>
      <c r="C61" s="462" t="n">
        <f aca="false">1/2*Rho_moyen*PI()*D_var^2/4*Cx/10^6</f>
        <v>0.00779311327631118</v>
      </c>
      <c r="D61" s="463" t="n">
        <f aca="false">MpropuPlein+0.5*MasseSans</f>
        <v>5.048</v>
      </c>
      <c r="E61" s="463" t="n">
        <f aca="false">m_var - 0.5*m_poudre</f>
        <v>4.5315</v>
      </c>
      <c r="F61" s="463" t="n">
        <f aca="false">m_var - m_poudre</f>
        <v>4.015</v>
      </c>
      <c r="G61" s="464" t="n">
        <f aca="false">MAX(0, (I_total/Temps_fin_propu)/m_prop-g)</f>
        <v>116.718107026734</v>
      </c>
      <c r="H61" s="462" t="n">
        <f aca="false">Q_var/m_prop</f>
        <v>0.00171976459810464</v>
      </c>
      <c r="I61" s="462" t="n">
        <f aca="false">Q_var/m_bal</f>
        <v>0.00194099957068772</v>
      </c>
      <c r="J61" s="462" t="n">
        <f aca="false">1/(2*b_prop)*LN(  ((EXP(2*SQRT(a_prop*b_prop)*Temps_fin_propu)+1)^2)  /  (((1+1)^2)*EXP(2*SQRT(a_prop*b_prop)*Temps_fin_propu)))</f>
        <v>555.056860221609</v>
      </c>
      <c r="K61" s="465" t="n">
        <f aca="false">SQRT(a_prop/b_prop)  *  (EXP(2*SQRT(a_prop*b_prop)*Temps_fin_propu)-1)/(EXP(2*SQRT(a_prop*b_prop)*Temps_fin_propu)+1)</f>
        <v>240.436961505912</v>
      </c>
      <c r="L61" s="466" t="n">
        <f aca="false">alt_prop + 1/(2*b_bal) * LN(1+b_bal/g*V_prop^2)</f>
        <v>1204.4065504626</v>
      </c>
      <c r="M61" s="467" t="n">
        <f aca="false">Temps_fin_propu + ATAN(SQRT(b_bal/g)*V_prop)/SQRT(b_bal*g)</f>
        <v>12.8900185720452</v>
      </c>
    </row>
    <row r="62" customFormat="false" ht="12" hidden="false" customHeight="false" outlineLevel="0" collapsed="false">
      <c r="B62" s="461" t="n">
        <f aca="false">D_ref*1.5</f>
        <v>180</v>
      </c>
      <c r="C62" s="462" t="n">
        <f aca="false">1/2*Rho_moyen*PI()*D_var^2/4*Cx/10^6</f>
        <v>0.00779311327631118</v>
      </c>
      <c r="D62" s="463" t="n">
        <f aca="false">MpropuPlein+0.75*MasseSans</f>
        <v>6.7295</v>
      </c>
      <c r="E62" s="463" t="n">
        <f aca="false">m_var - 0.5*m_poudre</f>
        <v>6.213</v>
      </c>
      <c r="F62" s="463" t="n">
        <f aca="false">m_var - m_poudre</f>
        <v>5.6965</v>
      </c>
      <c r="G62" s="464" t="n">
        <f aca="false">MAX(0, (I_total/Temps_fin_propu)/m_prop-g)</f>
        <v>82.4742615470213</v>
      </c>
      <c r="H62" s="462" t="n">
        <f aca="false">Q_var/m_prop</f>
        <v>0.00125432372063595</v>
      </c>
      <c r="I62" s="462" t="n">
        <f aca="false">Q_var/m_bal</f>
        <v>0.00136805288796826</v>
      </c>
      <c r="J62" s="462" t="n">
        <f aca="false">1/(2*b_prop)*LN(  ((EXP(2*SQRT(a_prop*b_prop)*Temps_fin_propu)+1)^2)  /  (((1+1)^2)*EXP(2*SQRT(a_prop*b_prop)*Temps_fin_propu)))</f>
        <v>443.443825843976</v>
      </c>
      <c r="K62" s="465" t="n">
        <f aca="false">SQRT(a_prop/b_prop)  *  (EXP(2*SQRT(a_prop*b_prop)*Temps_fin_propu)-1)/(EXP(2*SQRT(a_prop*b_prop)*Temps_fin_propu)+1)</f>
        <v>210.085034475044</v>
      </c>
      <c r="L62" s="466" t="n">
        <f aca="false">alt_prop + 1/(2*b_bal) * LN(1+b_bal/g*V_prop^2)</f>
        <v>1162.64248275714</v>
      </c>
      <c r="M62" s="467" t="n">
        <f aca="false">Temps_fin_propu + ATAN(SQRT(b_bal/g)*V_prop)/SQRT(b_bal*g)</f>
        <v>13.8417724229321</v>
      </c>
    </row>
    <row r="63" customFormat="false" ht="12" hidden="false" customHeight="false" outlineLevel="0" collapsed="false">
      <c r="B63" s="461" t="n">
        <f aca="false">D_ref*1.5</f>
        <v>180</v>
      </c>
      <c r="C63" s="462" t="n">
        <f aca="false">1/2*Rho_moyen*PI()*D_var^2/4*Cx/10^6</f>
        <v>0.00779311327631118</v>
      </c>
      <c r="D63" s="463" t="n">
        <f aca="false">MpropuPlein+1*MasseSans</f>
        <v>8.411</v>
      </c>
      <c r="E63" s="463" t="n">
        <f aca="false">m_var - 0.5*m_poudre</f>
        <v>7.8945</v>
      </c>
      <c r="F63" s="463" t="n">
        <f aca="false">m_var - m_poudre</f>
        <v>7.378</v>
      </c>
      <c r="G63" s="464" t="n">
        <f aca="false">MAX(0, (I_total/Temps_fin_propu)/m_prop-g)</f>
        <v>62.8180469936846</v>
      </c>
      <c r="H63" s="462" t="n">
        <f aca="false">Q_var/m_prop</f>
        <v>0.000987157296384975</v>
      </c>
      <c r="I63" s="462" t="n">
        <f aca="false">Q_var/m_bal</f>
        <v>0.00105626365902835</v>
      </c>
      <c r="J63" s="462" t="n">
        <f aca="false">1/(2*b_prop)*LN(  ((EXP(2*SQRT(a_prop*b_prop)*Temps_fin_propu)+1)^2)  /  (((1+1)^2)*EXP(2*SQRT(a_prop*b_prop)*Temps_fin_propu)))</f>
        <v>360.155532494426</v>
      </c>
      <c r="K63" s="465" t="n">
        <f aca="false">SQRT(a_prop/b_prop)  *  (EXP(2*SQRT(a_prop*b_prop)*Temps_fin_propu)-1)/(EXP(2*SQRT(a_prop*b_prop)*Temps_fin_propu)+1)</f>
        <v>179.951459316228</v>
      </c>
      <c r="L63" s="466" t="n">
        <f aca="false">alt_prop + 1/(2*b_bal) * LN(1+b_bal/g*V_prop^2)</f>
        <v>1070.73406467997</v>
      </c>
      <c r="M63" s="467" t="n">
        <f aca="false">Temps_fin_propu + ATAN(SQRT(b_bal/g)*V_prop)/SQRT(b_bal*g)</f>
        <v>14.1910700443548</v>
      </c>
    </row>
    <row r="64" customFormat="false" ht="12" hidden="false" customHeight="false" outlineLevel="0" collapsed="false">
      <c r="B64" s="461" t="n">
        <f aca="false">D_ref*1.5</f>
        <v>180</v>
      </c>
      <c r="C64" s="462" t="n">
        <f aca="false">1/2*Rho_moyen*PI()*D_var^2/4*Cx/10^6</f>
        <v>0.00779311327631118</v>
      </c>
      <c r="D64" s="463" t="n">
        <f aca="false">MpropuPlein+1.25*MasseSans</f>
        <v>10.0925</v>
      </c>
      <c r="E64" s="463" t="n">
        <f aca="false">m_var - 0.5*m_poudre</f>
        <v>9.576</v>
      </c>
      <c r="F64" s="463" t="n">
        <f aca="false">m_var - m_poudre</f>
        <v>9.0595</v>
      </c>
      <c r="G64" s="464" t="n">
        <f aca="false">MAX(0, (I_total/Temps_fin_propu)/m_prop-g)</f>
        <v>50.0649077894365</v>
      </c>
      <c r="H64" s="462" t="n">
        <f aca="false">Q_var/m_prop</f>
        <v>0.000813817175888803</v>
      </c>
      <c r="I64" s="462" t="n">
        <f aca="false">Q_var/m_bal</f>
        <v>0.000860214501496902</v>
      </c>
      <c r="J64" s="462" t="n">
        <f aca="false">1/(2*b_prop)*LN(  ((EXP(2*SQRT(a_prop*b_prop)*Temps_fin_propu)+1)^2)  /  (((1+1)^2)*EXP(2*SQRT(a_prop*b_prop)*Temps_fin_propu)))</f>
        <v>297.800281793698</v>
      </c>
      <c r="K64" s="465" t="n">
        <f aca="false">SQRT(a_prop/b_prop)  *  (EXP(2*SQRT(a_prop*b_prop)*Temps_fin_propu)-1)/(EXP(2*SQRT(a_prop*b_prop)*Temps_fin_propu)+1)</f>
        <v>153.723095856938</v>
      </c>
      <c r="L64" s="466" t="n">
        <f aca="false">alt_prop + 1/(2*b_bal) * LN(1+b_bal/g*V_prop^2)</f>
        <v>950.178016845612</v>
      </c>
      <c r="M64" s="467" t="n">
        <f aca="false">Temps_fin_propu + ATAN(SQRT(b_bal/g)*V_prop)/SQRT(b_bal*g)</f>
        <v>14.0800566027672</v>
      </c>
    </row>
    <row r="65" customFormat="false" ht="12" hidden="false" customHeight="false" outlineLevel="0" collapsed="false">
      <c r="B65" s="461" t="n">
        <f aca="false">D_ref*1.5</f>
        <v>180</v>
      </c>
      <c r="C65" s="462" t="n">
        <f aca="false">1/2*Rho_moyen*PI()*D_var^2/4*Cx/10^6</f>
        <v>0.00779311327631118</v>
      </c>
      <c r="D65" s="463" t="n">
        <f aca="false">MpropuPlein+1.5*MasseSans</f>
        <v>11.774</v>
      </c>
      <c r="E65" s="463" t="n">
        <f aca="false">m_var - 0.5*m_poudre</f>
        <v>11.2575</v>
      </c>
      <c r="F65" s="463" t="n">
        <f aca="false">m_var - m_poudre</f>
        <v>10.741</v>
      </c>
      <c r="G65" s="464" t="n">
        <f aca="false">MAX(0, (I_total/Temps_fin_propu)/m_prop-g)</f>
        <v>41.1215671322801</v>
      </c>
      <c r="H65" s="462" t="n">
        <f aca="false">Q_var/m_prop</f>
        <v>0.000692259673667438</v>
      </c>
      <c r="I65" s="462" t="n">
        <f aca="false">Q_var/m_bal</f>
        <v>0.000725548205596423</v>
      </c>
      <c r="J65" s="462" t="n">
        <f aca="false">1/(2*b_prop)*LN(  ((EXP(2*SQRT(a_prop*b_prop)*Temps_fin_propu)+1)^2)  /  (((1+1)^2)*EXP(2*SQRT(a_prop*b_prop)*Temps_fin_propu)))</f>
        <v>250.213476201744</v>
      </c>
      <c r="K65" s="465" t="n">
        <f aca="false">SQRT(a_prop/b_prop)  *  (EXP(2*SQRT(a_prop*b_prop)*Temps_fin_propu)-1)/(EXP(2*SQRT(a_prop*b_prop)*Temps_fin_propu)+1)</f>
        <v>131.879491153928</v>
      </c>
      <c r="L65" s="466" t="n">
        <f aca="false">alt_prop + 1/(2*b_bal) * LN(1+b_bal/g*V_prop^2)</f>
        <v>820.090927501837</v>
      </c>
      <c r="M65" s="467" t="n">
        <f aca="false">Temps_fin_propu + ATAN(SQRT(b_bal/g)*V_prop)/SQRT(b_bal*g)</f>
        <v>13.6435776358702</v>
      </c>
    </row>
    <row r="66" customFormat="false" ht="12" hidden="false" customHeight="false" outlineLevel="0" collapsed="false">
      <c r="B66" s="461" t="n">
        <f aca="false">D_ref*1.5</f>
        <v>180</v>
      </c>
      <c r="C66" s="462" t="n">
        <f aca="false">1/2*Rho_moyen*PI()*D_var^2/4*Cx/10^6</f>
        <v>0.00779311327631118</v>
      </c>
      <c r="D66" s="463" t="n">
        <f aca="false">MpropuPlein+1.75*MasseSans</f>
        <v>13.4555</v>
      </c>
      <c r="E66" s="463" t="n">
        <f aca="false">m_var - 0.5*m_poudre</f>
        <v>12.939</v>
      </c>
      <c r="F66" s="463" t="n">
        <f aca="false">m_var - m_poudre</f>
        <v>12.4225</v>
      </c>
      <c r="G66" s="464" t="n">
        <f aca="false">MAX(0, (I_total/Temps_fin_propu)/m_prop-g)</f>
        <v>34.5027070864552</v>
      </c>
      <c r="H66" s="462" t="n">
        <f aca="false">Q_var/m_prop</f>
        <v>0.000602296412111537</v>
      </c>
      <c r="I66" s="462" t="n">
        <f aca="false">Q_var/m_bal</f>
        <v>0.000627338561184237</v>
      </c>
      <c r="J66" s="462" t="n">
        <f aca="false">1/(2*b_prop)*LN(  ((EXP(2*SQRT(a_prop*b_prop)*Temps_fin_propu)+1)^2)  /  (((1+1)^2)*EXP(2*SQRT(a_prop*b_prop)*Temps_fin_propu)))</f>
        <v>213.068342956528</v>
      </c>
      <c r="K66" s="465" t="n">
        <f aca="false">SQRT(a_prop/b_prop)  *  (EXP(2*SQRT(a_prop*b_prop)*Temps_fin_propu)-1)/(EXP(2*SQRT(a_prop*b_prop)*Temps_fin_propu)+1)</f>
        <v>113.875467100818</v>
      </c>
      <c r="L66" s="466" t="n">
        <f aca="false">alt_prop + 1/(2*b_bal) * LN(1+b_bal/g*V_prop^2)</f>
        <v>694.398733341289</v>
      </c>
      <c r="M66" s="467" t="n">
        <f aca="false">Temps_fin_propu + ATAN(SQRT(b_bal/g)*V_prop)/SQRT(b_bal*g)</f>
        <v>13.0058719457048</v>
      </c>
    </row>
    <row r="67" customFormat="false" ht="12" hidden="false" customHeight="false" outlineLevel="0" collapsed="false">
      <c r="B67" s="468" t="n">
        <f aca="false">D_ref*1.5</f>
        <v>180</v>
      </c>
      <c r="C67" s="469" t="n">
        <f aca="false">1/2*Rho_moyen*PI()*D_var^2/4*Cx/10^6</f>
        <v>0.00779311327631118</v>
      </c>
      <c r="D67" s="470" t="n">
        <f aca="false">MpropuPlein+2*MasseSans</f>
        <v>15.137</v>
      </c>
      <c r="E67" s="470" t="n">
        <f aca="false">m_var - 0.5*m_poudre</f>
        <v>14.6205</v>
      </c>
      <c r="F67" s="470" t="n">
        <f aca="false">m_var - m_poudre</f>
        <v>14.104</v>
      </c>
      <c r="G67" s="471" t="n">
        <f aca="false">MAX(0, (I_total/Temps_fin_propu)/m_prop-g)</f>
        <v>29.4063138737829</v>
      </c>
      <c r="H67" s="469" t="n">
        <f aca="false">Q_var/m_prop</f>
        <v>0.00053302645438331</v>
      </c>
      <c r="I67" s="469" t="n">
        <f aca="false">Q_var/m_bal</f>
        <v>0.000552546318513272</v>
      </c>
      <c r="J67" s="469" t="n">
        <f aca="false">1/(2*b_prop)*LN(  ((EXP(2*SQRT(a_prop*b_prop)*Temps_fin_propu)+1)^2)  /  (((1+1)^2)*EXP(2*SQRT(a_prop*b_prop)*Temps_fin_propu)))</f>
        <v>183.439581897397</v>
      </c>
      <c r="K67" s="472" t="n">
        <f aca="false">SQRT(a_prop/b_prop)  *  (EXP(2*SQRT(a_prop*b_prop)*Temps_fin_propu)-1)/(EXP(2*SQRT(a_prop*b_prop)*Temps_fin_propu)+1)</f>
        <v>98.9909428471113</v>
      </c>
      <c r="L67" s="473" t="n">
        <f aca="false">alt_prop + 1/(2*b_bal) * LN(1+b_bal/g*V_prop^2)</f>
        <v>581.148072742875</v>
      </c>
      <c r="M67" s="474" t="n">
        <f aca="false">Temps_fin_propu + ATAN(SQRT(b_bal/g)*V_prop)/SQRT(b_bal*g)</f>
        <v>12.2686767601931</v>
      </c>
    </row>
    <row r="71" customFormat="false" ht="12.75" hidden="false" customHeight="false" outlineLevel="0" collapsed="false">
      <c r="B71" s="1" t="str">
        <f aca="false">IF(Lang="Français","Textes pour les graphiques :","Texts for graphics :")</f>
        <v>Textes pour les graphiques :</v>
      </c>
    </row>
    <row r="73" customFormat="false" ht="12" hidden="false" customHeight="false" outlineLevel="0" collapsed="false">
      <c r="B73" s="243" t="str">
        <f aca="false">IF(Lang="Français","Masse totale",IF(Lang="English","Total Mass",""))</f>
        <v>Masse totale</v>
      </c>
    </row>
    <row r="74" customFormat="false" ht="12" hidden="false" customHeight="false" outlineLevel="0" collapsed="false">
      <c r="B74" s="243" t="str">
        <f aca="false">IF(Lang="Français","Vitesse max",IF(Lang="English","Max Velocity",""))</f>
        <v>Vitesse max</v>
      </c>
    </row>
    <row r="75" customFormat="false" ht="12" hidden="false" customHeight="false" outlineLevel="0" collapsed="false">
      <c r="B75" s="243" t="str">
        <f aca="false">Abaco!$B$74 &amp; " / " &amp; Abaco!$B$73</f>
        <v>Vitesse max / Masse totale</v>
      </c>
    </row>
    <row r="76" customFormat="false" ht="12" hidden="false" customHeight="false" outlineLevel="0" collapsed="false">
      <c r="B76" s="243" t="str">
        <f aca="false">IF(Lang="Français","Altitude max",IF(Lang="English","Max Altitude",""))</f>
        <v>Altitude max</v>
      </c>
    </row>
    <row r="77" customFormat="false" ht="12" hidden="false" customHeight="false" outlineLevel="0" collapsed="false">
      <c r="B77" s="243" t="str">
        <f aca="false">Abaco!$B$76 &amp; " / " &amp; Abaco!$B$73</f>
        <v>Altitude max / Masse totale</v>
      </c>
    </row>
    <row r="78" customFormat="false" ht="12" hidden="false" customHeight="false" outlineLevel="0" collapsed="false">
      <c r="B78" s="243" t="str">
        <f aca="false">IF(Lang="Français","Temps de culmination",IF(Lang="English","Apogee time",""))</f>
        <v>Temps de culmination</v>
      </c>
    </row>
    <row r="79" customFormat="false" ht="12" hidden="false" customHeight="false" outlineLevel="0" collapsed="false">
      <c r="B79" s="243" t="str">
        <f aca="false">Abaco!$B$78 &amp; " / " &amp; Abaco!$B$73</f>
        <v>Temps de culmination / Masse totale</v>
      </c>
    </row>
  </sheetData>
  <sheetProtection sheet="true" password="c6ac"/>
  <mergeCells count="12">
    <mergeCell ref="C2:D3"/>
    <mergeCell ref="C4:D4"/>
    <mergeCell ref="C5:D5"/>
    <mergeCell ref="C7:D7"/>
    <mergeCell ref="C8:D8"/>
    <mergeCell ref="C9:D9"/>
    <mergeCell ref="C10:D10"/>
    <mergeCell ref="C11:D11"/>
    <mergeCell ref="C12:D12"/>
    <mergeCell ref="C14:D14"/>
    <mergeCell ref="C15:D15"/>
    <mergeCell ref="C16:D16"/>
  </mergeCells>
  <dataValidations count="3">
    <dataValidation allowBlank="false" errorStyle="stop" operator="between" showDropDown="false" showErrorMessage="false" showInputMessage="false" sqref="C12:D12" type="none">
      <formula1>0</formula1>
      <formula2>0</formula2>
    </dataValidation>
    <dataValidation allowBlank="false" errorStyle="stop" operator="greaterThanOrEqual" showDropDown="false" showErrorMessage="false" showInputMessage="false" sqref="C10:D11" type="none">
      <formula1>0</formula1>
      <formula2>0</formula2>
    </dataValidation>
    <dataValidation allowBlank="false" error="Le Cx est souvent compris entre 0 et 1.&#10;Cx may be between 0 &amp; 1." errorStyle="warning" errorTitle="Cx" operator="between" showDropDown="false" showErrorMessage="true" showInputMessage="false" sqref="C16:D16" type="decimal">
      <formula1>0</formula1>
      <formula2>1</formula2>
    </dataValidation>
  </dataValidations>
  <hyperlinks>
    <hyperlink ref="B12" location="Stabilito!C17" display="#Stabilito!C17"/>
  </hyperlink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C2:H5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49" activeCellId="0" sqref="E49"/>
    </sheetView>
  </sheetViews>
  <sheetFormatPr defaultColWidth="10.6796875" defaultRowHeight="12" zeroHeight="false" outlineLevelRow="0" outlineLevelCol="0"/>
  <cols>
    <col collapsed="false" customWidth="true" hidden="false" outlineLevel="0" max="1" min="1" style="243" width="2.18"/>
    <col collapsed="false" customWidth="true" hidden="false" outlineLevel="0" max="2" min="2" style="243" width="16.27"/>
    <col collapsed="false" customWidth="true" hidden="false" outlineLevel="0" max="4" min="3" style="243" width="13.63"/>
  </cols>
  <sheetData>
    <row r="2" customFormat="false" ht="12" hidden="false" customHeight="false" outlineLevel="0" collapsed="false">
      <c r="C2" s="162" t="s">
        <v>378</v>
      </c>
      <c r="D2" s="162"/>
    </row>
    <row r="3" customFormat="false" ht="12" hidden="false" customHeight="false" outlineLevel="0" collapsed="false">
      <c r="C3" s="162"/>
      <c r="D3" s="162"/>
    </row>
    <row r="5" customFormat="false" ht="12.75" hidden="false" customHeight="false" outlineLevel="0" collapsed="false">
      <c r="C5" s="475" t="str">
        <f aca="false">IF(Lang="Français","Stabilité de fusée à ailerons","Stability of finned rocket")</f>
        <v>Stabilité de fusée à ailerons</v>
      </c>
    </row>
    <row r="6" customFormat="false" ht="12.75" hidden="false" customHeight="false" outlineLevel="0" collapsed="false">
      <c r="C6" s="476" t="str">
        <f aca="false">IF(Lang="Français","Calculs de Stabilité basés sur les équations de Barrowman","Stability calculs are based on Barrowman equations")</f>
        <v>Calculs de Stabilité basés sur les équations de Barrowman</v>
      </c>
    </row>
    <row r="7" customFormat="false" ht="12.75" hidden="false" customHeight="false" outlineLevel="0" collapsed="false">
      <c r="C7" s="475" t="str">
        <f aca="false">IF(Lang="Français","Trajectographie de fusée","Rocket Trajectography")</f>
        <v>Trajectographie de fusée</v>
      </c>
    </row>
    <row r="8" customFormat="false" ht="12.75" hidden="false" customHeight="false" outlineLevel="0" collapsed="false">
      <c r="C8" s="476" t="str">
        <f aca="false">IF(Lang="Français","Trajectoire dans un plan par calcul pas à pas","Trajectory in a plane, step by step computation")</f>
        <v>Trajectoire dans un plan par calcul pas à pas</v>
      </c>
    </row>
    <row r="9" customFormat="false" ht="12.75" hidden="false" customHeight="false" outlineLevel="0" collapsed="false">
      <c r="C9" s="476"/>
    </row>
    <row r="10" customFormat="false" ht="12" hidden="false" customHeight="false" outlineLevel="0" collapsed="false">
      <c r="C10" s="477" t="str">
        <f aca="false">IF(Lang="Français","Documentation et équations :","Documentation and equations are aviable in french:")</f>
        <v>Documentation et équations :</v>
      </c>
    </row>
    <row r="11" customFormat="false" ht="12" hidden="false" customHeight="false" outlineLevel="0" collapsed="false">
      <c r="C11" s="243" t="str">
        <f aca="false">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customFormat="false" ht="12" hidden="false" customHeight="false" outlineLevel="0" collapsed="false">
      <c r="C12" s="243" t="str">
        <f aca="false">IF(Lang="Français","Néanmoins, les équations d'intégration du mouvement utilisées sont légèrement différentes !","")</f>
        <v>Néanmoins, les équations d'intégration du mouvement utilisées sont légèrement différentes !</v>
      </c>
    </row>
    <row r="13" customFormat="false" ht="12" hidden="false" customHeight="false" outlineLevel="0" collapsed="false">
      <c r="C13" s="243" t="str">
        <f aca="false">IF(Lang="Français","Logiciels et dossier technique téléchargeables sur :","Softwares and french documentation can be downloaded at:")</f>
        <v>Logiciels et dossier technique téléchargeables sur :</v>
      </c>
      <c r="H13" s="478" t="s">
        <v>379</v>
      </c>
    </row>
    <row r="15" customFormat="false" ht="12" hidden="false" customHeight="false" outlineLevel="0" collapsed="false">
      <c r="C15" s="477" t="str">
        <f aca="false">IF(Lang="Français","Pour les experts :","For experts:")</f>
        <v>Pour les experts :</v>
      </c>
    </row>
    <row r="16" customFormat="false" ht="12" hidden="false" customHeight="false" outlineLevel="0" collapsed="false">
      <c r="C16" s="180" t="str">
        <f aca="false">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customFormat="false" ht="12" hidden="false" customHeight="false" outlineLevel="0" collapsed="false">
      <c r="C17" s="479" t="str">
        <f aca="false">IF(Lang="Français","et faire vos modifications personnelles (ajout de moteur...).","and do your personal modification (adding a motor...)")</f>
        <v>et faire vos modifications personnelles (ajout de moteur...).</v>
      </c>
    </row>
    <row r="18" customFormat="false" ht="12" hidden="false" customHeight="false" outlineLevel="0" collapsed="false">
      <c r="C18" s="180" t="s">
        <v>380</v>
      </c>
    </row>
    <row r="19" customFormat="false" ht="12" hidden="false" customHeight="false" outlineLevel="0" collapsed="false">
      <c r="C19" s="479" t="str">
        <f aca="false">IF(Lang="Français","Merci néanmoins de diffuser uniquement la version officielle protégée (fichier initial).","Please avoid distributing unlocked version.")</f>
        <v>Merci néanmoins de diffuser uniquement la version officielle protégée (fichier initial).</v>
      </c>
    </row>
    <row r="20" customFormat="false" ht="12" hidden="false" customHeight="false" outlineLevel="0" collapsed="false">
      <c r="C20" s="479" t="str">
        <f aca="false">IF(Lang="Français","Aucune Macro. Mise en forme conditionnelle, Noms de zone.","No macro. Conditionnal formating, named zones.")</f>
        <v>Aucune Macro. Mise en forme conditionnelle, Noms de zone.</v>
      </c>
    </row>
    <row r="21" customFormat="false" ht="12" hidden="false" customHeight="false" outlineLevel="0" collapsed="false">
      <c r="C21" s="479" t="str">
        <f aca="false">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customFormat="false" ht="12" hidden="false" customHeight="false" outlineLevel="0" collapsed="false">
      <c r="C22" s="479" t="str">
        <f aca="false">IF(Lang="Français","Les unités sont réglés dans le Format de la cellule.","Units are set in cell number Format")</f>
        <v>Les unités sont réglés dans le Format de la cellule.</v>
      </c>
      <c r="H22" s="478" t="s">
        <v>381</v>
      </c>
    </row>
    <row r="23" customFormat="false" ht="12" hidden="false" customHeight="false" outlineLevel="0" collapsed="false">
      <c r="C23" s="479" t="str">
        <f aca="false">IF(Lang="Français","Vous pouvez proposer vos améliorations en envoyant votre fichier à : ","Send all remarks and improvements proposals to:")</f>
        <v>Vous pouvez proposer vos améliorations en envoyant votre fichier à : </v>
      </c>
      <c r="H23" s="478"/>
    </row>
    <row r="25" customFormat="false" ht="12" hidden="false" customHeight="false" outlineLevel="0" collapsed="false">
      <c r="C25" s="477" t="str">
        <f aca="false">IF(Lang="Français","Licence :","License:")</f>
        <v>Licence :</v>
      </c>
      <c r="D25" s="480"/>
    </row>
    <row r="26" customFormat="false" ht="12" hidden="false" customHeight="false" outlineLevel="0" collapsed="false">
      <c r="C26" s="243" t="str">
        <f aca="false">IF(Lang="Français","Ce logiciel est placé sous la licence Creative Commons BY-SA","This software is placed under Creative Commons licence BY-SA")</f>
        <v>Ce logiciel est placé sous la licence Creative Commons BY-SA</v>
      </c>
      <c r="H26" s="478" t="s">
        <v>382</v>
      </c>
    </row>
    <row r="28" customFormat="false" ht="12" hidden="false" customHeight="false" outlineLevel="0" collapsed="false">
      <c r="C28" s="477" t="str">
        <f aca="false">IF(Lang="Français","Compatibilité :","Compatibility:")</f>
        <v>Compatibilité :</v>
      </c>
    </row>
    <row r="29" customFormat="false" ht="12" hidden="false" customHeight="false" outlineLevel="0" collapsed="false">
      <c r="C29" s="243" t="s">
        <v>383</v>
      </c>
    </row>
    <row r="30" customFormat="false" ht="12" hidden="false" customHeight="false" outlineLevel="0" collapsed="false">
      <c r="C30" s="243" t="s">
        <v>384</v>
      </c>
    </row>
    <row r="31" customFormat="false" ht="12" hidden="false" customHeight="false" outlineLevel="0" collapsed="false">
      <c r="C31" s="481" t="s">
        <v>385</v>
      </c>
    </row>
    <row r="33" customFormat="false" ht="12" hidden="false" customHeight="false" outlineLevel="0" collapsed="false">
      <c r="C33" s="477" t="str">
        <f aca="false">IF(Lang="Français","Historique :","History:")</f>
        <v>Historique :</v>
      </c>
    </row>
    <row r="34" customFormat="false" ht="12" hidden="false" customHeight="false" outlineLevel="0" collapsed="false">
      <c r="C34" s="243" t="s">
        <v>386</v>
      </c>
      <c r="D34" s="243" t="s">
        <v>387</v>
      </c>
      <c r="E34" s="482" t="s">
        <v>388</v>
      </c>
      <c r="F34" s="243" t="str">
        <f aca="false">IF(Lang="Français","Essais personnels, héritage d'une feuille de calcul de Vincent Girard, ESO","Personnel tests")</f>
        <v>Essais personnels, héritage d'une feuille de calcul de Vincent Girard, ESO</v>
      </c>
    </row>
    <row r="35" customFormat="false" ht="12" hidden="false" customHeight="false" outlineLevel="0" collapsed="false">
      <c r="C35" s="243" t="s">
        <v>389</v>
      </c>
      <c r="D35" s="243" t="s">
        <v>387</v>
      </c>
      <c r="E35" s="480" t="n">
        <v>39483</v>
      </c>
      <c r="F35" s="243" t="str">
        <f aca="false">IF(Lang="Français","Equations de Barrowman généralisées (D_ref), masquage inter-ailerons, bilingue fr-en","Generalized Barrowman equations (D_ref), fin-fin interaction, english translation")</f>
        <v>Equations de Barrowman généralisées (D_ref), masquage inter-ailerons, bilingue fr-en</v>
      </c>
    </row>
    <row r="36" customFormat="false" ht="12" hidden="false" customHeight="false" outlineLevel="0" collapsed="false">
      <c r="C36" s="243" t="s">
        <v>390</v>
      </c>
      <c r="D36" s="243" t="s">
        <v>387</v>
      </c>
      <c r="E36" s="480" t="n">
        <v>39507</v>
      </c>
      <c r="F36" s="243" t="str">
        <f aca="false">IF(Lang="Français","Schéma de la fusée, estimation analytique de la trajecto, diagramme des critères","Rocket schematic, analytical trajecto, criterions diagram")</f>
        <v>Schéma de la fusée, estimation analytique de la trajecto, diagramme des critères</v>
      </c>
    </row>
    <row r="37" customFormat="false" ht="12" hidden="false" customHeight="false" outlineLevel="0" collapsed="false">
      <c r="C37" s="243" t="s">
        <v>391</v>
      </c>
      <c r="D37" s="243" t="s">
        <v>387</v>
      </c>
      <c r="E37" s="480" t="n">
        <v>39694</v>
      </c>
      <c r="F37" s="243" t="str">
        <f aca="false">IF(Lang="Français","Mise en forme","Formatting")</f>
        <v>Mise en forme</v>
      </c>
    </row>
    <row r="38" customFormat="false" ht="12" hidden="false" customHeight="false" outlineLevel="0" collapsed="false">
      <c r="C38" s="243" t="s">
        <v>392</v>
      </c>
      <c r="D38" s="243" t="s">
        <v>387</v>
      </c>
      <c r="E38" s="480" t="n">
        <v>39643</v>
      </c>
      <c r="F38" s="243" t="str">
        <f aca="false">IF(Lang="Français","Essais personnels, héritage d'une feuille de calcul de Félicien Roux, ESO","Personal tests")</f>
        <v>Essais personnels, héritage d'une feuille de calcul de Félicien Roux, ESO</v>
      </c>
    </row>
    <row r="39" customFormat="false" ht="12" hidden="false" customHeight="false" outlineLevel="0" collapsed="false">
      <c r="C39" s="243" t="s">
        <v>393</v>
      </c>
      <c r="D39" s="243" t="s">
        <v>387</v>
      </c>
      <c r="E39" s="480" t="n">
        <v>39755</v>
      </c>
      <c r="F39" s="243" t="str">
        <f aca="false">IF(Lang="Français","Réécriture équations, traduction, érgonomie","Equations, traduction, ergonomy")</f>
        <v>Réécriture équations, traduction, érgonomie</v>
      </c>
    </row>
    <row r="40" customFormat="false" ht="12" hidden="false" customHeight="false" outlineLevel="0" collapsed="false">
      <c r="C40" s="243" t="s">
        <v>394</v>
      </c>
      <c r="D40" s="243" t="s">
        <v>387</v>
      </c>
      <c r="E40" s="480" t="n">
        <v>39756</v>
      </c>
      <c r="F40" s="243" t="str">
        <f aca="false">IF(Lang="Français","Conditions Initiales pour vol 2e étage, 1ère publication","Initial Conditions, 1st publication")</f>
        <v>Conditions Initiales pour vol 2e étage, 1ère publication</v>
      </c>
    </row>
    <row r="41" customFormat="false" ht="12" hidden="false" customHeight="false" outlineLevel="0" collapsed="false">
      <c r="C41" s="243" t="s">
        <v>395</v>
      </c>
      <c r="D41" s="243" t="s">
        <v>387</v>
      </c>
      <c r="E41" s="480" t="n">
        <v>40658</v>
      </c>
      <c r="F41" s="243" t="s">
        <v>396</v>
      </c>
    </row>
    <row r="42" customFormat="false" ht="12" hidden="false" customHeight="false" outlineLevel="0" collapsed="false">
      <c r="C42" s="243" t="s">
        <v>397</v>
      </c>
      <c r="D42" s="243" t="s">
        <v>387</v>
      </c>
      <c r="E42" s="480" t="n">
        <v>40868</v>
      </c>
      <c r="F42" s="243" t="str">
        <f aca="false">IF(Lang="Français","Fusion Stabilito+Trajecto, mise en forme, Ctrl, RC, H2O, Abaco","Merge Stabilito+Trajecto, formatting, Ctrl, RC, H2O, Abaco")</f>
        <v>Fusion Stabilito+Trajecto, mise en forme, Ctrl, RC, H2O, Abaco</v>
      </c>
    </row>
    <row r="43" customFormat="false" ht="12" hidden="false" customHeight="false" outlineLevel="0" collapsed="false">
      <c r="C43" s="243" t="s">
        <v>398</v>
      </c>
      <c r="D43" s="243" t="s">
        <v>387</v>
      </c>
      <c r="E43" s="480" t="n">
        <v>41194</v>
      </c>
      <c r="F43" s="243" t="s">
        <v>399</v>
      </c>
    </row>
    <row r="44" customFormat="false" ht="12" hidden="false" customHeight="false" outlineLevel="0" collapsed="false">
      <c r="C44" s="243" t="s">
        <v>400</v>
      </c>
      <c r="D44" s="243" t="s">
        <v>387</v>
      </c>
      <c r="E44" s="480" t="n">
        <v>41329</v>
      </c>
      <c r="F44" s="243" t="s">
        <v>401</v>
      </c>
    </row>
    <row r="45" customFormat="false" ht="12" hidden="false" customHeight="false" outlineLevel="0" collapsed="false">
      <c r="C45" s="243" t="s">
        <v>402</v>
      </c>
      <c r="D45" s="243" t="s">
        <v>403</v>
      </c>
      <c r="E45" s="480" t="n">
        <v>41947</v>
      </c>
      <c r="F45" s="243" t="s">
        <v>404</v>
      </c>
    </row>
    <row r="46" customFormat="false" ht="12" hidden="false" customHeight="false" outlineLevel="0" collapsed="false">
      <c r="C46" s="243" t="s">
        <v>405</v>
      </c>
      <c r="D46" s="243" t="s">
        <v>403</v>
      </c>
      <c r="E46" s="480" t="n">
        <v>41965</v>
      </c>
      <c r="F46" s="243" t="s">
        <v>406</v>
      </c>
    </row>
    <row r="47" customFormat="false" ht="12" hidden="false" customHeight="false" outlineLevel="0" collapsed="false">
      <c r="C47" s="243" t="s">
        <v>407</v>
      </c>
      <c r="D47" s="243" t="s">
        <v>403</v>
      </c>
      <c r="E47" s="480" t="n">
        <v>43048</v>
      </c>
      <c r="F47" s="243" t="s">
        <v>408</v>
      </c>
    </row>
    <row r="48" customFormat="false" ht="12" hidden="false" customHeight="false" outlineLevel="0" collapsed="false">
      <c r="C48" s="243" t="s">
        <v>409</v>
      </c>
      <c r="D48" s="243" t="s">
        <v>403</v>
      </c>
      <c r="E48" s="480" t="n">
        <v>44160</v>
      </c>
      <c r="F48" s="243" t="s">
        <v>410</v>
      </c>
    </row>
    <row r="49" customFormat="false" ht="12" hidden="false" customHeight="false" outlineLevel="0" collapsed="false">
      <c r="E49" s="480"/>
    </row>
    <row r="51" customFormat="false" ht="12" hidden="false" customHeight="false" outlineLevel="0" collapsed="false">
      <c r="C51" s="477" t="str">
        <f aca="false">IF(Lang="Français","Paramètres de référence :","Reference parameters:")</f>
        <v>Paramètres de référence :</v>
      </c>
    </row>
    <row r="52" customFormat="false" ht="12" hidden="false" customHeight="false" outlineLevel="0" collapsed="false">
      <c r="C52" s="483" t="str">
        <f aca="false">IF(Lang="Français","Gravité g :","Gravity g")</f>
        <v>Gravité g :</v>
      </c>
      <c r="E52" s="483" t="n">
        <v>9.81</v>
      </c>
      <c r="F52" s="483" t="s">
        <v>178</v>
      </c>
    </row>
    <row r="53" customFormat="false" ht="12" hidden="false" customHeight="false" outlineLevel="0" collapsed="false">
      <c r="C53" s="483" t="str">
        <f aca="false">IF(Lang="Français","Masse volumique de l'air ρ :","Air density ρ")</f>
        <v>Masse volumique de l'air ρ :</v>
      </c>
      <c r="E53" s="484" t="n">
        <v>1.225</v>
      </c>
      <c r="F53" s="483" t="s">
        <v>334</v>
      </c>
    </row>
    <row r="54" customFormat="false" ht="12" hidden="false" customHeight="false" outlineLevel="0" collapsed="false">
      <c r="C54" s="479"/>
    </row>
    <row r="55" customFormat="false" ht="12" hidden="false" customHeight="false" outlineLevel="0" collapsed="false">
      <c r="C55" s="479"/>
    </row>
    <row r="56" customFormat="false" ht="12" hidden="false" customHeight="false" outlineLevel="0" collapsed="false">
      <c r="C56" s="479"/>
    </row>
    <row r="57" customFormat="false" ht="12" hidden="false" customHeight="false" outlineLevel="0" collapsed="false">
      <c r="C57" s="479"/>
    </row>
    <row r="58" customFormat="false" ht="12" hidden="false" customHeight="false" outlineLevel="0" collapsed="false">
      <c r="C58" s="479"/>
    </row>
    <row r="59" customFormat="false" ht="12" hidden="false" customHeight="false" outlineLevel="0" collapsed="false">
      <c r="C59" s="479"/>
    </row>
  </sheetData>
  <sheetProtection sheet="true" password="c6ac" objects="true" scenarios="true"/>
  <mergeCells count="1">
    <mergeCell ref="C2:D3"/>
  </mergeCells>
  <hyperlinks>
    <hyperlink ref="H13" r:id="rId2" display="http://www.planete-sciences.org/espace/basedoc/"/>
    <hyperlink ref="H22" r:id="rId3" display="espace@planete-sciences.org"/>
    <hyperlink ref="H26" r:id="rId4" display="http://creativecommons.org/licenses/by-sa/3.0/"/>
  </hyperlinks>
  <printOptions headings="false" gridLines="false" gridLinesSet="true" horizontalCentered="false" verticalCentered="false"/>
  <pageMargins left="0.39375" right="0.39375" top="0.39375" bottom="0.393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legacyDrawing r:id="rId6"/>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U134"/>
  <sheetViews>
    <sheetView showFormulas="false" showGridLines="false" showRowColHeaders="true" showZeros="true" rightToLeft="false" tabSelected="false" showOutlineSymbols="true" defaultGridColor="true" view="normal" topLeftCell="D1" colorId="64" zoomScale="100" zoomScaleNormal="100" zoomScalePageLayoutView="100" workbookViewId="0">
      <selection pane="topLeft" activeCell="H4" activeCellId="0" sqref="H4"/>
    </sheetView>
  </sheetViews>
  <sheetFormatPr defaultColWidth="11.6328125" defaultRowHeight="12" zeroHeight="false" outlineLevelRow="0" outlineLevelCol="0"/>
  <cols>
    <col collapsed="false" customWidth="true" hidden="false" outlineLevel="0" max="2" min="1" style="243" width="2.18"/>
    <col collapsed="false" customWidth="true" hidden="false" outlineLevel="0" max="3" min="3" style="243" width="12.63"/>
    <col collapsed="false" customWidth="true" hidden="false" outlineLevel="0" max="4" min="4" style="243" width="21"/>
    <col collapsed="false" customWidth="true" hidden="false" outlineLevel="0" max="7" min="7" style="243" width="26.63"/>
    <col collapsed="false" customWidth="true" hidden="false" outlineLevel="0" max="9" min="8" style="243" width="6.73"/>
    <col collapsed="false" customWidth="true" hidden="false" outlineLevel="0" max="10" min="10" style="243" width="10"/>
    <col collapsed="false" customWidth="true" hidden="false" outlineLevel="0" max="11" min="11" style="243" width="13"/>
    <col collapsed="false" customWidth="true" hidden="false" outlineLevel="0" max="12" min="12" style="243" width="21.27"/>
    <col collapsed="false" customWidth="true" hidden="false" outlineLevel="0" max="14" min="14" style="243" width="2.18"/>
    <col collapsed="false" customWidth="true" hidden="false" outlineLevel="0" max="19" min="18" style="243" width="16.27"/>
  </cols>
  <sheetData>
    <row r="1" customFormat="false" ht="13.5" hidden="false" customHeight="false" outlineLevel="0" collapsed="false">
      <c r="O1" s="171"/>
      <c r="P1" s="479"/>
      <c r="Q1" s="479"/>
      <c r="R1" s="479"/>
      <c r="S1" s="479"/>
      <c r="T1" s="479"/>
      <c r="U1" s="479"/>
    </row>
    <row r="2" customFormat="false" ht="13.5" hidden="false" customHeight="false" outlineLevel="0" collapsed="false">
      <c r="B2" s="485"/>
      <c r="C2" s="443"/>
      <c r="D2" s="443"/>
      <c r="E2" s="443"/>
      <c r="F2" s="443"/>
      <c r="G2" s="443"/>
      <c r="H2" s="443"/>
      <c r="I2" s="443"/>
      <c r="J2" s="443"/>
      <c r="K2" s="443"/>
      <c r="L2" s="443"/>
      <c r="M2" s="443"/>
      <c r="N2" s="444"/>
      <c r="O2" s="171"/>
      <c r="P2" s="479"/>
      <c r="Q2" s="479"/>
      <c r="R2" s="479"/>
      <c r="S2" s="479"/>
      <c r="T2" s="479"/>
      <c r="U2" s="479"/>
    </row>
    <row r="3" customFormat="false" ht="15.75" hidden="false" customHeight="true" outlineLevel="0" collapsed="false">
      <c r="B3" s="240"/>
      <c r="C3" s="180"/>
      <c r="D3" s="161" t="s">
        <v>411</v>
      </c>
      <c r="E3" s="180"/>
      <c r="F3" s="180"/>
      <c r="G3" s="180"/>
      <c r="H3" s="180"/>
      <c r="I3" s="180"/>
      <c r="J3" s="180"/>
      <c r="K3" s="180"/>
      <c r="L3" s="180"/>
      <c r="M3" s="180"/>
      <c r="N3" s="445"/>
      <c r="O3" s="171"/>
      <c r="P3" s="486" t="s">
        <v>412</v>
      </c>
      <c r="Q3" s="487" t="n">
        <f aca="false">Long_ogive</f>
        <v>400</v>
      </c>
      <c r="R3" s="479"/>
      <c r="S3" s="479"/>
      <c r="T3" s="479"/>
      <c r="U3" s="479"/>
    </row>
    <row r="4" customFormat="false" ht="15.75" hidden="false" customHeight="true" outlineLevel="0" collapsed="false">
      <c r="B4" s="240"/>
      <c r="C4" s="180"/>
      <c r="D4" s="161"/>
      <c r="E4" s="180"/>
      <c r="F4" s="180"/>
      <c r="G4" s="180"/>
      <c r="H4" s="180"/>
      <c r="I4" s="180"/>
      <c r="J4" s="180"/>
      <c r="K4" s="180"/>
      <c r="L4" s="180"/>
      <c r="M4" s="180"/>
      <c r="N4" s="445"/>
      <c r="O4" s="171"/>
      <c r="P4" s="486"/>
      <c r="Q4" s="362"/>
      <c r="R4" s="479"/>
      <c r="S4" s="479"/>
      <c r="T4" s="479"/>
      <c r="U4" s="479"/>
    </row>
    <row r="5" customFormat="false" ht="15.75" hidden="false" customHeight="true" outlineLevel="0" collapsed="false">
      <c r="B5" s="240"/>
      <c r="C5" s="180"/>
      <c r="D5" s="479" t="s">
        <v>413</v>
      </c>
      <c r="E5" s="180" t="str">
        <f aca="false">Propu</f>
        <v>Barasinga (Pro54-5G C)</v>
      </c>
      <c r="F5" s="180"/>
      <c r="G5" s="180" t="s">
        <v>414</v>
      </c>
      <c r="H5" s="180" t="n">
        <f aca="false">MasseSans</f>
        <v>6.726</v>
      </c>
      <c r="I5" s="180"/>
      <c r="J5" s="180"/>
      <c r="K5" s="180"/>
      <c r="L5" s="180"/>
      <c r="M5" s="180"/>
      <c r="N5" s="445"/>
      <c r="O5" s="171"/>
      <c r="P5" s="486"/>
      <c r="Q5" s="362"/>
      <c r="R5" s="479"/>
      <c r="S5" s="479"/>
      <c r="T5" s="479"/>
      <c r="U5" s="479"/>
    </row>
    <row r="6" customFormat="false" ht="12.75" hidden="false" customHeight="false" outlineLevel="0" collapsed="false">
      <c r="B6" s="240"/>
      <c r="D6" s="180" t="s">
        <v>415</v>
      </c>
      <c r="E6" s="161" t="str">
        <f aca="false">Trajecto!H32</f>
        <v>Brun/Orange…</v>
      </c>
      <c r="G6" s="180" t="s">
        <v>416</v>
      </c>
      <c r="H6" s="180" t="n">
        <f aca="false">D_ref</f>
        <v>120</v>
      </c>
      <c r="I6" s="180"/>
      <c r="J6" s="180"/>
      <c r="K6" s="180"/>
      <c r="L6" s="180"/>
      <c r="M6" s="180"/>
      <c r="N6" s="445"/>
      <c r="O6" s="171"/>
      <c r="P6" s="486"/>
      <c r="Q6" s="362"/>
      <c r="R6" s="479"/>
      <c r="S6" s="479"/>
      <c r="T6" s="479"/>
      <c r="U6" s="479"/>
    </row>
    <row r="7" customFormat="false" ht="12.75" hidden="false" customHeight="false" outlineLevel="0" collapsed="false">
      <c r="B7" s="240"/>
      <c r="D7" s="180" t="s">
        <v>417</v>
      </c>
      <c r="E7" s="161" t="str">
        <f aca="false">Trajecto!H33</f>
        <v>Rouge…</v>
      </c>
      <c r="G7" s="243" t="s">
        <v>160</v>
      </c>
      <c r="H7" s="243" t="n">
        <f aca="false">Cx</f>
        <v>0.5</v>
      </c>
      <c r="I7" s="180"/>
      <c r="J7" s="180"/>
      <c r="K7" s="180"/>
      <c r="L7" s="180"/>
      <c r="M7" s="180"/>
      <c r="N7" s="445"/>
      <c r="O7" s="171"/>
      <c r="P7" s="486"/>
      <c r="Q7" s="362"/>
      <c r="R7" s="479"/>
      <c r="S7" s="479"/>
      <c r="T7" s="479"/>
      <c r="U7" s="479"/>
    </row>
    <row r="8" customFormat="false" ht="12.75" hidden="false" customHeight="false" outlineLevel="0" collapsed="false">
      <c r="B8" s="240"/>
      <c r="D8" s="180" t="s">
        <v>418</v>
      </c>
      <c r="E8" s="161" t="n">
        <f aca="false">S_para</f>
        <v>0.260205</v>
      </c>
      <c r="G8" s="180" t="s">
        <v>419</v>
      </c>
      <c r="H8" s="180" t="n">
        <f aca="false">L_rampe</f>
        <v>4</v>
      </c>
      <c r="I8" s="180"/>
      <c r="J8" s="180"/>
      <c r="K8" s="180"/>
      <c r="L8" s="180"/>
      <c r="M8" s="180"/>
      <c r="N8" s="445"/>
      <c r="O8" s="171"/>
      <c r="P8" s="486"/>
      <c r="Q8" s="362"/>
      <c r="R8" s="479"/>
      <c r="S8" s="479"/>
      <c r="T8" s="479"/>
      <c r="U8" s="479"/>
    </row>
    <row r="9" customFormat="false" ht="12.75" hidden="false" customHeight="false" outlineLevel="0" collapsed="false">
      <c r="B9" s="240"/>
      <c r="D9" s="180" t="s">
        <v>420</v>
      </c>
      <c r="E9" s="161"/>
      <c r="G9" s="180" t="s">
        <v>421</v>
      </c>
      <c r="H9" s="488" t="str">
        <f aca="false">Forme_ogive</f>
        <v>Ogivale (pointue)</v>
      </c>
      <c r="I9" s="180"/>
      <c r="J9" s="180"/>
      <c r="K9" s="180"/>
      <c r="L9" s="180"/>
      <c r="M9" s="180"/>
      <c r="N9" s="445"/>
      <c r="O9" s="171"/>
      <c r="P9" s="486"/>
      <c r="Q9" s="362"/>
      <c r="R9" s="479"/>
      <c r="S9" s="479"/>
      <c r="T9" s="479"/>
      <c r="U9" s="479"/>
    </row>
    <row r="10" customFormat="false" ht="12.75" hidden="false" customHeight="false" outlineLevel="0" collapsed="false">
      <c r="B10" s="240"/>
      <c r="C10" s="180"/>
      <c r="D10" s="180"/>
      <c r="E10" s="180"/>
      <c r="F10" s="164"/>
      <c r="G10" s="171"/>
      <c r="H10" s="180"/>
      <c r="I10" s="180"/>
      <c r="J10" s="180"/>
      <c r="K10" s="180"/>
      <c r="L10" s="180"/>
      <c r="M10" s="180"/>
      <c r="N10" s="445"/>
      <c r="O10" s="489"/>
      <c r="P10" s="479"/>
      <c r="Q10" s="362"/>
      <c r="R10" s="479"/>
      <c r="S10" s="479"/>
      <c r="T10" s="479"/>
      <c r="U10" s="479"/>
    </row>
    <row r="11" customFormat="false" ht="13.5" hidden="false" customHeight="false" outlineLevel="0" collapsed="false">
      <c r="B11" s="240"/>
      <c r="C11" s="490"/>
      <c r="D11" s="491" t="s">
        <v>422</v>
      </c>
      <c r="E11" s="492" t="n">
        <f aca="false">MasseSans</f>
        <v>6.726</v>
      </c>
      <c r="F11" s="493" t="s">
        <v>423</v>
      </c>
      <c r="G11" s="493" t="s">
        <v>424</v>
      </c>
      <c r="H11" s="494" t="n">
        <f aca="false">Vsortie_de_rampe</f>
        <v>26.6129263376326</v>
      </c>
      <c r="I11" s="494"/>
      <c r="J11" s="495"/>
      <c r="K11" s="180"/>
      <c r="L11" s="180"/>
      <c r="M11" s="180"/>
      <c r="N11" s="445"/>
      <c r="O11" s="180"/>
      <c r="P11" s="479"/>
      <c r="Q11" s="362"/>
      <c r="R11" s="479"/>
      <c r="S11" s="479"/>
      <c r="T11" s="479"/>
      <c r="U11" s="496" t="str">
        <f aca="false">IF(RIGHT(Nb_diam,1)=",", "", X_j)</f>
        <v/>
      </c>
    </row>
    <row r="12" customFormat="false" ht="13.5" hidden="false" customHeight="false" outlineLevel="0" collapsed="false">
      <c r="B12" s="240"/>
      <c r="C12" s="490"/>
      <c r="D12" s="497"/>
      <c r="E12" s="498"/>
      <c r="F12" s="171" t="s">
        <v>423</v>
      </c>
      <c r="G12" s="171" t="s">
        <v>425</v>
      </c>
      <c r="H12" s="499" t="n">
        <f aca="false">Finesse</f>
        <v>13.8333333333333</v>
      </c>
      <c r="I12" s="499"/>
      <c r="J12" s="495"/>
      <c r="K12" s="180"/>
      <c r="L12" s="180"/>
      <c r="M12" s="180"/>
      <c r="N12" s="445"/>
      <c r="O12" s="171"/>
      <c r="P12" s="486" t="s">
        <v>426</v>
      </c>
      <c r="Q12" s="487" t="n">
        <f aca="false">D_og</f>
        <v>120</v>
      </c>
      <c r="R12" s="479"/>
      <c r="S12" s="479"/>
      <c r="T12" s="479"/>
      <c r="U12" s="362"/>
    </row>
    <row r="13" customFormat="false" ht="12.75" hidden="false" customHeight="false" outlineLevel="0" collapsed="false">
      <c r="B13" s="240"/>
      <c r="C13" s="490"/>
      <c r="D13" s="497" t="s">
        <v>160</v>
      </c>
      <c r="E13" s="498" t="n">
        <f aca="false">Cx</f>
        <v>0.5</v>
      </c>
      <c r="F13" s="171" t="s">
        <v>423</v>
      </c>
      <c r="G13" s="171" t="s">
        <v>427</v>
      </c>
      <c r="H13" s="499" t="n">
        <f aca="false">Cn</f>
        <v>21.4975242818324</v>
      </c>
      <c r="I13" s="499"/>
      <c r="J13" s="495"/>
      <c r="K13" s="180"/>
      <c r="L13" s="180"/>
      <c r="M13" s="180"/>
      <c r="N13" s="445"/>
      <c r="O13" s="171"/>
      <c r="P13" s="479"/>
      <c r="Q13" s="362"/>
      <c r="R13" s="479"/>
      <c r="S13" s="479"/>
      <c r="T13" s="479"/>
      <c r="U13" s="496" t="str">
        <f aca="false">IF(RIGHT(Nb_diam,1)=",", "", X_r)</f>
        <v/>
      </c>
    </row>
    <row r="14" customFormat="false" ht="12.75" hidden="false" customHeight="false" outlineLevel="0" collapsed="false">
      <c r="B14" s="240"/>
      <c r="C14" s="362"/>
      <c r="D14" s="497" t="s">
        <v>428</v>
      </c>
      <c r="E14" s="498" t="n">
        <f aca="false">L_rampe</f>
        <v>4</v>
      </c>
      <c r="F14" s="171" t="s">
        <v>423</v>
      </c>
      <c r="G14" s="171" t="s">
        <v>429</v>
      </c>
      <c r="H14" s="500" t="e">
        <f aca="false">MS_min</f>
        <v>#NAME?</v>
      </c>
      <c r="I14" s="501" t="n">
        <f aca="false">MS_max</f>
        <v>1.45397797113045</v>
      </c>
      <c r="J14" s="495"/>
      <c r="K14" s="495"/>
      <c r="L14" s="180"/>
      <c r="M14" s="180"/>
      <c r="N14" s="445"/>
      <c r="O14" s="180"/>
      <c r="P14" s="479"/>
      <c r="Q14" s="362"/>
      <c r="R14" s="479"/>
      <c r="S14" s="479"/>
      <c r="T14" s="479"/>
      <c r="U14" s="362"/>
    </row>
    <row r="15" customFormat="false" ht="12.75" hidden="false" customHeight="false" outlineLevel="0" collapsed="false">
      <c r="B15" s="240"/>
      <c r="C15" s="362"/>
      <c r="D15" s="497" t="s">
        <v>430</v>
      </c>
      <c r="E15" s="498" t="n">
        <f aca="false">ep_ail</f>
        <v>2</v>
      </c>
      <c r="F15" s="171" t="s">
        <v>423</v>
      </c>
      <c r="G15" s="171" t="s">
        <v>431</v>
      </c>
      <c r="H15" s="500" t="e">
        <f aca="false">MS_Cn_min</f>
        <v>#NAME?</v>
      </c>
      <c r="I15" s="501" t="n">
        <f aca="false">MS_Cn_max</f>
        <v>31.2569267396262</v>
      </c>
      <c r="J15" s="495"/>
      <c r="K15" s="495"/>
      <c r="L15" s="180"/>
      <c r="M15" s="180"/>
      <c r="N15" s="445"/>
      <c r="O15" s="180"/>
      <c r="P15" s="479"/>
      <c r="Q15" s="362"/>
      <c r="R15" s="479"/>
      <c r="S15" s="479"/>
      <c r="T15" s="479"/>
    </row>
    <row r="16" customFormat="false" ht="12.75" hidden="false" customHeight="false" outlineLevel="0" collapsed="false">
      <c r="B16" s="240"/>
      <c r="C16" s="362"/>
      <c r="D16" s="497" t="s">
        <v>432</v>
      </c>
      <c r="E16" s="498" t="n">
        <f aca="false">Q_ail</f>
        <v>3</v>
      </c>
      <c r="F16" s="171" t="s">
        <v>433</v>
      </c>
      <c r="G16" s="171" t="s">
        <v>434</v>
      </c>
      <c r="H16" s="500" t="n">
        <f aca="false">V_para</f>
        <v>21.3104668453572</v>
      </c>
      <c r="I16" s="499" t="n">
        <f aca="false">V_satellite</f>
        <v>12.6555626230572</v>
      </c>
      <c r="J16" s="495"/>
      <c r="K16" s="180"/>
      <c r="L16" s="180"/>
      <c r="M16" s="180"/>
      <c r="N16" s="445"/>
      <c r="O16" s="180"/>
      <c r="P16" s="479"/>
      <c r="Q16" s="362"/>
      <c r="R16" s="479"/>
      <c r="S16" s="479"/>
      <c r="T16" s="479"/>
      <c r="U16" s="496" t="str">
        <f aca="false">IF(RIGHT(Nb_diam,1)=",", "", l_j)</f>
        <v/>
      </c>
    </row>
    <row r="17" customFormat="false" ht="12.75" hidden="false" customHeight="false" outlineLevel="0" collapsed="false">
      <c r="B17" s="240"/>
      <c r="C17" s="362"/>
      <c r="D17" s="497" t="s">
        <v>421</v>
      </c>
      <c r="E17" s="502" t="str">
        <f aca="false">Forme_ogive</f>
        <v>Ogivale (pointue)</v>
      </c>
      <c r="F17" s="171" t="s">
        <v>435</v>
      </c>
      <c r="G17" s="171" t="s">
        <v>436</v>
      </c>
      <c r="H17" s="499" t="n">
        <f aca="false">T_para</f>
        <v>8</v>
      </c>
      <c r="I17" s="499"/>
      <c r="J17" s="503"/>
      <c r="K17" s="180"/>
      <c r="L17" s="180"/>
      <c r="M17" s="180"/>
      <c r="N17" s="445"/>
      <c r="O17" s="180"/>
      <c r="P17" s="504" t="s">
        <v>437</v>
      </c>
      <c r="Q17" s="496" t="str">
        <f aca="false">IF(RIGHT(Nb_diam,1)=",", "", D2j)</f>
        <v/>
      </c>
      <c r="R17" s="479"/>
      <c r="S17" s="479"/>
      <c r="T17" s="479"/>
      <c r="U17" s="362"/>
    </row>
    <row r="18" customFormat="false" ht="12.75" hidden="false" customHeight="false" outlineLevel="0" collapsed="false">
      <c r="B18" s="240"/>
      <c r="C18" s="362"/>
      <c r="D18" s="497" t="s">
        <v>438</v>
      </c>
      <c r="E18" s="505" t="n">
        <f aca="false">XpropuRef-Long_propu</f>
        <v>1172</v>
      </c>
      <c r="F18" s="362" t="s">
        <v>435</v>
      </c>
      <c r="G18" s="362" t="s">
        <v>439</v>
      </c>
      <c r="H18" s="506" t="n">
        <f aca="false">T_para-Combustion-Depotage</f>
        <v>8</v>
      </c>
      <c r="I18" s="506"/>
      <c r="J18" s="180"/>
      <c r="K18" s="180"/>
      <c r="L18" s="180"/>
      <c r="M18" s="180"/>
      <c r="N18" s="445"/>
      <c r="O18" s="180"/>
      <c r="P18" s="479"/>
      <c r="Q18" s="362"/>
      <c r="R18" s="479"/>
      <c r="S18" s="479"/>
    </row>
    <row r="19" customFormat="false" ht="12.75" hidden="false" customHeight="false" outlineLevel="0" collapsed="false">
      <c r="B19" s="240"/>
      <c r="C19" s="507"/>
      <c r="D19" s="508"/>
      <c r="E19" s="509"/>
      <c r="F19" s="510" t="s">
        <v>440</v>
      </c>
      <c r="G19" s="511" t="s">
        <v>441</v>
      </c>
      <c r="H19" s="512" t="n">
        <f aca="false">Portee_balistique</f>
        <v>913.614336176273</v>
      </c>
      <c r="I19" s="512"/>
      <c r="J19" s="180"/>
      <c r="K19" s="180"/>
      <c r="L19" s="180"/>
      <c r="M19" s="180"/>
      <c r="N19" s="445"/>
      <c r="O19" s="180"/>
      <c r="P19" s="479"/>
      <c r="Q19" s="362"/>
      <c r="R19" s="479"/>
      <c r="S19" s="479"/>
      <c r="T19" s="479"/>
    </row>
    <row r="20" customFormat="false" ht="12.75" hidden="false" customHeight="false" outlineLevel="0" collapsed="false">
      <c r="B20" s="240"/>
      <c r="C20" s="362"/>
      <c r="D20" s="171"/>
      <c r="E20" s="171"/>
      <c r="H20" s="513"/>
      <c r="I20" s="513"/>
      <c r="J20" s="180"/>
      <c r="K20" s="180"/>
      <c r="L20" s="180"/>
      <c r="M20" s="180"/>
      <c r="N20" s="445"/>
      <c r="O20" s="180"/>
      <c r="P20" s="479"/>
      <c r="Q20" s="362"/>
      <c r="R20" s="479"/>
      <c r="S20" s="479"/>
      <c r="T20" s="479"/>
      <c r="U20" s="496" t="str">
        <f aca="false">IF(RIGHT(Nb_diam,1)=",", "", l_r)</f>
        <v/>
      </c>
    </row>
    <row r="21" customFormat="false" ht="12.75" hidden="false" customHeight="false" outlineLevel="0" collapsed="false">
      <c r="B21" s="240"/>
      <c r="C21" s="362"/>
      <c r="D21" s="171"/>
      <c r="E21" s="514"/>
      <c r="F21" s="164"/>
      <c r="G21" s="171"/>
      <c r="H21" s="513"/>
      <c r="I21" s="513"/>
      <c r="J21" s="180"/>
      <c r="K21" s="180"/>
      <c r="L21" s="180"/>
      <c r="M21" s="180"/>
      <c r="N21" s="445"/>
      <c r="O21" s="486"/>
      <c r="P21" s="362"/>
      <c r="Q21" s="479"/>
      <c r="R21" s="479"/>
      <c r="S21" s="479"/>
      <c r="T21" s="515"/>
      <c r="U21" s="362"/>
    </row>
    <row r="22" customFormat="false" ht="12.75" hidden="false" customHeight="false" outlineLevel="0" collapsed="false">
      <c r="B22" s="240"/>
      <c r="C22" s="516" t="s">
        <v>442</v>
      </c>
      <c r="D22" s="516" t="s">
        <v>443</v>
      </c>
      <c r="E22" s="517"/>
      <c r="F22" s="518" t="s">
        <v>444</v>
      </c>
      <c r="G22" s="516" t="s">
        <v>445</v>
      </c>
      <c r="I22" s="519"/>
      <c r="J22" s="520" t="s">
        <v>3</v>
      </c>
      <c r="K22" s="516" t="s">
        <v>4</v>
      </c>
      <c r="N22" s="445"/>
      <c r="O22" s="486"/>
      <c r="P22" s="362"/>
      <c r="Q22" s="479"/>
      <c r="R22" s="479"/>
      <c r="S22" s="479"/>
      <c r="T22" s="515"/>
      <c r="U22" s="362"/>
    </row>
    <row r="23" customFormat="false" ht="12.75" hidden="false" customHeight="false" outlineLevel="0" collapsed="false">
      <c r="B23" s="240"/>
      <c r="C23" s="516" t="s">
        <v>446</v>
      </c>
      <c r="D23" s="517" t="n">
        <f aca="false">XcgSans</f>
        <v>639</v>
      </c>
      <c r="E23" s="517" t="s">
        <v>176</v>
      </c>
      <c r="F23" s="518" t="n">
        <f aca="false">m_ail</f>
        <v>190</v>
      </c>
      <c r="G23" s="516" t="n">
        <f aca="false">m_can</f>
        <v>58</v>
      </c>
      <c r="I23" s="519" t="s">
        <v>447</v>
      </c>
      <c r="J23" s="518" t="n">
        <f aca="false">l_j</f>
        <v>50</v>
      </c>
      <c r="K23" s="516" t="n">
        <f aca="false">l_r</f>
        <v>50</v>
      </c>
      <c r="N23" s="445"/>
      <c r="O23" s="486"/>
      <c r="P23" s="362"/>
      <c r="Q23" s="479"/>
      <c r="R23" s="479"/>
      <c r="S23" s="479"/>
      <c r="T23" s="515"/>
      <c r="U23" s="362"/>
    </row>
    <row r="24" customFormat="false" ht="12.75" hidden="false" customHeight="false" outlineLevel="0" collapsed="false">
      <c r="B24" s="240"/>
      <c r="C24" s="516" t="s">
        <v>448</v>
      </c>
      <c r="D24" s="516" t="n">
        <f aca="false">Long_tot</f>
        <v>1660</v>
      </c>
      <c r="E24" s="517" t="s">
        <v>449</v>
      </c>
      <c r="F24" s="518" t="n">
        <f aca="false">n_ail</f>
        <v>87</v>
      </c>
      <c r="G24" s="516" t="n">
        <f aca="false">n_can</f>
        <v>25.8</v>
      </c>
      <c r="I24" s="519" t="s">
        <v>450</v>
      </c>
      <c r="J24" s="518" t="n">
        <f aca="false">D1j</f>
        <v>120</v>
      </c>
      <c r="K24" s="516" t="n">
        <f aca="false">D1r</f>
        <v>80</v>
      </c>
      <c r="N24" s="445"/>
      <c r="O24" s="486"/>
      <c r="P24" s="362"/>
      <c r="Q24" s="479"/>
      <c r="R24" s="479"/>
      <c r="S24" s="479"/>
      <c r="T24" s="515"/>
      <c r="U24" s="362"/>
    </row>
    <row r="25" customFormat="false" ht="12.75" hidden="false" customHeight="false" outlineLevel="0" collapsed="false">
      <c r="B25" s="240"/>
      <c r="C25" s="516" t="s">
        <v>451</v>
      </c>
      <c r="D25" s="516" t="n">
        <f aca="false">XpropuRef</f>
        <v>1660</v>
      </c>
      <c r="E25" s="517" t="s">
        <v>452</v>
      </c>
      <c r="F25" s="518" t="n">
        <f aca="false">p_ail</f>
        <v>165</v>
      </c>
      <c r="G25" s="516" t="n">
        <f aca="false">p_can</f>
        <v>32.5</v>
      </c>
      <c r="I25" s="519" t="s">
        <v>453</v>
      </c>
      <c r="J25" s="518" t="n">
        <f aca="false">D2j</f>
        <v>80</v>
      </c>
      <c r="K25" s="516" t="n">
        <f aca="false">D2r</f>
        <v>120</v>
      </c>
      <c r="N25" s="445"/>
      <c r="O25" s="486"/>
      <c r="P25" s="362"/>
      <c r="Q25" s="479"/>
      <c r="R25" s="479"/>
      <c r="S25" s="479"/>
      <c r="T25" s="515"/>
      <c r="U25" s="362"/>
    </row>
    <row r="26" customFormat="false" ht="12.75" hidden="false" customHeight="false" outlineLevel="0" collapsed="false">
      <c r="B26" s="240"/>
      <c r="C26" s="516" t="s">
        <v>454</v>
      </c>
      <c r="D26" s="516" t="n">
        <f aca="false">D_ref</f>
        <v>120</v>
      </c>
      <c r="E26" s="517" t="s">
        <v>455</v>
      </c>
      <c r="F26" s="518" t="n">
        <f aca="false">E_ail</f>
        <v>165</v>
      </c>
      <c r="G26" s="516" t="n">
        <f aca="false">E_can</f>
        <v>50</v>
      </c>
      <c r="I26" s="519" t="s">
        <v>456</v>
      </c>
      <c r="J26" s="518" t="n">
        <f aca="false">X_j</f>
        <v>300</v>
      </c>
      <c r="K26" s="516" t="n">
        <f aca="false">X_r</f>
        <v>500</v>
      </c>
      <c r="N26" s="445"/>
      <c r="O26" s="486"/>
      <c r="P26" s="362"/>
      <c r="Q26" s="479"/>
      <c r="R26" s="479"/>
      <c r="S26" s="479"/>
      <c r="T26" s="515"/>
      <c r="U26" s="362"/>
    </row>
    <row r="27" customFormat="false" ht="12.75" hidden="false" customHeight="false" outlineLevel="0" collapsed="false">
      <c r="B27" s="240"/>
      <c r="C27" s="516" t="s">
        <v>457</v>
      </c>
      <c r="D27" s="516" t="n">
        <f aca="false">Long_ogive</f>
        <v>400</v>
      </c>
      <c r="E27" s="517" t="s">
        <v>458</v>
      </c>
      <c r="F27" s="518" t="n">
        <f aca="false">X_ail</f>
        <v>1660</v>
      </c>
      <c r="G27" s="516" t="n">
        <f aca="false">X_can</f>
        <v>839</v>
      </c>
      <c r="H27" s="513"/>
      <c r="I27" s="164"/>
      <c r="J27" s="161"/>
      <c r="N27" s="445"/>
      <c r="O27" s="486"/>
      <c r="P27" s="362"/>
      <c r="Q27" s="479"/>
      <c r="R27" s="479"/>
      <c r="S27" s="479"/>
      <c r="T27" s="515"/>
      <c r="U27" s="362"/>
    </row>
    <row r="28" customFormat="false" ht="13.5" hidden="false" customHeight="false" outlineLevel="0" collapsed="false">
      <c r="B28" s="240"/>
      <c r="C28" s="180"/>
      <c r="D28" s="180"/>
      <c r="E28" s="521"/>
      <c r="F28" s="180"/>
      <c r="G28" s="180"/>
      <c r="H28" s="180"/>
      <c r="I28" s="180"/>
      <c r="J28" s="180"/>
      <c r="K28" s="180"/>
      <c r="L28" s="180"/>
      <c r="M28" s="180"/>
      <c r="N28" s="445"/>
      <c r="O28" s="161"/>
      <c r="P28" s="171"/>
      <c r="Q28" s="161"/>
      <c r="R28" s="479"/>
      <c r="S28" s="479"/>
      <c r="T28" s="479"/>
      <c r="U28" s="362"/>
    </row>
    <row r="29" customFormat="false" ht="13.5" hidden="false" customHeight="false" outlineLevel="0" collapsed="false">
      <c r="B29" s="240"/>
      <c r="C29" s="522" t="s">
        <v>459</v>
      </c>
      <c r="D29" s="522" t="s">
        <v>460</v>
      </c>
      <c r="E29" s="522" t="s">
        <v>461</v>
      </c>
      <c r="F29" s="522"/>
      <c r="G29" s="522"/>
      <c r="H29" s="523" t="s">
        <v>462</v>
      </c>
      <c r="I29" s="523"/>
      <c r="J29" s="523"/>
      <c r="K29" s="523"/>
      <c r="L29" s="522" t="s">
        <v>463</v>
      </c>
      <c r="M29" s="522" t="s">
        <v>464</v>
      </c>
      <c r="N29" s="445"/>
      <c r="O29" s="486" t="s">
        <v>465</v>
      </c>
      <c r="P29" s="487" t="n">
        <f aca="false">n_ail</f>
        <v>87</v>
      </c>
      <c r="Q29" s="161"/>
      <c r="R29" s="479"/>
      <c r="S29" s="479"/>
      <c r="T29" s="479"/>
      <c r="U29" s="362" t="s">
        <v>466</v>
      </c>
    </row>
    <row r="30" customFormat="false" ht="13.5" hidden="false" customHeight="false" outlineLevel="0" collapsed="false">
      <c r="B30" s="240"/>
      <c r="C30" s="522"/>
      <c r="D30" s="522"/>
      <c r="E30" s="522"/>
      <c r="F30" s="522"/>
      <c r="G30" s="522"/>
      <c r="H30" s="523" t="s">
        <v>467</v>
      </c>
      <c r="I30" s="523"/>
      <c r="J30" s="523" t="s">
        <v>468</v>
      </c>
      <c r="K30" s="524" t="s">
        <v>469</v>
      </c>
      <c r="L30" s="522"/>
      <c r="M30" s="522"/>
      <c r="N30" s="445"/>
      <c r="P30" s="362"/>
      <c r="R30" s="479"/>
      <c r="S30" s="479"/>
      <c r="T30" s="504" t="s">
        <v>470</v>
      </c>
      <c r="U30" s="496" t="n">
        <f aca="false">p_can</f>
        <v>32.5</v>
      </c>
    </row>
    <row r="31" customFormat="false" ht="13.5" hidden="false" customHeight="false" outlineLevel="0" collapsed="false">
      <c r="B31" s="240"/>
      <c r="C31" s="525" t="n">
        <f aca="false">Beta_rampe</f>
        <v>80</v>
      </c>
      <c r="D31" s="526" t="n">
        <f aca="false">Portee_balistique</f>
        <v>913.614336176273</v>
      </c>
      <c r="E31" s="527" t="n">
        <f aca="false">T_para+Dt_para</f>
        <v>57.6109932876841</v>
      </c>
      <c r="F31" s="527"/>
      <c r="G31" s="527"/>
      <c r="H31" s="528" t="n">
        <f aca="false">Altitude_culmi</f>
        <v>1468.27102651883</v>
      </c>
      <c r="I31" s="528"/>
      <c r="J31" s="527" t="n">
        <f aca="false">Temps_culmi</f>
        <v>16.7999999999999</v>
      </c>
      <c r="K31" s="529" t="n">
        <f aca="false">Vit_culmi</f>
        <v>26.2381719333286</v>
      </c>
      <c r="L31" s="526" t="n">
        <f aca="false">Acc_max</f>
        <v>96.5799731195976</v>
      </c>
      <c r="M31" s="529" t="n">
        <f aca="false">Vit_max</f>
        <v>197.408967812589</v>
      </c>
      <c r="N31" s="445"/>
      <c r="O31" s="486" t="s">
        <v>471</v>
      </c>
      <c r="P31" s="487" t="n">
        <f aca="false">ep_ail</f>
        <v>2</v>
      </c>
      <c r="Q31" s="161"/>
      <c r="R31" s="479"/>
      <c r="S31" s="479"/>
      <c r="T31" s="504" t="s">
        <v>472</v>
      </c>
      <c r="U31" s="496" t="n">
        <f aca="false">m_can</f>
        <v>58</v>
      </c>
    </row>
    <row r="32" customFormat="false" ht="13.5" hidden="false" customHeight="false" outlineLevel="0" collapsed="false">
      <c r="B32" s="240"/>
      <c r="C32" s="530"/>
      <c r="D32" s="531"/>
      <c r="E32" s="500"/>
      <c r="F32" s="500"/>
      <c r="G32" s="500"/>
      <c r="H32" s="532"/>
      <c r="I32" s="532"/>
      <c r="J32" s="500"/>
      <c r="K32" s="533"/>
      <c r="L32" s="531"/>
      <c r="M32" s="533"/>
      <c r="N32" s="445"/>
      <c r="O32" s="486" t="s">
        <v>473</v>
      </c>
      <c r="P32" s="534" t="n">
        <f aca="false">Q_ail</f>
        <v>3</v>
      </c>
      <c r="Q32" s="161"/>
      <c r="R32" s="479"/>
      <c r="S32" s="479"/>
      <c r="T32" s="504" t="s">
        <v>465</v>
      </c>
      <c r="U32" s="496" t="n">
        <f aca="false">n_can</f>
        <v>25.8</v>
      </c>
    </row>
    <row r="33" customFormat="false" ht="13.5" hidden="false" customHeight="false" outlineLevel="0" collapsed="false">
      <c r="B33" s="240"/>
      <c r="C33" s="180"/>
      <c r="D33" s="535"/>
      <c r="E33" s="536"/>
      <c r="F33" s="536"/>
      <c r="G33" s="536"/>
      <c r="H33" s="537"/>
      <c r="I33" s="537"/>
      <c r="J33" s="536"/>
      <c r="K33" s="538"/>
      <c r="L33" s="535"/>
      <c r="M33" s="538"/>
      <c r="N33" s="445"/>
      <c r="O33" s="161"/>
      <c r="Q33" s="161"/>
      <c r="R33" s="479"/>
      <c r="S33" s="479"/>
      <c r="T33" s="504" t="s">
        <v>474</v>
      </c>
      <c r="U33" s="496" t="n">
        <f aca="false">E_can</f>
        <v>50</v>
      </c>
    </row>
    <row r="34" customFormat="false" ht="13.5" hidden="false" customHeight="false" outlineLevel="0" collapsed="false">
      <c r="B34" s="450"/>
      <c r="C34" s="451"/>
      <c r="D34" s="539"/>
      <c r="E34" s="539"/>
      <c r="F34" s="539"/>
      <c r="G34" s="539"/>
      <c r="H34" s="539"/>
      <c r="I34" s="539"/>
      <c r="J34" s="539"/>
      <c r="K34" s="539"/>
      <c r="L34" s="539"/>
      <c r="M34" s="539"/>
      <c r="N34" s="452"/>
      <c r="O34" s="161"/>
      <c r="P34" s="486" t="s">
        <v>474</v>
      </c>
      <c r="Q34" s="487" t="n">
        <f aca="false">E_ail</f>
        <v>165</v>
      </c>
      <c r="T34" s="504" t="s">
        <v>471</v>
      </c>
      <c r="U34" s="496" t="n">
        <f aca="false">ep_can</f>
        <v>2</v>
      </c>
    </row>
    <row r="35" customFormat="false" ht="12.75" hidden="false" customHeight="false" outlineLevel="0" collapsed="false">
      <c r="B35" s="180"/>
      <c r="C35" s="180"/>
      <c r="D35" s="479"/>
      <c r="E35" s="479"/>
      <c r="F35" s="479"/>
      <c r="G35" s="479"/>
      <c r="H35" s="479"/>
      <c r="I35" s="479"/>
      <c r="J35" s="479"/>
      <c r="K35" s="479"/>
      <c r="L35" s="479"/>
      <c r="M35" s="479"/>
      <c r="N35" s="180"/>
      <c r="O35" s="161"/>
      <c r="P35" s="171"/>
      <c r="Q35" s="171"/>
      <c r="R35" s="180"/>
      <c r="S35" s="180"/>
      <c r="T35" s="504" t="s">
        <v>473</v>
      </c>
      <c r="U35" s="496" t="n">
        <f aca="false">Q_can</f>
        <v>3</v>
      </c>
    </row>
    <row r="36" customFormat="false" ht="13.5" hidden="false" customHeight="false" outlineLevel="0" collapsed="false">
      <c r="T36" s="161"/>
      <c r="U36" s="362"/>
    </row>
    <row r="37" customFormat="false" ht="12.75" hidden="false" customHeight="false" outlineLevel="0" collapsed="false">
      <c r="B37" s="485"/>
      <c r="C37" s="443"/>
      <c r="D37" s="443"/>
      <c r="E37" s="443"/>
      <c r="F37" s="443"/>
      <c r="G37" s="443"/>
      <c r="H37" s="443"/>
      <c r="I37" s="443"/>
      <c r="J37" s="443"/>
      <c r="K37" s="443"/>
      <c r="L37" s="443"/>
      <c r="M37" s="443"/>
      <c r="N37" s="444"/>
      <c r="T37" s="161"/>
    </row>
    <row r="38" customFormat="false" ht="12.75" hidden="false" customHeight="false" outlineLevel="0" collapsed="false">
      <c r="B38" s="240"/>
      <c r="C38" s="180"/>
      <c r="D38" s="161" t="s">
        <v>475</v>
      </c>
      <c r="E38" s="180"/>
      <c r="F38" s="180"/>
      <c r="G38" s="180"/>
      <c r="H38" s="180"/>
      <c r="I38" s="180"/>
      <c r="J38" s="180"/>
      <c r="K38" s="180"/>
      <c r="L38" s="180"/>
      <c r="M38" s="180"/>
      <c r="N38" s="445"/>
    </row>
    <row r="39" customFormat="false" ht="12.75" hidden="false" customHeight="false" outlineLevel="0" collapsed="false">
      <c r="B39" s="240"/>
      <c r="C39" s="180"/>
      <c r="D39" s="161"/>
      <c r="E39" s="180"/>
      <c r="F39" s="180"/>
      <c r="G39" s="180"/>
      <c r="H39" s="180"/>
      <c r="I39" s="180"/>
      <c r="J39" s="180"/>
      <c r="K39" s="180"/>
      <c r="L39" s="180"/>
      <c r="M39" s="180"/>
      <c r="N39" s="445"/>
    </row>
    <row r="40" customFormat="false" ht="12.75" hidden="false" customHeight="false" outlineLevel="0" collapsed="false">
      <c r="B40" s="240"/>
      <c r="C40" s="180"/>
      <c r="D40" s="491" t="s">
        <v>476</v>
      </c>
      <c r="E40" s="493" t="n">
        <f aca="false">D_ref</f>
        <v>120</v>
      </c>
      <c r="F40" s="540"/>
      <c r="G40" s="540"/>
      <c r="H40" s="369" t="s">
        <v>477</v>
      </c>
      <c r="I40" s="369" t="s">
        <v>478</v>
      </c>
      <c r="J40" s="541" t="s">
        <v>479</v>
      </c>
      <c r="K40" s="180"/>
      <c r="L40" s="180"/>
      <c r="M40" s="180"/>
      <c r="N40" s="445"/>
    </row>
    <row r="41" customFormat="false" ht="12.75" hidden="false" customHeight="false" outlineLevel="0" collapsed="false">
      <c r="B41" s="240"/>
      <c r="C41" s="180"/>
      <c r="D41" s="497" t="s">
        <v>480</v>
      </c>
      <c r="E41" s="171" t="n">
        <f aca="false">Long_ogive</f>
        <v>400</v>
      </c>
      <c r="F41" s="161"/>
      <c r="G41" s="161" t="s">
        <v>481</v>
      </c>
      <c r="H41" s="171" t="n">
        <f aca="false">MasseSans</f>
        <v>6.726</v>
      </c>
      <c r="I41" s="171" t="n">
        <f aca="false">MasseVide</f>
        <v>7.378</v>
      </c>
      <c r="J41" s="498" t="n">
        <f aca="false">MassePlein</f>
        <v>8.411</v>
      </c>
      <c r="K41" s="180"/>
      <c r="L41" s="180"/>
      <c r="M41" s="180"/>
      <c r="N41" s="445"/>
    </row>
    <row r="42" customFormat="false" ht="12.75" hidden="false" customHeight="false" outlineLevel="0" collapsed="false">
      <c r="B42" s="240"/>
      <c r="C42" s="180"/>
      <c r="D42" s="497" t="s">
        <v>482</v>
      </c>
      <c r="E42" s="171" t="n">
        <f aca="false">X_ail-m_ail</f>
        <v>1470</v>
      </c>
      <c r="F42" s="542"/>
      <c r="G42" s="542" t="s">
        <v>483</v>
      </c>
      <c r="H42" s="514" t="n">
        <f aca="false">XcgSans</f>
        <v>639</v>
      </c>
      <c r="I42" s="514" t="n">
        <f aca="false">XcgVide</f>
        <v>707.310653293576</v>
      </c>
      <c r="J42" s="543" t="n">
        <f aca="false">XcgPlein</f>
        <v>795.860658661277</v>
      </c>
      <c r="K42" s="180"/>
      <c r="L42" s="180"/>
      <c r="M42" s="180"/>
      <c r="N42" s="445"/>
    </row>
    <row r="43" customFormat="false" ht="12.75" hidden="false" customHeight="false" outlineLevel="0" collapsed="false">
      <c r="B43" s="240"/>
      <c r="C43" s="180"/>
      <c r="D43" s="497" t="str">
        <f aca="false">IF(Lang="Français","Emplanture 'm'",IF(Lang="English","Root edge  'm'",""))</f>
        <v>Emplanture 'm'</v>
      </c>
      <c r="E43" s="498" t="n">
        <f aca="false">m_ail</f>
        <v>190</v>
      </c>
      <c r="F43" s="180"/>
      <c r="G43" s="180"/>
      <c r="H43" s="180"/>
      <c r="I43" s="180"/>
      <c r="J43" s="180"/>
      <c r="K43" s="180"/>
      <c r="L43" s="180"/>
      <c r="M43" s="180"/>
      <c r="N43" s="445"/>
    </row>
    <row r="44" customFormat="false" ht="12.75" hidden="false" customHeight="false" outlineLevel="0" collapsed="false">
      <c r="B44" s="240"/>
      <c r="C44" s="180"/>
      <c r="D44" s="497" t="str">
        <f aca="false">IF(Lang="Français","Saumon      'n'",IF(Lang="English","Tip edge    'n'",""))</f>
        <v>Saumon      'n'</v>
      </c>
      <c r="E44" s="498" t="n">
        <f aca="false">n_ail</f>
        <v>87</v>
      </c>
      <c r="F44" s="493" t="s">
        <v>484</v>
      </c>
      <c r="G44" s="493" t="s">
        <v>485</v>
      </c>
      <c r="H44" s="494" t="n">
        <f aca="false">Vsortie_de_rampe</f>
        <v>26.6129263376326</v>
      </c>
      <c r="I44" s="494"/>
      <c r="J44" s="180"/>
      <c r="K44" s="180"/>
      <c r="L44" s="180"/>
      <c r="M44" s="180"/>
      <c r="N44" s="445"/>
    </row>
    <row r="45" customFormat="false" ht="12.75" hidden="false" customHeight="false" outlineLevel="0" collapsed="false">
      <c r="B45" s="240"/>
      <c r="C45" s="180"/>
      <c r="D45" s="497" t="str">
        <f aca="false">IF(Lang="Français","Flèche        'p'",IF(Lang="English","Offset         'p'",""))</f>
        <v>Flèche        'p'</v>
      </c>
      <c r="E45" s="498" t="n">
        <f aca="false">p_ail</f>
        <v>165</v>
      </c>
      <c r="F45" s="171" t="s">
        <v>486</v>
      </c>
      <c r="G45" s="171" t="s">
        <v>487</v>
      </c>
      <c r="H45" s="499" t="n">
        <f aca="false">Finesse</f>
        <v>13.8333333333333</v>
      </c>
      <c r="I45" s="499"/>
      <c r="J45" s="180"/>
      <c r="K45" s="180"/>
      <c r="L45" s="180"/>
      <c r="M45" s="180"/>
      <c r="N45" s="445"/>
    </row>
    <row r="46" customFormat="false" ht="12.75" hidden="false" customHeight="false" outlineLevel="0" collapsed="false">
      <c r="B46" s="240"/>
      <c r="C46" s="180"/>
      <c r="D46" s="497" t="str">
        <f aca="false">IF(Lang="Français","Envergure   'E'",IF(Lang="English","Span          'E'",""))</f>
        <v>Envergure   'E'</v>
      </c>
      <c r="E46" s="498" t="n">
        <f aca="false">E_ail</f>
        <v>165</v>
      </c>
      <c r="F46" s="171" t="s">
        <v>488</v>
      </c>
      <c r="G46" s="171" t="s">
        <v>489</v>
      </c>
      <c r="H46" s="499" t="n">
        <f aca="false">Cn</f>
        <v>21.4975242818324</v>
      </c>
      <c r="I46" s="499"/>
      <c r="J46" s="180"/>
      <c r="K46" s="180"/>
      <c r="L46" s="180"/>
      <c r="M46" s="180"/>
      <c r="N46" s="445"/>
    </row>
    <row r="47" customFormat="false" ht="12.75" hidden="false" customHeight="false" outlineLevel="0" collapsed="false">
      <c r="B47" s="240"/>
      <c r="C47" s="180"/>
      <c r="D47" s="497" t="s">
        <v>430</v>
      </c>
      <c r="E47" s="498" t="n">
        <f aca="false">ep_ail</f>
        <v>2</v>
      </c>
      <c r="F47" s="171" t="s">
        <v>490</v>
      </c>
      <c r="G47" s="171" t="s">
        <v>491</v>
      </c>
      <c r="H47" s="500" t="e">
        <f aca="false">MS_min</f>
        <v>#NAME?</v>
      </c>
      <c r="I47" s="501" t="n">
        <f aca="false">MS_max</f>
        <v>1.45397797113045</v>
      </c>
      <c r="J47" s="180"/>
      <c r="K47" s="180"/>
      <c r="L47" s="180"/>
      <c r="M47" s="180"/>
      <c r="N47" s="445"/>
    </row>
    <row r="48" customFormat="false" ht="12.75" hidden="false" customHeight="false" outlineLevel="0" collapsed="false">
      <c r="B48" s="240"/>
      <c r="C48" s="180"/>
      <c r="D48" s="497" t="s">
        <v>432</v>
      </c>
      <c r="E48" s="498" t="n">
        <f aca="false">Q_ail</f>
        <v>3</v>
      </c>
      <c r="F48" s="511" t="s">
        <v>492</v>
      </c>
      <c r="G48" s="511" t="s">
        <v>493</v>
      </c>
      <c r="H48" s="544" t="e">
        <f aca="false">MS_Cn_min</f>
        <v>#NAME?</v>
      </c>
      <c r="I48" s="545" t="n">
        <f aca="false">MS_Cn_max</f>
        <v>31.2569267396262</v>
      </c>
      <c r="J48" s="180"/>
      <c r="K48" s="180"/>
      <c r="L48" s="180"/>
      <c r="M48" s="180"/>
      <c r="N48" s="445"/>
    </row>
    <row r="49" customFormat="false" ht="12.75" hidden="false" customHeight="false" outlineLevel="0" collapsed="false">
      <c r="B49" s="240"/>
      <c r="C49" s="180"/>
      <c r="D49" s="497" t="s">
        <v>438</v>
      </c>
      <c r="E49" s="498" t="n">
        <f aca="false">XpropuRef-Long_propu</f>
        <v>1172</v>
      </c>
      <c r="F49" s="180"/>
      <c r="G49" s="180"/>
      <c r="H49" s="180"/>
      <c r="I49" s="180"/>
      <c r="J49" s="180"/>
      <c r="K49" s="180"/>
      <c r="L49" s="180"/>
      <c r="M49" s="180"/>
      <c r="N49" s="445"/>
    </row>
    <row r="50" customFormat="false" ht="12.75" hidden="false" customHeight="false" outlineLevel="0" collapsed="false">
      <c r="B50" s="240"/>
      <c r="C50" s="180"/>
      <c r="D50" s="497" t="s">
        <v>421</v>
      </c>
      <c r="E50" s="502" t="str">
        <f aca="false">Forme_ogive</f>
        <v>Ogivale (pointue)</v>
      </c>
      <c r="F50" s="486" t="s">
        <v>94</v>
      </c>
      <c r="G50" s="491" t="s">
        <v>160</v>
      </c>
      <c r="H50" s="493" t="n">
        <f aca="false">Cx</f>
        <v>0.5</v>
      </c>
      <c r="I50" s="540"/>
      <c r="J50" s="546"/>
      <c r="K50" s="180"/>
      <c r="L50" s="180"/>
      <c r="M50" s="180"/>
      <c r="N50" s="445"/>
    </row>
    <row r="51" customFormat="false" ht="12.75" hidden="false" customHeight="false" outlineLevel="0" collapsed="false">
      <c r="B51" s="240"/>
      <c r="C51" s="180"/>
      <c r="D51" s="497" t="s">
        <v>494</v>
      </c>
      <c r="E51" s="498" t="n">
        <f aca="false">Long_tot</f>
        <v>1660</v>
      </c>
      <c r="F51" s="180"/>
      <c r="G51" s="497" t="s">
        <v>495</v>
      </c>
      <c r="H51" s="171" t="n">
        <f aca="false">Sref</f>
        <v>0.0122997335529233</v>
      </c>
      <c r="I51" s="180"/>
      <c r="J51" s="547"/>
      <c r="K51" s="180"/>
      <c r="L51" s="180"/>
      <c r="M51" s="180"/>
      <c r="N51" s="445"/>
    </row>
    <row r="52" customFormat="false" ht="12.75" hidden="false" customHeight="false" outlineLevel="0" collapsed="false">
      <c r="B52" s="240"/>
      <c r="C52" s="180"/>
      <c r="D52" s="497" t="s">
        <v>496</v>
      </c>
      <c r="E52" s="498" t="n">
        <f aca="false">MAX(D_ref,D_ail,D_og,(RIGHT(Nb_diam,1)=",")*MAX(D1j,D1r,D2j,D2r))</f>
        <v>120</v>
      </c>
      <c r="F52" s="180"/>
      <c r="G52" s="497" t="s">
        <v>497</v>
      </c>
      <c r="H52" s="171" t="n">
        <f aca="false">Beta_rampe</f>
        <v>80</v>
      </c>
      <c r="I52" s="171" t="n">
        <v>80</v>
      </c>
      <c r="J52" s="498" t="n">
        <v>90</v>
      </c>
      <c r="K52" s="180"/>
      <c r="L52" s="180"/>
      <c r="M52" s="180"/>
      <c r="N52" s="445"/>
    </row>
    <row r="53" customFormat="false" ht="12.75" hidden="false" customHeight="false" outlineLevel="0" collapsed="false">
      <c r="B53" s="240"/>
      <c r="C53" s="180"/>
      <c r="D53" s="548" t="s">
        <v>498</v>
      </c>
      <c r="E53" s="549" t="n">
        <f aca="false">E_ail*2+D_ail</f>
        <v>450</v>
      </c>
      <c r="F53" s="180"/>
      <c r="G53" s="550" t="s">
        <v>499</v>
      </c>
      <c r="H53" s="500" t="n">
        <f aca="false">Temps_culmi</f>
        <v>16.7999999999999</v>
      </c>
      <c r="I53" s="551"/>
      <c r="J53" s="552"/>
      <c r="K53" s="180"/>
      <c r="L53" s="180"/>
      <c r="M53" s="180"/>
      <c r="N53" s="445"/>
    </row>
    <row r="54" customFormat="false" ht="12.75" hidden="false" customHeight="false" outlineLevel="0" collapsed="false">
      <c r="B54" s="240"/>
      <c r="C54" s="180"/>
      <c r="D54" s="180"/>
      <c r="E54" s="180"/>
      <c r="F54" s="180"/>
      <c r="G54" s="550" t="s">
        <v>500</v>
      </c>
      <c r="H54" s="531" t="n">
        <f aca="false">Altitude_culmi</f>
        <v>1468.27102651883</v>
      </c>
      <c r="I54" s="551"/>
      <c r="J54" s="552"/>
      <c r="K54" s="180"/>
      <c r="L54" s="180"/>
      <c r="M54" s="180"/>
      <c r="N54" s="445"/>
    </row>
    <row r="55" customFormat="false" ht="12.75" hidden="false" customHeight="false" outlineLevel="0" collapsed="false">
      <c r="B55" s="240"/>
      <c r="C55" s="491" t="s">
        <v>501</v>
      </c>
      <c r="D55" s="553" t="s">
        <v>220</v>
      </c>
      <c r="E55" s="492" t="n">
        <f aca="false">Long_tot</f>
        <v>1660</v>
      </c>
      <c r="F55" s="180"/>
      <c r="G55" s="550" t="s">
        <v>502</v>
      </c>
      <c r="H55" s="533" t="n">
        <f aca="false">Vit_culmi</f>
        <v>26.2381719333286</v>
      </c>
      <c r="I55" s="551"/>
      <c r="J55" s="552"/>
      <c r="K55" s="180"/>
      <c r="L55" s="180"/>
      <c r="M55" s="180"/>
      <c r="N55" s="445"/>
    </row>
    <row r="56" customFormat="false" ht="12.75" hidden="false" customHeight="false" outlineLevel="0" collapsed="false">
      <c r="B56" s="240"/>
      <c r="C56" s="497"/>
      <c r="D56" s="161" t="s">
        <v>503</v>
      </c>
      <c r="E56" s="498" t="n">
        <f aca="false">MAX(D_ref,D_ail,D_og,(RIGHT(Nb_diam,1)=",")*MAX(D1j,D1r,D2j,D2r))</f>
        <v>120</v>
      </c>
      <c r="F56" s="180"/>
      <c r="G56" s="550" t="s">
        <v>460</v>
      </c>
      <c r="H56" s="531" t="n">
        <f aca="false">Portee_balistique</f>
        <v>913.614336176273</v>
      </c>
      <c r="I56" s="551"/>
      <c r="J56" s="552"/>
      <c r="K56" s="180"/>
      <c r="L56" s="180"/>
      <c r="M56" s="180"/>
      <c r="N56" s="445"/>
    </row>
    <row r="57" customFormat="false" ht="12.75" hidden="false" customHeight="false" outlineLevel="0" collapsed="false">
      <c r="B57" s="240"/>
      <c r="C57" s="497"/>
      <c r="D57" s="161" t="s">
        <v>504</v>
      </c>
      <c r="E57" s="498" t="n">
        <f aca="false">E_ail*2+D_ail</f>
        <v>450</v>
      </c>
      <c r="F57" s="180"/>
      <c r="G57" s="550" t="s">
        <v>505</v>
      </c>
      <c r="H57" s="531" t="n">
        <f aca="false">T_balistique</f>
        <v>36.3000000000002</v>
      </c>
      <c r="I57" s="551"/>
      <c r="J57" s="552"/>
      <c r="K57" s="180"/>
      <c r="L57" s="180"/>
      <c r="M57" s="180"/>
      <c r="N57" s="445"/>
    </row>
    <row r="58" customFormat="false" ht="12.75" hidden="false" customHeight="false" outlineLevel="0" collapsed="false">
      <c r="B58" s="240"/>
      <c r="C58" s="497"/>
      <c r="D58" s="161" t="s">
        <v>506</v>
      </c>
      <c r="E58" s="498" t="n">
        <f aca="false">MassePlein</f>
        <v>8.411</v>
      </c>
      <c r="F58" s="180"/>
      <c r="G58" s="550" t="s">
        <v>464</v>
      </c>
      <c r="H58" s="533" t="n">
        <f aca="false">Vit_max</f>
        <v>197.408967812589</v>
      </c>
      <c r="I58" s="551"/>
      <c r="J58" s="552"/>
      <c r="K58" s="180"/>
      <c r="L58" s="180"/>
      <c r="M58" s="180"/>
      <c r="N58" s="445"/>
    </row>
    <row r="59" customFormat="false" ht="12.75" hidden="false" customHeight="false" outlineLevel="0" collapsed="false">
      <c r="B59" s="240"/>
      <c r="C59" s="548" t="s">
        <v>507</v>
      </c>
      <c r="D59" s="542" t="s">
        <v>432</v>
      </c>
      <c r="E59" s="549" t="n">
        <f aca="false">Q_ail</f>
        <v>3</v>
      </c>
      <c r="F59" s="180"/>
      <c r="G59" s="550" t="s">
        <v>463</v>
      </c>
      <c r="H59" s="531" t="n">
        <f aca="false">Acc_max</f>
        <v>96.5799731195976</v>
      </c>
      <c r="I59" s="551"/>
      <c r="J59" s="552"/>
      <c r="K59" s="180"/>
      <c r="L59" s="180"/>
      <c r="M59" s="180"/>
      <c r="N59" s="445"/>
    </row>
    <row r="60" customFormat="false" ht="12" hidden="false" customHeight="false" outlineLevel="0" collapsed="false">
      <c r="B60" s="240"/>
      <c r="C60" s="490"/>
      <c r="D60" s="180"/>
      <c r="E60" s="180"/>
      <c r="F60" s="180"/>
      <c r="G60" s="508" t="s">
        <v>508</v>
      </c>
      <c r="H60" s="554"/>
      <c r="I60" s="554"/>
      <c r="J60" s="509"/>
      <c r="K60" s="180"/>
      <c r="L60" s="180"/>
      <c r="M60" s="180"/>
      <c r="N60" s="445"/>
    </row>
    <row r="61" customFormat="false" ht="12.75" hidden="false" customHeight="false" outlineLevel="0" collapsed="false">
      <c r="B61" s="240"/>
      <c r="C61" s="491"/>
      <c r="D61" s="553"/>
      <c r="E61" s="493" t="s">
        <v>331</v>
      </c>
      <c r="F61" s="492" t="s">
        <v>333</v>
      </c>
      <c r="G61" s="476"/>
      <c r="H61" s="476"/>
      <c r="I61" s="476"/>
      <c r="J61" s="476"/>
      <c r="K61" s="161"/>
      <c r="L61" s="180"/>
      <c r="M61" s="180"/>
      <c r="N61" s="445"/>
    </row>
    <row r="62" customFormat="false" ht="12.75" hidden="false" customHeight="false" outlineLevel="0" collapsed="false">
      <c r="B62" s="240"/>
      <c r="C62" s="497" t="s">
        <v>509</v>
      </c>
      <c r="D62" s="161" t="s">
        <v>510</v>
      </c>
      <c r="E62" s="531" t="n">
        <f aca="false">2*Acc_max*MassePlein</f>
        <v>1624.66830781787</v>
      </c>
      <c r="F62" s="555" t="n">
        <f aca="false">E62/9.81</f>
        <v>165.613487035461</v>
      </c>
      <c r="H62" s="476"/>
      <c r="I62" s="476"/>
      <c r="J62" s="476"/>
      <c r="K62" s="161"/>
      <c r="L62" s="180"/>
      <c r="M62" s="180"/>
      <c r="N62" s="445"/>
    </row>
    <row r="63" customFormat="false" ht="12.75" hidden="false" customHeight="false" outlineLevel="0" collapsed="false">
      <c r="B63" s="240"/>
      <c r="C63" s="497"/>
      <c r="D63" s="161" t="s">
        <v>511</v>
      </c>
      <c r="E63" s="531" t="n">
        <f aca="false">2*Acc_max*Masse_ail</f>
        <v>17.6567506857248</v>
      </c>
      <c r="F63" s="533" t="n">
        <f aca="false">E63/9.81</f>
        <v>1.79987264890161</v>
      </c>
      <c r="G63" s="493" t="s">
        <v>512</v>
      </c>
      <c r="H63" s="556" t="n">
        <f aca="false">S_ail*(ep_ail/1000)*2000</f>
        <v>0.09141</v>
      </c>
      <c r="I63" s="476"/>
      <c r="J63" s="476"/>
      <c r="K63" s="161"/>
      <c r="L63" s="180"/>
      <c r="M63" s="180"/>
      <c r="N63" s="445"/>
    </row>
    <row r="64" customFormat="false" ht="12.75" hidden="false" customHeight="false" outlineLevel="0" collapsed="false">
      <c r="B64" s="240"/>
      <c r="C64" s="548"/>
      <c r="D64" s="542" t="s">
        <v>513</v>
      </c>
      <c r="E64" s="514" t="n">
        <f aca="false">0.104*S_ail*Vit_max^2</f>
        <v>92.6191545594264</v>
      </c>
      <c r="F64" s="557" t="n">
        <f aca="false">E64/9.81</f>
        <v>9.44130015896294</v>
      </c>
      <c r="G64" s="511" t="s">
        <v>514</v>
      </c>
      <c r="H64" s="558" t="n">
        <f aca="false">(E_ail*(m_ail+n_ail)/2)/10^6</f>
        <v>0.0228525</v>
      </c>
      <c r="I64" s="476"/>
      <c r="J64" s="476"/>
      <c r="K64" s="476"/>
      <c r="L64" s="180"/>
      <c r="M64" s="180"/>
      <c r="N64" s="445"/>
    </row>
    <row r="65" customFormat="false" ht="12.75" hidden="false" customHeight="false" outlineLevel="0" collapsed="false">
      <c r="B65" s="240"/>
      <c r="C65" s="559" t="s">
        <v>515</v>
      </c>
      <c r="D65" s="560" t="s">
        <v>516</v>
      </c>
      <c r="E65" s="561" t="n">
        <f aca="false">2*Acc_max*H65</f>
        <v>812.334153908936</v>
      </c>
      <c r="F65" s="561" t="n">
        <f aca="false">E65/9.81</f>
        <v>82.8067435177304</v>
      </c>
      <c r="G65" s="562" t="s">
        <v>517</v>
      </c>
      <c r="H65" s="563" t="n">
        <f aca="false">E58/2</f>
        <v>4.2055</v>
      </c>
      <c r="I65" s="476"/>
      <c r="J65" s="476"/>
      <c r="K65" s="476"/>
      <c r="L65" s="180"/>
      <c r="M65" s="180"/>
      <c r="N65" s="445"/>
    </row>
    <row r="66" customFormat="false" ht="12.75" hidden="false" customHeight="false" outlineLevel="0" collapsed="false">
      <c r="B66" s="240"/>
      <c r="C66" s="564"/>
      <c r="D66" s="476"/>
      <c r="E66" s="476"/>
      <c r="F66" s="476"/>
      <c r="G66" s="476"/>
      <c r="H66" s="476"/>
      <c r="I66" s="476"/>
      <c r="J66" s="476"/>
      <c r="K66" s="476"/>
      <c r="L66" s="180"/>
      <c r="M66" s="180"/>
      <c r="N66" s="445"/>
    </row>
    <row r="67" customFormat="false" ht="12.75" hidden="false" customHeight="false" outlineLevel="0" collapsed="false">
      <c r="B67" s="240"/>
      <c r="F67" s="491" t="s">
        <v>518</v>
      </c>
      <c r="G67" s="553" t="s">
        <v>519</v>
      </c>
      <c r="H67" s="565" t="n">
        <f aca="false">T_para</f>
        <v>8</v>
      </c>
      <c r="I67" s="494" t="n">
        <f aca="false">Temps_culmi</f>
        <v>16.7999999999999</v>
      </c>
      <c r="J67" s="476"/>
      <c r="K67" s="476"/>
      <c r="L67" s="180"/>
      <c r="M67" s="180"/>
      <c r="N67" s="445"/>
    </row>
    <row r="68" customFormat="false" ht="12.75" hidden="false" customHeight="false" outlineLevel="0" collapsed="false">
      <c r="B68" s="240"/>
      <c r="C68" s="564"/>
      <c r="D68" s="476"/>
      <c r="E68" s="476"/>
      <c r="F68" s="491" t="s">
        <v>520</v>
      </c>
      <c r="G68" s="553" t="s">
        <v>434</v>
      </c>
      <c r="H68" s="565" t="n">
        <f aca="false">V_para</f>
        <v>21.3104668453572</v>
      </c>
      <c r="I68" s="494" t="n">
        <f aca="false">V_satellite</f>
        <v>12.6555626230572</v>
      </c>
      <c r="J68" s="476"/>
      <c r="K68" s="476"/>
      <c r="L68" s="180"/>
      <c r="M68" s="180"/>
      <c r="N68" s="445"/>
    </row>
    <row r="69" customFormat="false" ht="12.75" hidden="false" customHeight="false" outlineLevel="0" collapsed="false">
      <c r="B69" s="240"/>
      <c r="C69" s="564"/>
      <c r="D69" s="476"/>
      <c r="E69" s="476"/>
      <c r="F69" s="497"/>
      <c r="G69" s="161" t="s">
        <v>521</v>
      </c>
      <c r="H69" s="500" t="n">
        <f aca="false">S_para</f>
        <v>0.260205</v>
      </c>
      <c r="I69" s="499" t="n">
        <f aca="false">S_satellite</f>
        <v>0.1</v>
      </c>
      <c r="J69" s="476"/>
      <c r="K69" s="476"/>
      <c r="L69" s="180"/>
      <c r="M69" s="180"/>
      <c r="N69" s="445"/>
    </row>
    <row r="70" customFormat="false" ht="12.75" hidden="false" customHeight="false" outlineLevel="0" collapsed="false">
      <c r="B70" s="240"/>
      <c r="C70" s="515"/>
      <c r="D70" s="161"/>
      <c r="E70" s="180"/>
      <c r="F70" s="497"/>
      <c r="G70" s="161" t="s">
        <v>522</v>
      </c>
      <c r="H70" s="500" t="n">
        <f aca="false">V_ouverture</f>
        <v>105.231360763921</v>
      </c>
      <c r="I70" s="499" t="n">
        <f aca="false">V_ouv_sat</f>
        <v>194.420117895824</v>
      </c>
      <c r="L70" s="180"/>
      <c r="M70" s="180"/>
      <c r="N70" s="445"/>
    </row>
    <row r="71" customFormat="false" ht="12.75" hidden="false" customHeight="false" outlineLevel="0" collapsed="false">
      <c r="B71" s="240"/>
      <c r="C71" s="566"/>
      <c r="E71" s="180"/>
      <c r="F71" s="497"/>
      <c r="G71" s="161" t="s">
        <v>481</v>
      </c>
      <c r="H71" s="500" t="n">
        <f aca="false">m_vide</f>
        <v>7.378</v>
      </c>
      <c r="I71" s="499" t="n">
        <f aca="false">m_satellite</f>
        <v>1</v>
      </c>
      <c r="J71" s="180"/>
      <c r="K71" s="180"/>
      <c r="L71" s="180"/>
      <c r="M71" s="180"/>
      <c r="N71" s="445"/>
    </row>
    <row r="72" customFormat="false" ht="12.75" hidden="false" customHeight="false" outlineLevel="0" collapsed="false">
      <c r="B72" s="240"/>
      <c r="C72" s="566"/>
      <c r="E72" s="180"/>
      <c r="F72" s="497"/>
      <c r="G72" s="161" t="s">
        <v>523</v>
      </c>
      <c r="H72" s="532" t="n">
        <f aca="false">1/2*Rho_moyen*S_para*V_ouverture^2</f>
        <v>1764.86749048321</v>
      </c>
      <c r="I72" s="567" t="n">
        <f aca="false">1/2*Rho_moyen*S_satellite*V_ouv_sat^2</f>
        <v>2315.19991236084</v>
      </c>
      <c r="J72" s="180"/>
      <c r="K72" s="180"/>
      <c r="L72" s="180"/>
      <c r="M72" s="180"/>
      <c r="N72" s="445"/>
    </row>
    <row r="73" customFormat="false" ht="12.75" hidden="false" customHeight="false" outlineLevel="0" collapsed="false">
      <c r="B73" s="240"/>
      <c r="C73" s="180"/>
      <c r="D73" s="161"/>
      <c r="E73" s="180"/>
      <c r="F73" s="548"/>
      <c r="G73" s="542" t="s">
        <v>524</v>
      </c>
      <c r="H73" s="544" t="n">
        <f aca="false">H72/9.81</f>
        <v>179.904942964649</v>
      </c>
      <c r="I73" s="568" t="n">
        <f aca="false">I72/9.81</f>
        <v>236.004068538312</v>
      </c>
      <c r="J73" s="180"/>
      <c r="K73" s="180"/>
      <c r="L73" s="180"/>
      <c r="M73" s="180"/>
      <c r="N73" s="445"/>
    </row>
    <row r="74" customFormat="false" ht="12.75" hidden="false" customHeight="false" outlineLevel="0" collapsed="false">
      <c r="B74" s="450"/>
      <c r="C74" s="451"/>
      <c r="D74" s="451"/>
      <c r="E74" s="451"/>
      <c r="F74" s="451"/>
      <c r="G74" s="451"/>
      <c r="H74" s="451"/>
      <c r="I74" s="451"/>
      <c r="J74" s="451"/>
      <c r="K74" s="451"/>
      <c r="L74" s="451"/>
      <c r="M74" s="451"/>
      <c r="N74" s="452"/>
    </row>
    <row r="76" customFormat="false" ht="12.75" hidden="false" customHeight="false" outlineLevel="0" collapsed="false"/>
    <row r="77" customFormat="false" ht="12" hidden="false" customHeight="false" outlineLevel="0" collapsed="false">
      <c r="B77" s="485"/>
      <c r="C77" s="443"/>
      <c r="D77" s="443"/>
      <c r="E77" s="443"/>
      <c r="F77" s="443"/>
      <c r="G77" s="443"/>
      <c r="H77" s="443"/>
      <c r="I77" s="443"/>
      <c r="J77" s="443"/>
      <c r="K77" s="443"/>
      <c r="L77" s="443"/>
      <c r="M77" s="443"/>
      <c r="N77" s="444"/>
    </row>
    <row r="78" customFormat="false" ht="12.75" hidden="false" customHeight="false" outlineLevel="0" collapsed="false">
      <c r="B78" s="240"/>
      <c r="C78" s="180"/>
      <c r="D78" s="161" t="s">
        <v>525</v>
      </c>
      <c r="E78" s="180"/>
      <c r="F78" s="180"/>
      <c r="G78" s="180"/>
      <c r="H78" s="180"/>
      <c r="I78" s="180"/>
      <c r="J78" s="180"/>
      <c r="K78" s="180"/>
      <c r="L78" s="180"/>
      <c r="M78" s="180"/>
      <c r="N78" s="445"/>
    </row>
    <row r="79" customFormat="false" ht="12.75" hidden="false" customHeight="true" outlineLevel="0" collapsed="false">
      <c r="B79" s="240"/>
      <c r="C79" s="180"/>
      <c r="D79" s="180"/>
      <c r="E79" s="479"/>
      <c r="F79" s="479"/>
      <c r="G79" s="569" t="s">
        <v>526</v>
      </c>
      <c r="H79" s="180"/>
      <c r="I79" s="570"/>
      <c r="J79" s="479"/>
      <c r="K79" s="479"/>
      <c r="L79" s="180"/>
      <c r="M79" s="180"/>
      <c r="N79" s="445"/>
    </row>
    <row r="80" customFormat="false" ht="12.75" hidden="false" customHeight="false" outlineLevel="0" collapsed="false">
      <c r="B80" s="240"/>
      <c r="C80" s="491" t="s">
        <v>527</v>
      </c>
      <c r="D80" s="492" t="str">
        <f aca="false">Nom</f>
        <v>EAGLE</v>
      </c>
      <c r="E80" s="479"/>
      <c r="F80" s="479"/>
      <c r="G80" s="479"/>
      <c r="H80" s="479"/>
      <c r="I80" s="479"/>
      <c r="J80" s="479"/>
      <c r="K80" s="479"/>
      <c r="L80" s="180"/>
      <c r="M80" s="180"/>
      <c r="N80" s="445"/>
    </row>
    <row r="81" customFormat="false" ht="13.5" hidden="false" customHeight="false" outlineLevel="0" collapsed="false">
      <c r="B81" s="240"/>
      <c r="C81" s="497" t="s">
        <v>6</v>
      </c>
      <c r="D81" s="498" t="str">
        <f aca="false">Club</f>
        <v>Dominus</v>
      </c>
      <c r="E81" s="479"/>
      <c r="F81" s="479"/>
      <c r="G81" s="479"/>
      <c r="H81" s="479"/>
      <c r="I81" s="479"/>
      <c r="J81" s="479"/>
      <c r="K81" s="479"/>
      <c r="L81" s="180"/>
      <c r="M81" s="180"/>
      <c r="N81" s="445"/>
    </row>
    <row r="82" customFormat="false" ht="13.5" hidden="false" customHeight="false" outlineLevel="0" collapsed="false">
      <c r="B82" s="240"/>
      <c r="C82" s="571" t="s">
        <v>528</v>
      </c>
      <c r="D82" s="498" t="s">
        <v>12</v>
      </c>
      <c r="E82" s="486" t="s">
        <v>412</v>
      </c>
      <c r="F82" s="487" t="n">
        <f aca="false">Long_ogive</f>
        <v>400</v>
      </c>
      <c r="G82" s="479"/>
      <c r="H82" s="479"/>
      <c r="I82" s="479"/>
      <c r="J82" s="479"/>
      <c r="K82" s="479"/>
      <c r="L82" s="180"/>
      <c r="M82" s="180"/>
      <c r="N82" s="445"/>
    </row>
    <row r="83" customFormat="false" ht="12.75" hidden="false" customHeight="false" outlineLevel="0" collapsed="false">
      <c r="B83" s="240"/>
      <c r="C83" s="548" t="s">
        <v>529</v>
      </c>
      <c r="D83" s="572" t="n">
        <f aca="true">TODAY()</f>
        <v>45270</v>
      </c>
      <c r="E83" s="479"/>
      <c r="F83" s="362"/>
      <c r="G83" s="479"/>
      <c r="H83" s="479"/>
      <c r="I83" s="479"/>
      <c r="J83" s="479"/>
      <c r="K83" s="479"/>
      <c r="L83" s="180"/>
      <c r="M83" s="180"/>
      <c r="N83" s="445"/>
    </row>
    <row r="84" customFormat="false" ht="12.75" hidden="false" customHeight="false" outlineLevel="0" collapsed="false">
      <c r="B84" s="240"/>
      <c r="C84" s="180"/>
      <c r="D84" s="180"/>
      <c r="E84" s="479"/>
      <c r="F84" s="362"/>
      <c r="G84" s="479"/>
      <c r="H84" s="479"/>
      <c r="I84" s="479"/>
      <c r="J84" s="496" t="str">
        <f aca="false">IF(RIGHT(Nb_diam,1)=",", "", X_j)</f>
        <v/>
      </c>
      <c r="K84" s="479"/>
      <c r="L84" s="180"/>
      <c r="M84" s="180"/>
      <c r="N84" s="445"/>
    </row>
    <row r="85" customFormat="false" ht="13.5" hidden="false" customHeight="false" outlineLevel="0" collapsed="false">
      <c r="B85" s="240"/>
      <c r="C85" s="491" t="s">
        <v>530</v>
      </c>
      <c r="D85" s="492" t="str">
        <f aca="false">Propu</f>
        <v>Barasinga (Pro54-5G C)</v>
      </c>
      <c r="E85" s="486" t="s">
        <v>426</v>
      </c>
      <c r="F85" s="487" t="n">
        <f aca="false">D_og</f>
        <v>120</v>
      </c>
      <c r="G85" s="479"/>
      <c r="H85" s="479"/>
      <c r="I85" s="479"/>
      <c r="J85" s="362"/>
      <c r="K85" s="479"/>
      <c r="L85" s="180"/>
      <c r="M85" s="180"/>
      <c r="N85" s="445"/>
    </row>
    <row r="86" customFormat="false" ht="12.75" hidden="false" customHeight="false" outlineLevel="0" collapsed="false">
      <c r="B86" s="240"/>
      <c r="C86" s="548" t="s">
        <v>531</v>
      </c>
      <c r="D86" s="549" t="s">
        <v>12</v>
      </c>
      <c r="E86" s="479"/>
      <c r="F86" s="362"/>
      <c r="G86" s="479"/>
      <c r="H86" s="479"/>
      <c r="I86" s="479"/>
      <c r="J86" s="496" t="str">
        <f aca="false">IF(RIGHT(Nb_diam,1)=",", "", X_r)</f>
        <v/>
      </c>
      <c r="K86" s="479"/>
      <c r="L86" s="180"/>
      <c r="M86" s="180"/>
      <c r="N86" s="445"/>
    </row>
    <row r="87" customFormat="false" ht="12" hidden="false" customHeight="false" outlineLevel="0" collapsed="false">
      <c r="B87" s="240"/>
      <c r="C87" s="180"/>
      <c r="D87" s="180"/>
      <c r="E87" s="479"/>
      <c r="F87" s="362"/>
      <c r="G87" s="479"/>
      <c r="H87" s="479"/>
      <c r="I87" s="479"/>
      <c r="J87" s="362"/>
      <c r="K87" s="479"/>
      <c r="L87" s="180"/>
      <c r="M87" s="180"/>
      <c r="N87" s="445"/>
    </row>
    <row r="88" customFormat="false" ht="12" hidden="false" customHeight="false" outlineLevel="0" collapsed="false">
      <c r="B88" s="240"/>
      <c r="C88" s="180"/>
      <c r="D88" s="180"/>
      <c r="E88" s="479"/>
      <c r="F88" s="362"/>
      <c r="G88" s="479"/>
      <c r="H88" s="479"/>
      <c r="I88" s="479"/>
      <c r="J88" s="496" t="str">
        <f aca="false">IF(RIGHT(Nb_diam,1)=",", "", l_j)</f>
        <v/>
      </c>
      <c r="K88" s="479"/>
      <c r="L88" s="180"/>
      <c r="M88" s="180"/>
      <c r="N88" s="445"/>
    </row>
    <row r="89" customFormat="false" ht="12.75" hidden="false" customHeight="false" outlineLevel="0" collapsed="false">
      <c r="B89" s="240"/>
      <c r="C89" s="180"/>
      <c r="D89" s="180"/>
      <c r="E89" s="479"/>
      <c r="F89" s="362"/>
      <c r="G89" s="479"/>
      <c r="H89" s="479"/>
      <c r="I89" s="479"/>
      <c r="J89" s="362"/>
      <c r="K89" s="479"/>
      <c r="L89" s="180"/>
      <c r="M89" s="180"/>
      <c r="N89" s="445"/>
    </row>
    <row r="90" customFormat="false" ht="13.5" hidden="false" customHeight="false" outlineLevel="0" collapsed="false">
      <c r="B90" s="240"/>
      <c r="C90" s="180"/>
      <c r="D90" s="180"/>
      <c r="E90" s="504" t="s">
        <v>437</v>
      </c>
      <c r="F90" s="496" t="str">
        <f aca="false">IF(RIGHT(Nb_diam,1)=",", "", D2j)</f>
        <v/>
      </c>
      <c r="G90" s="479"/>
      <c r="H90" s="479"/>
      <c r="I90" s="479"/>
      <c r="J90" s="487" t="n">
        <f aca="false">X_ail-m_ail</f>
        <v>1470</v>
      </c>
      <c r="K90" s="161"/>
      <c r="L90" s="180"/>
      <c r="M90" s="180"/>
      <c r="N90" s="445"/>
    </row>
    <row r="91" customFormat="false" ht="12" hidden="false" customHeight="false" outlineLevel="0" collapsed="false">
      <c r="B91" s="240"/>
      <c r="C91" s="180"/>
      <c r="D91" s="180"/>
      <c r="E91" s="479"/>
      <c r="F91" s="362"/>
      <c r="G91" s="479"/>
      <c r="H91" s="479"/>
      <c r="I91" s="479"/>
      <c r="J91" s="362"/>
      <c r="K91" s="479"/>
      <c r="L91" s="180"/>
      <c r="M91" s="180"/>
      <c r="N91" s="445"/>
    </row>
    <row r="92" customFormat="false" ht="12" hidden="false" customHeight="false" outlineLevel="0" collapsed="false">
      <c r="B92" s="240"/>
      <c r="C92" s="180"/>
      <c r="D92" s="180"/>
      <c r="E92" s="479"/>
      <c r="F92" s="362"/>
      <c r="G92" s="479"/>
      <c r="H92" s="479"/>
      <c r="I92" s="479"/>
      <c r="J92" s="496" t="str">
        <f aca="false">IF(RIGHT(Nb_diam,1)=",", "", l_r)</f>
        <v/>
      </c>
      <c r="K92" s="479"/>
      <c r="L92" s="180"/>
      <c r="M92" s="180"/>
      <c r="N92" s="445"/>
    </row>
    <row r="93" customFormat="false" ht="12" hidden="false" customHeight="false" outlineLevel="0" collapsed="false">
      <c r="B93" s="240"/>
      <c r="C93" s="180"/>
      <c r="D93" s="180"/>
      <c r="E93" s="479"/>
      <c r="F93" s="362"/>
      <c r="G93" s="479"/>
      <c r="H93" s="479"/>
      <c r="I93" s="479"/>
      <c r="J93" s="362"/>
      <c r="K93" s="479"/>
      <c r="L93" s="180"/>
      <c r="M93" s="180"/>
      <c r="N93" s="445"/>
    </row>
    <row r="94" customFormat="false" ht="12" hidden="false" customHeight="false" outlineLevel="0" collapsed="false">
      <c r="B94" s="240"/>
      <c r="C94" s="180"/>
      <c r="D94" s="180"/>
      <c r="E94" s="504" t="s">
        <v>532</v>
      </c>
      <c r="F94" s="496" t="str">
        <f aca="false">IF(RIGHT(Nb_diam,1)=",", "", D2r)</f>
        <v/>
      </c>
      <c r="G94" s="479"/>
      <c r="H94" s="479"/>
      <c r="I94" s="479"/>
      <c r="J94" s="362"/>
      <c r="K94" s="479"/>
      <c r="L94" s="180"/>
      <c r="M94" s="180"/>
      <c r="N94" s="445"/>
    </row>
    <row r="95" customFormat="false" ht="12" hidden="false" customHeight="false" outlineLevel="0" collapsed="false">
      <c r="B95" s="240"/>
      <c r="C95" s="180"/>
      <c r="D95" s="180"/>
      <c r="E95" s="479"/>
      <c r="F95" s="362"/>
      <c r="G95" s="479"/>
      <c r="H95" s="479"/>
      <c r="I95" s="479"/>
      <c r="J95" s="362"/>
      <c r="K95" s="479"/>
      <c r="L95" s="180"/>
      <c r="M95" s="180"/>
      <c r="N95" s="445"/>
    </row>
    <row r="96" customFormat="false" ht="12.75" hidden="false" customHeight="false" outlineLevel="0" collapsed="false">
      <c r="B96" s="240"/>
      <c r="C96" s="180"/>
      <c r="D96" s="180"/>
      <c r="E96" s="479"/>
      <c r="F96" s="362"/>
      <c r="G96" s="479"/>
      <c r="H96" s="479"/>
      <c r="I96" s="479"/>
      <c r="J96" s="362"/>
      <c r="K96" s="479"/>
      <c r="L96" s="180"/>
      <c r="M96" s="180"/>
      <c r="N96" s="445"/>
    </row>
    <row r="97" customFormat="false" ht="13.5" hidden="false" customHeight="false" outlineLevel="0" collapsed="false">
      <c r="B97" s="240"/>
      <c r="C97" s="180"/>
      <c r="D97" s="180"/>
      <c r="E97" s="486" t="s">
        <v>472</v>
      </c>
      <c r="F97" s="487" t="n">
        <f aca="false">m_ail</f>
        <v>190</v>
      </c>
      <c r="G97" s="479"/>
      <c r="H97" s="479"/>
      <c r="I97" s="479"/>
      <c r="J97" s="487" t="n">
        <f aca="false">p_ail</f>
        <v>165</v>
      </c>
      <c r="K97" s="161"/>
      <c r="L97" s="180"/>
      <c r="M97" s="180"/>
      <c r="N97" s="445"/>
    </row>
    <row r="98" customFormat="false" ht="12" hidden="false" customHeight="false" outlineLevel="0" collapsed="false">
      <c r="B98" s="240"/>
      <c r="C98" s="180"/>
      <c r="D98" s="180"/>
      <c r="E98" s="479"/>
      <c r="F98" s="479"/>
      <c r="G98" s="479"/>
      <c r="H98" s="479"/>
      <c r="I98" s="479"/>
      <c r="J98" s="362"/>
      <c r="K98" s="479"/>
      <c r="L98" s="180"/>
      <c r="M98" s="180"/>
      <c r="N98" s="445"/>
    </row>
    <row r="99" customFormat="false" ht="12" hidden="false" customHeight="false" outlineLevel="0" collapsed="false">
      <c r="B99" s="240"/>
      <c r="C99" s="180"/>
      <c r="D99" s="180"/>
      <c r="E99" s="479"/>
      <c r="F99" s="479"/>
      <c r="G99" s="479"/>
      <c r="H99" s="479"/>
      <c r="I99" s="479"/>
      <c r="J99" s="362"/>
      <c r="K99" s="479"/>
      <c r="L99" s="180"/>
      <c r="M99" s="180"/>
      <c r="N99" s="445"/>
    </row>
    <row r="100" customFormat="false" ht="13.5" hidden="false" customHeight="false" outlineLevel="0" collapsed="false">
      <c r="B100" s="240"/>
      <c r="C100" s="180"/>
      <c r="D100" s="573" t="s">
        <v>533</v>
      </c>
      <c r="E100" s="493" t="n">
        <f aca="false">Q_ail</f>
        <v>3</v>
      </c>
      <c r="F100" s="574"/>
      <c r="G100" s="479"/>
      <c r="H100" s="479"/>
      <c r="I100" s="479"/>
      <c r="J100" s="362"/>
      <c r="K100" s="479"/>
      <c r="L100" s="180"/>
      <c r="M100" s="180"/>
      <c r="N100" s="445"/>
    </row>
    <row r="101" customFormat="false" ht="13.5" hidden="false" customHeight="false" outlineLevel="0" collapsed="false">
      <c r="B101" s="240"/>
      <c r="C101" s="180"/>
      <c r="D101" s="575" t="s">
        <v>534</v>
      </c>
      <c r="E101" s="171" t="n">
        <f aca="false">XpropuRef-Long_propu</f>
        <v>1172</v>
      </c>
      <c r="F101" s="576"/>
      <c r="G101" s="479"/>
      <c r="H101" s="479"/>
      <c r="I101" s="479"/>
      <c r="J101" s="487" t="n">
        <f aca="false">n_ail</f>
        <v>87</v>
      </c>
      <c r="K101" s="161"/>
      <c r="L101" s="180"/>
      <c r="M101" s="180"/>
      <c r="N101" s="445"/>
    </row>
    <row r="102" customFormat="false" ht="12.75" hidden="false" customHeight="false" outlineLevel="0" collapsed="false">
      <c r="B102" s="240"/>
      <c r="C102" s="180"/>
      <c r="D102" s="575" t="s">
        <v>535</v>
      </c>
      <c r="E102" s="171" t="n">
        <f aca="false">IF(LEFT(Forme_ogive,4)="Ogiv",1,0)</f>
        <v>1</v>
      </c>
      <c r="F102" s="576" t="s">
        <v>536</v>
      </c>
      <c r="G102" s="479"/>
      <c r="H102" s="479"/>
      <c r="I102" s="479"/>
      <c r="J102" s="362"/>
      <c r="K102" s="479"/>
      <c r="L102" s="180"/>
      <c r="M102" s="180"/>
      <c r="N102" s="445"/>
    </row>
    <row r="103" customFormat="false" ht="12.75" hidden="false" customHeight="false" outlineLevel="0" collapsed="false">
      <c r="B103" s="240"/>
      <c r="C103" s="180"/>
      <c r="D103" s="575"/>
      <c r="E103" s="171" t="n">
        <f aca="false">IF(LEFT(Forme_ogive,3)="Con",1,0)</f>
        <v>0</v>
      </c>
      <c r="F103" s="576" t="s">
        <v>71</v>
      </c>
      <c r="G103" s="479"/>
      <c r="H103" s="479"/>
      <c r="I103" s="479"/>
      <c r="J103" s="362"/>
      <c r="K103" s="479"/>
      <c r="L103" s="180"/>
      <c r="M103" s="180"/>
      <c r="N103" s="445"/>
    </row>
    <row r="104" customFormat="false" ht="13.5" hidden="false" customHeight="false" outlineLevel="0" collapsed="false">
      <c r="B104" s="240"/>
      <c r="C104" s="180"/>
      <c r="D104" s="577"/>
      <c r="E104" s="511" t="n">
        <f aca="false">IF(LEFT(Forme_ogive,5)="Parab",1,0)</f>
        <v>0</v>
      </c>
      <c r="F104" s="558" t="s">
        <v>537</v>
      </c>
      <c r="G104" s="479"/>
      <c r="H104" s="479"/>
      <c r="I104" s="479"/>
      <c r="J104" s="362" t="s">
        <v>538</v>
      </c>
      <c r="K104" s="479"/>
      <c r="L104" s="180"/>
      <c r="M104" s="180"/>
      <c r="N104" s="445"/>
    </row>
    <row r="105" customFormat="false" ht="13.5" hidden="false" customHeight="false" outlineLevel="0" collapsed="false">
      <c r="B105" s="240"/>
      <c r="C105" s="180"/>
      <c r="D105" s="161"/>
      <c r="E105" s="161"/>
      <c r="F105" s="161"/>
      <c r="G105" s="486"/>
      <c r="H105" s="487" t="n">
        <f aca="false">E_ail</f>
        <v>165</v>
      </c>
      <c r="I105" s="486"/>
      <c r="J105" s="487" t="n">
        <f aca="false">ep_ail</f>
        <v>2</v>
      </c>
      <c r="K105" s="479"/>
      <c r="L105" s="180"/>
      <c r="M105" s="180"/>
      <c r="N105" s="445"/>
    </row>
    <row r="106" customFormat="false" ht="12.75" hidden="false" customHeight="false" outlineLevel="0" collapsed="false">
      <c r="B106" s="240"/>
      <c r="C106" s="180"/>
      <c r="D106" s="573"/>
      <c r="E106" s="493" t="s">
        <v>539</v>
      </c>
      <c r="F106" s="492" t="s">
        <v>540</v>
      </c>
      <c r="G106" s="180"/>
      <c r="H106" s="180"/>
      <c r="I106" s="180"/>
      <c r="J106" s="180"/>
      <c r="K106" s="180"/>
      <c r="L106" s="180"/>
      <c r="M106" s="180"/>
      <c r="N106" s="445"/>
    </row>
    <row r="107" customFormat="false" ht="12.75" hidden="false" customHeight="false" outlineLevel="0" collapsed="false">
      <c r="B107" s="240"/>
      <c r="C107" s="180"/>
      <c r="D107" s="575" t="s">
        <v>541</v>
      </c>
      <c r="E107" s="171" t="n">
        <f aca="false">MasseSans</f>
        <v>6.726</v>
      </c>
      <c r="F107" s="498" t="n">
        <f aca="false">MassePlein</f>
        <v>8.411</v>
      </c>
      <c r="G107" s="180"/>
      <c r="H107" s="180"/>
      <c r="I107" s="180"/>
      <c r="J107" s="180"/>
      <c r="K107" s="180"/>
      <c r="L107" s="180"/>
      <c r="M107" s="180"/>
      <c r="N107" s="445"/>
    </row>
    <row r="108" customFormat="false" ht="12.75" hidden="false" customHeight="false" outlineLevel="0" collapsed="false">
      <c r="B108" s="240"/>
      <c r="C108" s="180"/>
      <c r="D108" s="577" t="s">
        <v>542</v>
      </c>
      <c r="E108" s="511" t="n">
        <f aca="false">XcgSans</f>
        <v>639</v>
      </c>
      <c r="F108" s="549" t="n">
        <f aca="false">XcgPlein</f>
        <v>795.860658661277</v>
      </c>
      <c r="G108" s="180"/>
      <c r="H108" s="180"/>
      <c r="I108" s="180"/>
      <c r="J108" s="180"/>
      <c r="K108" s="180"/>
      <c r="L108" s="180"/>
      <c r="M108" s="180"/>
      <c r="N108" s="445"/>
    </row>
    <row r="109" customFormat="false" ht="12" hidden="false" customHeight="false" outlineLevel="0" collapsed="false">
      <c r="B109" s="240"/>
      <c r="C109" s="180"/>
      <c r="D109" s="180"/>
      <c r="E109" s="180"/>
      <c r="F109" s="180"/>
      <c r="G109" s="180"/>
      <c r="H109" s="180"/>
      <c r="I109" s="180"/>
      <c r="J109" s="180"/>
      <c r="K109" s="180"/>
      <c r="L109" s="180"/>
      <c r="M109" s="180"/>
      <c r="N109" s="445"/>
    </row>
    <row r="110" customFormat="false" ht="12.75" hidden="false" customHeight="false" outlineLevel="0" collapsed="false">
      <c r="B110" s="240"/>
      <c r="C110" s="180"/>
      <c r="D110" s="578" t="s">
        <v>543</v>
      </c>
      <c r="E110" s="579" t="n">
        <f aca="false">MasseVide</f>
        <v>7.378</v>
      </c>
      <c r="F110" s="180"/>
      <c r="G110" s="573" t="s">
        <v>544</v>
      </c>
      <c r="H110" s="540"/>
      <c r="I110" s="540"/>
      <c r="J110" s="546"/>
      <c r="K110" s="180"/>
      <c r="L110" s="180"/>
      <c r="M110" s="180"/>
      <c r="N110" s="445"/>
    </row>
    <row r="111" customFormat="false" ht="12.75" hidden="false" customHeight="false" outlineLevel="0" collapsed="false">
      <c r="B111" s="240"/>
      <c r="C111" s="180"/>
      <c r="D111" s="180"/>
      <c r="E111" s="180"/>
      <c r="F111" s="180"/>
      <c r="G111" s="497" t="s">
        <v>497</v>
      </c>
      <c r="H111" s="171" t="n">
        <f aca="false">Beta_rampe</f>
        <v>80</v>
      </c>
      <c r="I111" s="171" t="n">
        <v>80</v>
      </c>
      <c r="J111" s="498" t="n">
        <v>90</v>
      </c>
      <c r="K111" s="180"/>
      <c r="L111" s="180"/>
      <c r="M111" s="180"/>
      <c r="N111" s="445"/>
    </row>
    <row r="112" customFormat="false" ht="12.75" hidden="false" customHeight="false" outlineLevel="0" collapsed="false">
      <c r="B112" s="240"/>
      <c r="C112" s="180"/>
      <c r="D112" s="180"/>
      <c r="E112" s="180"/>
      <c r="F112" s="180"/>
      <c r="G112" s="550" t="s">
        <v>499</v>
      </c>
      <c r="H112" s="500" t="n">
        <f aca="false">Temps_culmi</f>
        <v>16.7999999999999</v>
      </c>
      <c r="I112" s="551"/>
      <c r="J112" s="552"/>
      <c r="K112" s="180"/>
      <c r="L112" s="180"/>
      <c r="M112" s="180"/>
      <c r="N112" s="445"/>
    </row>
    <row r="113" customFormat="false" ht="12.75" hidden="false" customHeight="true" outlineLevel="0" collapsed="false">
      <c r="B113" s="240"/>
      <c r="C113" s="180"/>
      <c r="D113" s="569" t="s">
        <v>545</v>
      </c>
      <c r="E113" s="479"/>
      <c r="F113" s="180"/>
      <c r="G113" s="550" t="s">
        <v>500</v>
      </c>
      <c r="H113" s="531" t="n">
        <f aca="false">Altitude_culmi</f>
        <v>1468.27102651883</v>
      </c>
      <c r="I113" s="551"/>
      <c r="J113" s="552"/>
      <c r="K113" s="180"/>
      <c r="L113" s="180"/>
      <c r="M113" s="180"/>
      <c r="N113" s="445"/>
    </row>
    <row r="114" customFormat="false" ht="12.75" hidden="false" customHeight="true" outlineLevel="0" collapsed="false">
      <c r="B114" s="240"/>
      <c r="C114" s="180"/>
      <c r="D114" s="479"/>
      <c r="E114" s="479"/>
      <c r="F114" s="569"/>
      <c r="G114" s="550" t="s">
        <v>502</v>
      </c>
      <c r="H114" s="533" t="n">
        <f aca="false">Vit_culmi</f>
        <v>26.2381719333286</v>
      </c>
      <c r="I114" s="551"/>
      <c r="J114" s="552"/>
      <c r="K114" s="180"/>
      <c r="L114" s="180"/>
      <c r="M114" s="180"/>
      <c r="N114" s="445"/>
    </row>
    <row r="115" customFormat="false" ht="12.75" hidden="false" customHeight="false" outlineLevel="0" collapsed="false">
      <c r="B115" s="240"/>
      <c r="C115" s="573" t="s">
        <v>546</v>
      </c>
      <c r="D115" s="553"/>
      <c r="E115" s="580" t="n">
        <v>0.1</v>
      </c>
      <c r="F115" s="180"/>
      <c r="G115" s="550" t="s">
        <v>460</v>
      </c>
      <c r="H115" s="531" t="n">
        <f aca="false">Portee_balistique</f>
        <v>913.614336176273</v>
      </c>
      <c r="I115" s="551"/>
      <c r="J115" s="552"/>
      <c r="K115" s="180"/>
      <c r="L115" s="180"/>
      <c r="M115" s="180"/>
      <c r="N115" s="445"/>
    </row>
    <row r="116" customFormat="false" ht="12.75" hidden="false" customHeight="true" outlineLevel="0" collapsed="false">
      <c r="B116" s="240"/>
      <c r="C116" s="577" t="s">
        <v>547</v>
      </c>
      <c r="D116" s="542"/>
      <c r="E116" s="581" t="n">
        <f aca="false">E_ail*(m_ail+n_ail)/2</f>
        <v>22852.5</v>
      </c>
      <c r="F116" s="180"/>
      <c r="G116" s="550" t="s">
        <v>464</v>
      </c>
      <c r="H116" s="533" t="n">
        <f aca="false">Vit_max</f>
        <v>197.408967812589</v>
      </c>
      <c r="I116" s="551"/>
      <c r="J116" s="552"/>
      <c r="K116" s="180"/>
      <c r="L116" s="180"/>
      <c r="M116" s="180"/>
      <c r="N116" s="445"/>
    </row>
    <row r="117" customFormat="false" ht="12.75" hidden="false" customHeight="true" outlineLevel="0" collapsed="false">
      <c r="B117" s="240"/>
      <c r="C117" s="180"/>
      <c r="D117" s="479"/>
      <c r="E117" s="479"/>
      <c r="F117" s="479"/>
      <c r="G117" s="550" t="s">
        <v>463</v>
      </c>
      <c r="H117" s="531" t="n">
        <f aca="false">Acc_max</f>
        <v>96.5799731195976</v>
      </c>
      <c r="I117" s="551"/>
      <c r="J117" s="552"/>
      <c r="K117" s="180"/>
      <c r="L117" s="180"/>
      <c r="M117" s="180"/>
      <c r="N117" s="445"/>
    </row>
    <row r="118" customFormat="false" ht="12.75" hidden="false" customHeight="false" outlineLevel="0" collapsed="false">
      <c r="B118" s="240"/>
      <c r="C118" s="573" t="s">
        <v>548</v>
      </c>
      <c r="D118" s="553"/>
      <c r="E118" s="582"/>
      <c r="F118" s="583" t="n">
        <f aca="false">J90/100</f>
        <v>14.7</v>
      </c>
      <c r="G118" s="497" t="s">
        <v>160</v>
      </c>
      <c r="H118" s="171" t="n">
        <f aca="false">Cx</f>
        <v>0.5</v>
      </c>
      <c r="I118" s="551"/>
      <c r="J118" s="552"/>
      <c r="K118" s="180"/>
      <c r="L118" s="180"/>
      <c r="M118" s="180"/>
      <c r="N118" s="445"/>
    </row>
    <row r="119" customFormat="false" ht="12.75" hidden="false" customHeight="false" outlineLevel="0" collapsed="false">
      <c r="B119" s="240"/>
      <c r="C119" s="575" t="s">
        <v>549</v>
      </c>
      <c r="D119" s="161"/>
      <c r="E119" s="584" t="n">
        <f aca="false">2*Acc_max*MasseSans</f>
        <v>1299.19379840483</v>
      </c>
      <c r="F119" s="585" t="n">
        <f aca="false">E119/g</f>
        <v>132.435657329748</v>
      </c>
      <c r="G119" s="508" t="s">
        <v>508</v>
      </c>
      <c r="H119" s="554"/>
      <c r="I119" s="554"/>
      <c r="J119" s="509"/>
      <c r="K119" s="180"/>
      <c r="L119" s="180"/>
      <c r="M119" s="180"/>
      <c r="N119" s="445"/>
    </row>
    <row r="120" customFormat="false" ht="12.75" hidden="false" customHeight="false" outlineLevel="0" collapsed="false">
      <c r="B120" s="240"/>
      <c r="C120" s="575" t="s">
        <v>550</v>
      </c>
      <c r="D120" s="161"/>
      <c r="E120" s="584" t="n">
        <f aca="false">2*Acc_max*E115</f>
        <v>19.3159946239195</v>
      </c>
      <c r="F120" s="585" t="n">
        <f aca="false">E120/g</f>
        <v>1.96901066502747</v>
      </c>
      <c r="G120" s="180"/>
      <c r="H120" s="180"/>
      <c r="I120" s="180"/>
      <c r="J120" s="180"/>
      <c r="K120" s="180"/>
      <c r="L120" s="180"/>
      <c r="M120" s="180"/>
      <c r="N120" s="445"/>
    </row>
    <row r="121" customFormat="false" ht="12.75" hidden="false" customHeight="false" outlineLevel="0" collapsed="false">
      <c r="B121" s="240"/>
      <c r="C121" s="577" t="s">
        <v>551</v>
      </c>
      <c r="D121" s="542"/>
      <c r="E121" s="586" t="n">
        <f aca="false">0.104*E116/1000000*Vit_max^2</f>
        <v>92.6191545594264</v>
      </c>
      <c r="F121" s="587" t="n">
        <f aca="false">E121/g</f>
        <v>9.44130015896294</v>
      </c>
      <c r="G121" s="479"/>
      <c r="H121" s="479"/>
      <c r="I121" s="479"/>
      <c r="J121" s="479"/>
      <c r="K121" s="180"/>
      <c r="L121" s="180"/>
      <c r="M121" s="180"/>
      <c r="N121" s="445"/>
    </row>
    <row r="122" customFormat="false" ht="12.75" hidden="false" customHeight="true" outlineLevel="0" collapsed="false">
      <c r="B122" s="240"/>
      <c r="C122" s="180"/>
      <c r="D122" s="180"/>
      <c r="E122" s="180"/>
      <c r="F122" s="180"/>
      <c r="G122" s="180"/>
      <c r="H122" s="479"/>
      <c r="I122" s="479"/>
      <c r="J122" s="479"/>
      <c r="K122" s="180"/>
      <c r="L122" s="180"/>
      <c r="M122" s="180"/>
      <c r="N122" s="445"/>
    </row>
    <row r="123" customFormat="false" ht="12.75" hidden="false" customHeight="true" outlineLevel="0" collapsed="false">
      <c r="B123" s="240"/>
      <c r="C123" s="180"/>
      <c r="D123" s="180"/>
      <c r="E123" s="180"/>
      <c r="F123" s="180"/>
      <c r="G123" s="569"/>
      <c r="H123" s="569"/>
      <c r="I123" s="569"/>
      <c r="J123" s="479"/>
      <c r="K123" s="180"/>
      <c r="L123" s="180"/>
      <c r="M123" s="180"/>
      <c r="N123" s="445"/>
    </row>
    <row r="124" customFormat="false" ht="12.75" hidden="false" customHeight="true" outlineLevel="0" collapsed="false">
      <c r="B124" s="240"/>
      <c r="C124" s="479"/>
      <c r="D124" s="569" t="s">
        <v>552</v>
      </c>
      <c r="E124" s="570"/>
      <c r="F124" s="180"/>
      <c r="G124" s="180"/>
      <c r="H124" s="180"/>
      <c r="I124" s="180"/>
      <c r="J124" s="479"/>
      <c r="K124" s="479"/>
      <c r="L124" s="180"/>
      <c r="M124" s="180"/>
      <c r="N124" s="445"/>
    </row>
    <row r="125" customFormat="false" ht="12.75" hidden="false" customHeight="false" outlineLevel="0" collapsed="false">
      <c r="B125" s="240"/>
      <c r="C125" s="588" t="s">
        <v>553</v>
      </c>
      <c r="D125" s="180"/>
      <c r="E125" s="180"/>
      <c r="F125" s="180"/>
      <c r="G125" s="180"/>
      <c r="H125" s="180"/>
      <c r="I125" s="180"/>
      <c r="J125" s="479"/>
      <c r="K125" s="479"/>
      <c r="L125" s="180"/>
      <c r="M125" s="180"/>
      <c r="N125" s="445"/>
    </row>
    <row r="126" customFormat="false" ht="12.75" hidden="false" customHeight="false" outlineLevel="0" collapsed="false">
      <c r="B126" s="240"/>
      <c r="C126" s="573" t="s">
        <v>554</v>
      </c>
      <c r="D126" s="553"/>
      <c r="E126" s="589" t="n">
        <v>4</v>
      </c>
      <c r="F126" s="180"/>
      <c r="G126" s="479"/>
      <c r="H126" s="180"/>
      <c r="I126" s="180"/>
      <c r="J126" s="479"/>
      <c r="K126" s="180"/>
      <c r="L126" s="180"/>
      <c r="M126" s="180"/>
      <c r="N126" s="445"/>
    </row>
    <row r="127" customFormat="false" ht="12.75" hidden="false" customHeight="false" outlineLevel="0" collapsed="false">
      <c r="B127" s="240"/>
      <c r="C127" s="577" t="s">
        <v>555</v>
      </c>
      <c r="D127" s="542"/>
      <c r="E127" s="590" t="n">
        <f aca="false">S_para</f>
        <v>0.260205</v>
      </c>
      <c r="F127" s="180"/>
      <c r="G127" s="479"/>
      <c r="H127" s="180"/>
      <c r="I127" s="180"/>
      <c r="J127" s="479"/>
      <c r="K127" s="180"/>
      <c r="L127" s="180"/>
      <c r="M127" s="180"/>
      <c r="N127" s="445"/>
    </row>
    <row r="128" customFormat="false" ht="12.75" hidden="false" customHeight="false" outlineLevel="0" collapsed="false">
      <c r="B128" s="240"/>
      <c r="C128" s="591" t="s">
        <v>556</v>
      </c>
      <c r="D128" s="591"/>
      <c r="E128" s="592" t="n">
        <f aca="false">0.5*Rho_moyen*S_para*Vit_culmi^2</f>
        <v>109.720777831401</v>
      </c>
      <c r="F128" s="593" t="n">
        <f aca="false">E128/g</f>
        <v>11.1845848961673</v>
      </c>
      <c r="G128" s="180"/>
      <c r="H128" s="479"/>
      <c r="I128" s="479"/>
      <c r="J128" s="479"/>
      <c r="K128" s="479"/>
      <c r="L128" s="180"/>
      <c r="M128" s="180"/>
      <c r="N128" s="445"/>
    </row>
    <row r="129" customFormat="false" ht="12.75" hidden="false" customHeight="false" outlineLevel="0" collapsed="false">
      <c r="B129" s="240"/>
      <c r="C129" s="594" t="s">
        <v>557</v>
      </c>
      <c r="D129" s="594"/>
      <c r="E129" s="586" t="n">
        <f aca="false">E128/E126*2</f>
        <v>54.8603889157006</v>
      </c>
      <c r="F129" s="587" t="n">
        <f aca="false">E129/g</f>
        <v>5.59229244808365</v>
      </c>
      <c r="G129" s="180"/>
      <c r="H129" s="479"/>
      <c r="I129" s="479"/>
      <c r="J129" s="479"/>
      <c r="K129" s="479"/>
      <c r="L129" s="180"/>
      <c r="M129" s="180"/>
      <c r="N129" s="445"/>
    </row>
    <row r="130" customFormat="false" ht="12" hidden="false" customHeight="false" outlineLevel="0" collapsed="false">
      <c r="B130" s="240"/>
      <c r="C130" s="595"/>
      <c r="D130" s="595"/>
      <c r="E130" s="596"/>
      <c r="F130" s="597"/>
      <c r="G130" s="180"/>
      <c r="H130" s="479"/>
      <c r="I130" s="479"/>
      <c r="J130" s="479"/>
      <c r="K130" s="479"/>
      <c r="L130" s="180"/>
      <c r="M130" s="180"/>
      <c r="N130" s="445"/>
    </row>
    <row r="131" customFormat="false" ht="12.75" hidden="false" customHeight="false" outlineLevel="0" collapsed="false">
      <c r="B131" s="240"/>
      <c r="C131" s="588" t="s">
        <v>558</v>
      </c>
      <c r="D131" s="479"/>
      <c r="E131" s="479"/>
      <c r="F131" s="479"/>
      <c r="G131" s="479"/>
      <c r="H131" s="479"/>
      <c r="I131" s="479"/>
      <c r="J131" s="479"/>
      <c r="K131" s="479"/>
      <c r="L131" s="180"/>
      <c r="M131" s="180"/>
      <c r="N131" s="445"/>
    </row>
    <row r="132" customFormat="false" ht="12.75" hidden="false" customHeight="false" outlineLevel="0" collapsed="false">
      <c r="B132" s="240"/>
      <c r="C132" s="591" t="s">
        <v>559</v>
      </c>
      <c r="D132" s="591"/>
      <c r="E132" s="598" t="n">
        <v>1</v>
      </c>
      <c r="F132" s="479"/>
      <c r="G132" s="479"/>
      <c r="H132" s="479"/>
      <c r="I132" s="479"/>
      <c r="J132" s="599"/>
      <c r="K132" s="479"/>
      <c r="L132" s="180"/>
      <c r="M132" s="180"/>
      <c r="N132" s="445"/>
    </row>
    <row r="133" customFormat="false" ht="12.75" hidden="false" customHeight="false" outlineLevel="0" collapsed="false">
      <c r="B133" s="240"/>
      <c r="C133" s="594" t="s">
        <v>560</v>
      </c>
      <c r="D133" s="594"/>
      <c r="E133" s="600" t="n">
        <f aca="false">2*E132*Acc_max/g</f>
        <v>19.6901066502747</v>
      </c>
      <c r="F133" s="479"/>
      <c r="G133" s="479"/>
      <c r="H133" s="479"/>
      <c r="I133" s="479"/>
      <c r="J133" s="479"/>
      <c r="K133" s="479"/>
      <c r="L133" s="180"/>
      <c r="M133" s="180"/>
      <c r="N133" s="445"/>
    </row>
    <row r="134" customFormat="false" ht="12.75" hidden="false" customHeight="false" outlineLevel="0" collapsed="false">
      <c r="B134" s="450"/>
      <c r="C134" s="539"/>
      <c r="D134" s="539"/>
      <c r="E134" s="539"/>
      <c r="F134" s="539"/>
      <c r="G134" s="539"/>
      <c r="H134" s="539"/>
      <c r="I134" s="539"/>
      <c r="J134" s="539"/>
      <c r="K134" s="539"/>
      <c r="L134" s="451"/>
      <c r="M134" s="451"/>
      <c r="N134" s="452"/>
    </row>
  </sheetData>
  <sheetProtection sheet="true" password="c6ac"/>
  <mergeCells count="22">
    <mergeCell ref="H11:I11"/>
    <mergeCell ref="H12:I12"/>
    <mergeCell ref="H13:I13"/>
    <mergeCell ref="H17:I17"/>
    <mergeCell ref="H18:I18"/>
    <mergeCell ref="H19:I19"/>
    <mergeCell ref="C29:C30"/>
    <mergeCell ref="D29:D30"/>
    <mergeCell ref="E29:G30"/>
    <mergeCell ref="H29:K29"/>
    <mergeCell ref="L29:L30"/>
    <mergeCell ref="M29:M30"/>
    <mergeCell ref="H30:I30"/>
    <mergeCell ref="E31:G31"/>
    <mergeCell ref="H31:I31"/>
    <mergeCell ref="H44:I44"/>
    <mergeCell ref="H45:I45"/>
    <mergeCell ref="H46:I46"/>
    <mergeCell ref="C128:D128"/>
    <mergeCell ref="C129:D129"/>
    <mergeCell ref="C132:D132"/>
    <mergeCell ref="C133:D133"/>
  </mergeCells>
  <conditionalFormatting sqref="F18:I19">
    <cfRule type="expression" priority="2" aboveAverage="0" equalAverage="0" bottom="0" percent="0" rank="0" text="" dxfId="51">
      <formula>IF(Propu="Cariacou",1,0)</formula>
    </cfRule>
  </conditionalFormatting>
  <conditionalFormatting sqref="D18:E18">
    <cfRule type="expression" priority="3" aboveAverage="0" equalAverage="0" bottom="0" percent="0" rank="0" text="" dxfId="52">
      <formula>IF(Propu="Cariacou",0,1)</formula>
    </cfRule>
  </conditionalFormatting>
  <conditionalFormatting sqref="I68:I73 I16">
    <cfRule type="expression" priority="4" aboveAverage="0" equalAverage="0" bottom="0" percent="0" rank="0" text="" dxfId="53">
      <formula>Nb_sat="0 satellite"</formula>
    </cfRule>
  </conditionalFormatting>
  <printOptions headings="false" gridLines="false" gridLinesSet="true" horizontalCentered="false" verticalCentered="false"/>
  <pageMargins left="0.39375" right="0.39375" top="0.39375" bottom="0.39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10015</TotalTime>
  <Application>LibreOffice/7.6.2.1$Windows_X86_64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2008-11-03T20:48:06Z</dcterms:created>
  <dc:creator>Léo Côme;Sylvain Besson</dc:creator>
  <dc:description/>
  <dc:language>fr-FR</dc:language>
  <cp:lastModifiedBy/>
  <cp:lastPrinted>2011-11-08T21:12:34Z</cp:lastPrinted>
  <dcterms:modified xsi:type="dcterms:W3CDTF">2023-12-10T18:38:32Z</dcterms:modified>
  <cp:revision>2</cp:revision>
  <dc:subject/>
  <dc:title>StabTraj</dc:title>
</cp:coreProperties>
</file>

<file path=docProps/custom.xml><?xml version="1.0" encoding="utf-8"?>
<Properties xmlns="http://schemas.openxmlformats.org/officeDocument/2006/custom-properties" xmlns:vt="http://schemas.openxmlformats.org/officeDocument/2006/docPropsVTypes"/>
</file>